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127" documentId="11_C946024F86807D52B010DD23EAD60122A9394D47" xr6:coauthVersionLast="47" xr6:coauthVersionMax="47" xr10:uidLastSave="{F57E8B3C-ED46-4EDD-891C-849FD314CD83}"/>
  <bookViews>
    <workbookView minimized="1" xWindow="3740" yWindow="3740" windowWidth="2370" windowHeight="560" tabRatio="590" firstSheet="1" activeTab="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Sheet1" sheetId="12" r:id="rId7"/>
    <sheet name="Calculations" sheetId="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B4" i="8"/>
  <c r="J2" i="1"/>
  <c r="A2" i="1" s="1"/>
  <c r="J3" i="1"/>
  <c r="B3" i="2" s="1"/>
  <c r="J4" i="1"/>
  <c r="B4" i="2" s="1"/>
  <c r="J5" i="1"/>
  <c r="A5" i="1" s="1"/>
  <c r="J6" i="1"/>
  <c r="FB6" i="2" s="1"/>
  <c r="J7" i="1"/>
  <c r="J8" i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GM77" i="2" s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E85" i="8" s="1"/>
  <c r="J86" i="1"/>
  <c r="J87" i="1"/>
  <c r="J88" i="1"/>
  <c r="FU85" i="2" s="1"/>
  <c r="J89" i="1"/>
  <c r="J90" i="1"/>
  <c r="GC90" i="2" s="1"/>
  <c r="J91" i="1"/>
  <c r="J92" i="1"/>
  <c r="J93" i="1"/>
  <c r="GA93" i="2" s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FV117" i="2" s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GT162" i="2" s="1"/>
  <c r="J163" i="1"/>
  <c r="J164" i="1"/>
  <c r="J165" i="1"/>
  <c r="J166" i="1"/>
  <c r="J167" i="1"/>
  <c r="J168" i="1"/>
  <c r="J169" i="1"/>
  <c r="J170" i="1"/>
  <c r="W170" i="8" s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GN189" i="2" s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41" i="2"/>
  <c r="GM37" i="2"/>
  <c r="GM45" i="2"/>
  <c r="GM50" i="2"/>
  <c r="GM53" i="2"/>
  <c r="GM58" i="2"/>
  <c r="GM69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109" i="2"/>
  <c r="GA146" i="2"/>
  <c r="GN37" i="2"/>
  <c r="GN42" i="2"/>
  <c r="GN45" i="2"/>
  <c r="GN50" i="2"/>
  <c r="GN53" i="2"/>
  <c r="GN69" i="2"/>
  <c r="GN77" i="2"/>
  <c r="GN85" i="2"/>
  <c r="GN93" i="2"/>
  <c r="GN109" i="2"/>
  <c r="GN138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109" i="2"/>
  <c r="GB114" i="2"/>
  <c r="GB117" i="2"/>
  <c r="GB178" i="2"/>
  <c r="GQ34" i="2"/>
  <c r="GQ37" i="2"/>
  <c r="GQ45" i="2"/>
  <c r="GQ50" i="2"/>
  <c r="GQ53" i="2"/>
  <c r="GQ61" i="2"/>
  <c r="GQ66" i="2"/>
  <c r="GQ69" i="2"/>
  <c r="GQ77" i="2"/>
  <c r="GQ85" i="2"/>
  <c r="GQ93" i="2"/>
  <c r="GQ101" i="2"/>
  <c r="GQ109" i="2"/>
  <c r="GQ114" i="2"/>
  <c r="GQ125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3" i="2"/>
  <c r="GC101" i="2"/>
  <c r="GC109" i="2"/>
  <c r="GC114" i="2"/>
  <c r="GC125" i="2"/>
  <c r="GC130" i="2"/>
  <c r="GC162" i="2"/>
  <c r="GC186" i="2"/>
  <c r="GC189" i="2"/>
  <c r="GC194" i="2"/>
  <c r="GV3" i="2"/>
  <c r="HA1" i="2" s="1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46" i="2"/>
  <c r="FT154" i="2"/>
  <c r="FT162" i="2"/>
  <c r="FT170" i="2"/>
  <c r="FT173" i="2"/>
  <c r="FT178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IF109" i="2"/>
  <c r="FY109" i="2"/>
  <c r="FX109" i="2"/>
  <c r="AU109" i="2"/>
  <c r="FX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82" i="2"/>
  <c r="AQ85" i="2"/>
  <c r="AQ90" i="2"/>
  <c r="AQ93" i="2"/>
  <c r="AQ101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8" i="2"/>
  <c r="K181" i="2"/>
  <c r="K186" i="2"/>
  <c r="K189" i="2"/>
  <c r="K194" i="2"/>
  <c r="K197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86" i="10" s="1"/>
  <c r="G197" i="10"/>
  <c r="G181" i="10"/>
  <c r="G178" i="10"/>
  <c r="G173" i="10"/>
  <c r="G170" i="10"/>
  <c r="G165" i="10"/>
  <c r="G149" i="10"/>
  <c r="G146" i="10"/>
  <c r="G141" i="10"/>
  <c r="G138" i="10"/>
  <c r="G133" i="10"/>
  <c r="G117" i="10"/>
  <c r="G116" i="10"/>
  <c r="G114" i="10"/>
  <c r="G109" i="10"/>
  <c r="G101" i="10"/>
  <c r="G77" i="10"/>
  <c r="G69" i="10"/>
  <c r="G66" i="10"/>
  <c r="G61" i="10"/>
  <c r="G58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6" i="2"/>
  <c r="FG189" i="2"/>
  <c r="FG194" i="2"/>
  <c r="FG197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4" i="2"/>
  <c r="FM197" i="2"/>
  <c r="G34" i="10"/>
  <c r="G31" i="10"/>
  <c r="FL34" i="2"/>
  <c r="FL37" i="2"/>
  <c r="FL42" i="2"/>
  <c r="FL45" i="2"/>
  <c r="FL50" i="2"/>
  <c r="FL53" i="2"/>
  <c r="FL58" i="2"/>
  <c r="FL61" i="2"/>
  <c r="FL66" i="2"/>
  <c r="FL69" i="2"/>
  <c r="FL77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Z191" i="2"/>
  <c r="Y191" i="2"/>
  <c r="N191" i="2"/>
  <c r="S183" i="2"/>
  <c r="AF175" i="2"/>
  <c r="N175" i="2"/>
  <c r="Z167" i="2"/>
  <c r="Y167" i="2"/>
  <c r="Z151" i="2"/>
  <c r="M151" i="2"/>
  <c r="Y151" i="2"/>
  <c r="AG143" i="2"/>
  <c r="Y143" i="2"/>
  <c r="S143" i="2"/>
  <c r="AF143" i="2"/>
  <c r="FW135" i="2"/>
  <c r="M135" i="2"/>
  <c r="AF135" i="2"/>
  <c r="S135" i="2"/>
  <c r="N135" i="2"/>
  <c r="T127" i="2"/>
  <c r="M127" i="2"/>
  <c r="Y127" i="2"/>
  <c r="AF127" i="2"/>
  <c r="Z119" i="2"/>
  <c r="T119" i="2"/>
  <c r="M119" i="2"/>
  <c r="S119" i="2"/>
  <c r="AG111" i="2"/>
  <c r="Z111" i="2"/>
  <c r="T111" i="2"/>
  <c r="Y111" i="2"/>
  <c r="FW103" i="2"/>
  <c r="AG103" i="2"/>
  <c r="Z103" i="2"/>
  <c r="M103" i="2"/>
  <c r="N103" i="2"/>
  <c r="FW95" i="2"/>
  <c r="AG95" i="2"/>
  <c r="T95" i="2"/>
  <c r="S95" i="2"/>
  <c r="N95" i="2"/>
  <c r="FW87" i="2"/>
  <c r="Z87" i="2"/>
  <c r="S87" i="2"/>
  <c r="Y87" i="2"/>
  <c r="N87" i="2"/>
  <c r="AG79" i="2"/>
  <c r="Y79" i="2"/>
  <c r="AF79" i="2"/>
  <c r="S79" i="2"/>
  <c r="FW71" i="2"/>
  <c r="M71" i="2"/>
  <c r="AF71" i="2"/>
  <c r="S71" i="2"/>
  <c r="N71" i="2"/>
  <c r="T63" i="2"/>
  <c r="M63" i="2"/>
  <c r="Y63" i="2"/>
  <c r="S63" i="2"/>
  <c r="AG55" i="2"/>
  <c r="Z55" i="2"/>
  <c r="T55" i="2"/>
  <c r="S55" i="2"/>
  <c r="AF47" i="2"/>
  <c r="AG47" i="2"/>
  <c r="Z47" i="2"/>
  <c r="M47" i="2"/>
  <c r="FW39" i="2"/>
  <c r="AF39" i="2"/>
  <c r="AG39" i="2"/>
  <c r="T39" i="2"/>
  <c r="N39" i="2"/>
  <c r="FW31" i="2"/>
  <c r="AF31" i="2"/>
  <c r="Z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E199" i="2"/>
  <c r="A202" i="1"/>
  <c r="F199" i="2"/>
  <c r="JH199" i="2"/>
  <c r="JI199" i="2" s="1"/>
  <c r="JJ199" i="2" s="1"/>
  <c r="BG199" i="8"/>
  <c r="IY199" i="2" s="1"/>
  <c r="IL199" i="2"/>
  <c r="F199" i="8"/>
  <c r="FD199" i="2"/>
  <c r="DF199" i="2"/>
  <c r="AR199" i="2"/>
  <c r="D191" i="2"/>
  <c r="E191" i="2"/>
  <c r="B191" i="2"/>
  <c r="A194" i="1"/>
  <c r="F191" i="2"/>
  <c r="IL191" i="2"/>
  <c r="CY191" i="2"/>
  <c r="AV191" i="8"/>
  <c r="F191" i="8"/>
  <c r="AR191" i="2"/>
  <c r="AO191" i="2"/>
  <c r="AX191" i="2" s="1"/>
  <c r="DG191" i="2"/>
  <c r="A190" i="1"/>
  <c r="C183" i="2"/>
  <c r="A186" i="1"/>
  <c r="F183" i="2"/>
  <c r="JH183" i="2"/>
  <c r="JI183" i="2" s="1"/>
  <c r="JJ183" i="2" s="1"/>
  <c r="AV183" i="8"/>
  <c r="AU183" i="8"/>
  <c r="F183" i="8"/>
  <c r="FD183" i="2"/>
  <c r="DC183" i="2"/>
  <c r="A182" i="1"/>
  <c r="E175" i="2"/>
  <c r="B175" i="2"/>
  <c r="D175" i="2"/>
  <c r="A178" i="1"/>
  <c r="BG175" i="8"/>
  <c r="IY175" i="2" s="1"/>
  <c r="IM175" i="2"/>
  <c r="IL175" i="2"/>
  <c r="CY175" i="2"/>
  <c r="DF175" i="2"/>
  <c r="DC175" i="2"/>
  <c r="AO175" i="2"/>
  <c r="AY175" i="2" s="1"/>
  <c r="DG175" i="2"/>
  <c r="A174" i="1"/>
  <c r="C167" i="2"/>
  <c r="D167" i="2"/>
  <c r="A170" i="1"/>
  <c r="JH167" i="2"/>
  <c r="JI167" i="2" s="1"/>
  <c r="JJ167" i="2" s="1"/>
  <c r="IL167" i="2"/>
  <c r="CY167" i="2"/>
  <c r="AU167" i="8"/>
  <c r="FD167" i="2"/>
  <c r="AR167" i="2"/>
  <c r="DG167" i="2"/>
  <c r="A166" i="1"/>
  <c r="C159" i="2"/>
  <c r="A162" i="1"/>
  <c r="F159" i="2"/>
  <c r="JH159" i="2"/>
  <c r="JI159" i="2" s="1"/>
  <c r="JJ159" i="2" s="1"/>
  <c r="BG159" i="8"/>
  <c r="IY159" i="2" s="1"/>
  <c r="IL159" i="2"/>
  <c r="F159" i="8"/>
  <c r="FD159" i="2"/>
  <c r="DF159" i="2"/>
  <c r="AO159" i="2"/>
  <c r="AW159" i="2" s="1"/>
  <c r="A158" i="1"/>
  <c r="E151" i="2"/>
  <c r="C151" i="2"/>
  <c r="D151" i="2"/>
  <c r="A154" i="1"/>
  <c r="AV151" i="8"/>
  <c r="IM151" i="2"/>
  <c r="IL151" i="2"/>
  <c r="AU151" i="8"/>
  <c r="DC151" i="2"/>
  <c r="AO151" i="2"/>
  <c r="AY151" i="2" s="1"/>
  <c r="AR151" i="2"/>
  <c r="A150" i="1"/>
  <c r="B143" i="2"/>
  <c r="A146" i="1"/>
  <c r="F143" i="2"/>
  <c r="BG143" i="8"/>
  <c r="IY143" i="2" s="1"/>
  <c r="CY143" i="2"/>
  <c r="AU143" i="8"/>
  <c r="F143" i="8"/>
  <c r="DF143" i="2"/>
  <c r="DG143" i="2"/>
  <c r="A142" i="1"/>
  <c r="E135" i="2"/>
  <c r="D135" i="2"/>
  <c r="A138" i="1"/>
  <c r="JH135" i="2"/>
  <c r="JI135" i="2" s="1"/>
  <c r="JJ135" i="2" s="1"/>
  <c r="BG135" i="8"/>
  <c r="IY135" i="2" s="1"/>
  <c r="AV135" i="8"/>
  <c r="IL135" i="2"/>
  <c r="FD135" i="2"/>
  <c r="DF135" i="2"/>
  <c r="DC135" i="2"/>
  <c r="AR135" i="2"/>
  <c r="A134" i="1"/>
  <c r="C127" i="2"/>
  <c r="D127" i="2"/>
  <c r="B127" i="2"/>
  <c r="A130" i="1"/>
  <c r="F127" i="2"/>
  <c r="IL127" i="2"/>
  <c r="AV127" i="8"/>
  <c r="CY127" i="2"/>
  <c r="F127" i="8"/>
  <c r="AR127" i="2"/>
  <c r="AO127" i="2"/>
  <c r="DG127" i="2"/>
  <c r="A126" i="1"/>
  <c r="E119" i="2"/>
  <c r="A122" i="1"/>
  <c r="F119" i="2"/>
  <c r="JH119" i="2"/>
  <c r="JI119" i="2" s="1"/>
  <c r="JJ119" i="2" s="1"/>
  <c r="AV119" i="8"/>
  <c r="CY119" i="2"/>
  <c r="AU119" i="8"/>
  <c r="F119" i="8"/>
  <c r="FD119" i="2"/>
  <c r="DC119" i="2"/>
  <c r="DG119" i="2"/>
  <c r="A118" i="1"/>
  <c r="E111" i="2"/>
  <c r="C111" i="2"/>
  <c r="B111" i="2"/>
  <c r="A114" i="1"/>
  <c r="JH111" i="2"/>
  <c r="JI111" i="2" s="1"/>
  <c r="JJ111" i="2" s="1"/>
  <c r="BG111" i="8"/>
  <c r="IY111" i="2" s="1"/>
  <c r="IM111" i="2"/>
  <c r="IL111" i="2"/>
  <c r="CY111" i="2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V199" i="8" l="1"/>
  <c r="K199" i="2"/>
  <c r="CI199" i="2"/>
  <c r="CJ199" i="2" s="1"/>
  <c r="D199" i="2"/>
  <c r="IM199" i="2"/>
  <c r="DC199" i="2"/>
  <c r="F199" i="10"/>
  <c r="M199" i="2"/>
  <c r="C199" i="2"/>
  <c r="CY199" i="2"/>
  <c r="AO199" i="2"/>
  <c r="AW199" i="2" s="1"/>
  <c r="B199" i="2"/>
  <c r="AU199" i="8"/>
  <c r="DG199" i="2"/>
  <c r="FW191" i="2"/>
  <c r="C191" i="2"/>
  <c r="IM191" i="2"/>
  <c r="DC191" i="2"/>
  <c r="GC191" i="2"/>
  <c r="AU191" i="8"/>
  <c r="FM191" i="2"/>
  <c r="JH191" i="2"/>
  <c r="JI191" i="2" s="1"/>
  <c r="JJ191" i="2" s="1"/>
  <c r="FD191" i="2"/>
  <c r="BG191" i="8"/>
  <c r="IY191" i="2" s="1"/>
  <c r="DF191" i="2"/>
  <c r="B183" i="2"/>
  <c r="CY183" i="2"/>
  <c r="DG183" i="2"/>
  <c r="AG183" i="2"/>
  <c r="BG183" i="8"/>
  <c r="IV183" i="2" s="1"/>
  <c r="IW183" i="2" s="1"/>
  <c r="DF183" i="2"/>
  <c r="T183" i="2"/>
  <c r="D183" i="2"/>
  <c r="IM183" i="2"/>
  <c r="AO183" i="2"/>
  <c r="AY183" i="2" s="1"/>
  <c r="E183" i="2"/>
  <c r="IL183" i="2"/>
  <c r="AR183" i="2"/>
  <c r="S175" i="2"/>
  <c r="JH175" i="2"/>
  <c r="JI175" i="2" s="1"/>
  <c r="JJ175" i="2" s="1"/>
  <c r="FD175" i="2"/>
  <c r="FG175" i="2"/>
  <c r="A175" i="1"/>
  <c r="C175" i="2"/>
  <c r="AV175" i="8"/>
  <c r="AR175" i="2"/>
  <c r="AU175" i="8"/>
  <c r="FW175" i="2"/>
  <c r="F175" i="2"/>
  <c r="F175" i="8"/>
  <c r="B167" i="2"/>
  <c r="IM167" i="2"/>
  <c r="AO167" i="2"/>
  <c r="AW167" i="2" s="1"/>
  <c r="AF167" i="2"/>
  <c r="F167" i="2"/>
  <c r="F167" i="8"/>
  <c r="DJ167" i="2"/>
  <c r="BG167" i="8"/>
  <c r="IV167" i="2" s="1"/>
  <c r="IW167" i="2" s="1"/>
  <c r="DF167" i="2"/>
  <c r="E167" i="2"/>
  <c r="AV167" i="8"/>
  <c r="DC167" i="2"/>
  <c r="S159" i="2"/>
  <c r="AU159" i="8"/>
  <c r="E159" i="2"/>
  <c r="IM159" i="2"/>
  <c r="DC159" i="2"/>
  <c r="AG159" i="2"/>
  <c r="D159" i="2"/>
  <c r="AV159" i="8"/>
  <c r="AR159" i="2"/>
  <c r="M159" i="2"/>
  <c r="A159" i="1"/>
  <c r="B159" i="2"/>
  <c r="CY159" i="2"/>
  <c r="DG159" i="2"/>
  <c r="BG151" i="8"/>
  <c r="IV151" i="2" s="1"/>
  <c r="IW151" i="2" s="1"/>
  <c r="DF151" i="2"/>
  <c r="B151" i="2"/>
  <c r="CY151" i="2"/>
  <c r="DG151" i="2"/>
  <c r="F151" i="2"/>
  <c r="F151" i="8"/>
  <c r="FJ151" i="2"/>
  <c r="JH151" i="2"/>
  <c r="JI151" i="2" s="1"/>
  <c r="JJ151" i="2" s="1"/>
  <c r="FD151" i="2"/>
  <c r="M143" i="2"/>
  <c r="D143" i="2"/>
  <c r="AV143" i="8"/>
  <c r="AR143" i="2"/>
  <c r="FW143" i="2"/>
  <c r="N143" i="2"/>
  <c r="JH143" i="2"/>
  <c r="JI143" i="2" s="1"/>
  <c r="JJ143" i="2" s="1"/>
  <c r="FD143" i="2"/>
  <c r="Z143" i="2"/>
  <c r="E143" i="2"/>
  <c r="IM143" i="2"/>
  <c r="DC143" i="2"/>
  <c r="F143" i="10"/>
  <c r="T143" i="2"/>
  <c r="A143" i="1"/>
  <c r="C143" i="2"/>
  <c r="IL143" i="2"/>
  <c r="AO143" i="2"/>
  <c r="AY143" i="2" s="1"/>
  <c r="GR135" i="2"/>
  <c r="GS135" i="2" s="1"/>
  <c r="T135" i="2"/>
  <c r="F135" i="2"/>
  <c r="F135" i="8"/>
  <c r="Y135" i="2"/>
  <c r="C135" i="2"/>
  <c r="IM135" i="2"/>
  <c r="AO135" i="2"/>
  <c r="AY135" i="2" s="1"/>
  <c r="AG135" i="2"/>
  <c r="B135" i="2"/>
  <c r="CY135" i="2"/>
  <c r="DG135" i="2"/>
  <c r="FH135" i="2"/>
  <c r="Z135" i="2"/>
  <c r="AU135" i="8"/>
  <c r="Z127" i="2"/>
  <c r="E127" i="2"/>
  <c r="IM127" i="2"/>
  <c r="DC127" i="2"/>
  <c r="S127" i="2"/>
  <c r="AU127" i="8"/>
  <c r="J127" i="2"/>
  <c r="FW127" i="2"/>
  <c r="N127" i="2"/>
  <c r="JH127" i="2"/>
  <c r="JI127" i="2" s="1"/>
  <c r="JJ127" i="2" s="1"/>
  <c r="FD127" i="2"/>
  <c r="AG127" i="2"/>
  <c r="A127" i="1"/>
  <c r="BG127" i="8"/>
  <c r="IY127" i="2" s="1"/>
  <c r="DF127" i="2"/>
  <c r="AG119" i="2"/>
  <c r="B119" i="2"/>
  <c r="AF119" i="2"/>
  <c r="BG119" i="8"/>
  <c r="IY119" i="2" s="1"/>
  <c r="DF119" i="2"/>
  <c r="Y119" i="2"/>
  <c r="C119" i="2"/>
  <c r="IM119" i="2"/>
  <c r="AO119" i="2"/>
  <c r="AX119" i="2" s="1"/>
  <c r="FW119" i="2"/>
  <c r="N119" i="2"/>
  <c r="D119" i="2"/>
  <c r="IL119" i="2"/>
  <c r="AR119" i="2"/>
  <c r="E111" i="10"/>
  <c r="FW111" i="2"/>
  <c r="N111" i="2"/>
  <c r="M111" i="2"/>
  <c r="D111" i="2"/>
  <c r="AV111" i="8"/>
  <c r="FX111" i="2"/>
  <c r="S111" i="2"/>
  <c r="AU111" i="8"/>
  <c r="AF111" i="2"/>
  <c r="A111" i="1"/>
  <c r="F111" i="2"/>
  <c r="F111" i="8"/>
  <c r="J103" i="2"/>
  <c r="Y103" i="2"/>
  <c r="BV103" i="2"/>
  <c r="BX103" i="2" s="1"/>
  <c r="T103" i="2"/>
  <c r="BF103" i="2"/>
  <c r="AQ103" i="2"/>
  <c r="AF103" i="2"/>
  <c r="S103" i="2"/>
  <c r="GB95" i="2"/>
  <c r="FE95" i="2"/>
  <c r="FJ95" i="2"/>
  <c r="AF95" i="2"/>
  <c r="FY95" i="2"/>
  <c r="Z95" i="2"/>
  <c r="M95" i="2"/>
  <c r="Y95" i="2"/>
  <c r="A95" i="1"/>
  <c r="AF87" i="2"/>
  <c r="AG87" i="2"/>
  <c r="T87" i="2"/>
  <c r="IF87" i="2"/>
  <c r="BW87" i="2"/>
  <c r="M87" i="2"/>
  <c r="AU79" i="2"/>
  <c r="AQ79" i="2"/>
  <c r="FH79" i="2"/>
  <c r="M79" i="2"/>
  <c r="FW79" i="2"/>
  <c r="N79" i="2"/>
  <c r="Z79" i="2"/>
  <c r="FL79" i="2"/>
  <c r="T79" i="2"/>
  <c r="A79" i="1"/>
  <c r="T71" i="2"/>
  <c r="DB71" i="2"/>
  <c r="DL71" i="2" s="1"/>
  <c r="Y71" i="2"/>
  <c r="FX71" i="2"/>
  <c r="AG71" i="2"/>
  <c r="Z71" i="2"/>
  <c r="Z63" i="2"/>
  <c r="AF63" i="2"/>
  <c r="FW63" i="2"/>
  <c r="N63" i="2"/>
  <c r="AG63" i="2"/>
  <c r="A63" i="1"/>
  <c r="AF55" i="2"/>
  <c r="M55" i="2"/>
  <c r="Y55" i="2"/>
  <c r="FW55" i="2"/>
  <c r="N55" i="2"/>
  <c r="FW47" i="2"/>
  <c r="N47" i="2"/>
  <c r="T47" i="2"/>
  <c r="Y47" i="2"/>
  <c r="FL47" i="2"/>
  <c r="S47" i="2"/>
  <c r="A47" i="1"/>
  <c r="Y39" i="2"/>
  <c r="Z39" i="2"/>
  <c r="FM39" i="2"/>
  <c r="M39" i="2"/>
  <c r="S39" i="2"/>
  <c r="Y31" i="2"/>
  <c r="AU31" i="2"/>
  <c r="AG31" i="2"/>
  <c r="GQ31" i="2"/>
  <c r="T31" i="2"/>
  <c r="FG31" i="2"/>
  <c r="M31" i="2"/>
  <c r="K175" i="2"/>
  <c r="G50" i="10"/>
  <c r="G85" i="10"/>
  <c r="G125" i="10"/>
  <c r="G157" i="10"/>
  <c r="G189" i="10"/>
  <c r="DD186" i="2"/>
  <c r="GT170" i="2"/>
  <c r="GL186" i="2"/>
  <c r="W194" i="8"/>
  <c r="FT194" i="2"/>
  <c r="FT138" i="2"/>
  <c r="GC146" i="2"/>
  <c r="GR130" i="2"/>
  <c r="GS130" i="2" s="1"/>
  <c r="GQ138" i="2"/>
  <c r="GQ82" i="2"/>
  <c r="GN58" i="2"/>
  <c r="G53" i="10"/>
  <c r="G93" i="10"/>
  <c r="G130" i="10"/>
  <c r="G162" i="10"/>
  <c r="G194" i="10"/>
  <c r="DE194" i="2"/>
  <c r="DD178" i="2"/>
  <c r="GL170" i="2"/>
  <c r="FT186" i="2"/>
  <c r="FT130" i="2"/>
  <c r="BH114" i="2"/>
  <c r="BJ114" i="2" s="1"/>
  <c r="GC138" i="2"/>
  <c r="GR114" i="2"/>
  <c r="GS114" i="2" s="1"/>
  <c r="GQ130" i="2"/>
  <c r="FV114" i="2"/>
  <c r="B23" i="2"/>
  <c r="G82" i="10"/>
  <c r="G122" i="10"/>
  <c r="G154" i="10"/>
  <c r="AM3" i="2"/>
  <c r="AG3" i="8" s="1"/>
  <c r="AL181" i="2"/>
  <c r="AL149" i="2"/>
  <c r="AL165" i="2"/>
  <c r="AL93" i="2"/>
  <c r="A141" i="2"/>
  <c r="AL157" i="2"/>
  <c r="AL173" i="2"/>
  <c r="D18" i="2"/>
  <c r="FH18" i="2"/>
  <c r="A125" i="2"/>
  <c r="FJ18" i="2"/>
  <c r="FM18" i="2"/>
  <c r="FC18" i="2"/>
  <c r="DA18" i="2"/>
  <c r="E18" i="2"/>
  <c r="E18" i="10"/>
  <c r="FG18" i="2"/>
  <c r="FF18" i="2"/>
  <c r="FE18" i="2"/>
  <c r="C18" i="2"/>
  <c r="G18" i="10"/>
  <c r="FL18" i="2"/>
  <c r="D18" i="10"/>
  <c r="F18" i="10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X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J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AX139" i="2"/>
  <c r="DR42" i="2"/>
  <c r="DP114" i="2"/>
  <c r="DP162" i="2"/>
  <c r="DP82" i="2"/>
  <c r="AW59" i="2"/>
  <c r="BJ127" i="2"/>
  <c r="DR146" i="2"/>
  <c r="DP138" i="2"/>
  <c r="DP66" i="2"/>
  <c r="DR34" i="2"/>
  <c r="DP146" i="2"/>
  <c r="DR58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Y51" i="2"/>
  <c r="AW42" i="2"/>
  <c r="AW148" i="2"/>
  <c r="AY52" i="2"/>
  <c r="AY132" i="2"/>
  <c r="A197" i="2"/>
  <c r="AX199" i="2"/>
  <c r="AX171" i="2"/>
  <c r="AW180" i="2"/>
  <c r="AX132" i="2"/>
  <c r="AY68" i="2"/>
  <c r="AW91" i="2"/>
  <c r="AX68" i="2"/>
  <c r="AY199" i="2"/>
  <c r="AY171" i="2"/>
  <c r="AX148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148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AL60" i="2"/>
  <c r="IY163" i="2"/>
  <c r="IY197" i="2"/>
  <c r="IY124" i="2"/>
  <c r="AY178" i="2"/>
  <c r="AW143" i="2"/>
  <c r="AW135" i="2"/>
  <c r="AL74" i="2"/>
  <c r="IV148" i="2"/>
  <c r="IW148" i="2" s="1"/>
  <c r="IV108" i="2"/>
  <c r="IW108" i="2" s="1"/>
  <c r="A140" i="2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107" i="2"/>
  <c r="AX90" i="2"/>
  <c r="A114" i="2"/>
  <c r="IV116" i="2"/>
  <c r="IW116" i="2" s="1"/>
  <c r="A170" i="2"/>
  <c r="DP53" i="2"/>
  <c r="DR29" i="2"/>
  <c r="DP37" i="2"/>
  <c r="IY155" i="2"/>
  <c r="IY131" i="2"/>
  <c r="IV84" i="2"/>
  <c r="IW84" i="2" s="1"/>
  <c r="IY172" i="2"/>
  <c r="A138" i="2"/>
  <c r="DP69" i="2"/>
  <c r="A90" i="2"/>
  <c r="AL162" i="2"/>
  <c r="BJ19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99" i="2"/>
  <c r="IW99" i="2" s="1"/>
  <c r="IV68" i="2"/>
  <c r="IW68" i="2" s="1"/>
  <c r="IV67" i="2"/>
  <c r="IW67" i="2" s="1"/>
  <c r="IV156" i="2"/>
  <c r="IW156" i="2" s="1"/>
  <c r="DP93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CK175" i="2"/>
  <c r="BX194" i="2"/>
  <c r="AX31" i="2"/>
  <c r="BY170" i="2"/>
  <c r="A35" i="2"/>
  <c r="AY191" i="2"/>
  <c r="A200" i="2"/>
  <c r="BJ104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IY63" i="2"/>
  <c r="IV63" i="2"/>
  <c r="IW63" i="2" s="1"/>
  <c r="A67" i="2"/>
  <c r="AL187" i="2"/>
  <c r="A37" i="2"/>
  <c r="AW191" i="2"/>
  <c r="CJ107" i="2"/>
  <c r="CK107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AT13" i="8"/>
  <c r="D13" i="10"/>
  <c r="V8" i="8"/>
  <c r="AG13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X43" i="2"/>
  <c r="AY116" i="2"/>
  <c r="IV127" i="2"/>
  <c r="IW127" i="2" s="1"/>
  <c r="A149" i="2"/>
  <c r="AY164" i="2"/>
  <c r="AW92" i="2"/>
  <c r="AW116" i="2"/>
  <c r="AY82" i="2"/>
  <c r="AY43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Y91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V7" i="8" l="1"/>
  <c r="IV191" i="2"/>
  <c r="IW191" i="2" s="1"/>
  <c r="AX135" i="2"/>
  <c r="AX67" i="2"/>
  <c r="AY195" i="2"/>
  <c r="AW195" i="2"/>
  <c r="BX123" i="2"/>
  <c r="IY35" i="2"/>
  <c r="IY43" i="2"/>
  <c r="AL35" i="2"/>
  <c r="AW99" i="2"/>
  <c r="CJ123" i="2"/>
  <c r="AX75" i="2"/>
  <c r="AX99" i="2"/>
  <c r="CJ32" i="2"/>
  <c r="AY32" i="2"/>
  <c r="CK131" i="2"/>
  <c r="CJ72" i="2"/>
  <c r="IV179" i="2"/>
  <c r="IW179" i="2" s="1"/>
  <c r="DP26" i="2"/>
  <c r="DR26" i="2"/>
  <c r="AY196" i="2"/>
  <c r="BY79" i="2"/>
  <c r="BX107" i="2"/>
  <c r="CK95" i="2"/>
  <c r="CK92" i="2"/>
  <c r="A75" i="2"/>
  <c r="CK143" i="2"/>
  <c r="AW196" i="2"/>
  <c r="AL105" i="2"/>
  <c r="A83" i="2"/>
  <c r="BY143" i="2"/>
  <c r="AL115" i="2"/>
  <c r="CK91" i="2"/>
  <c r="IV40" i="2"/>
  <c r="IW40" i="2" s="1"/>
  <c r="AL43" i="2"/>
  <c r="BY115" i="2"/>
  <c r="CJ108" i="2"/>
  <c r="IV96" i="2"/>
  <c r="IW96" i="2" s="1"/>
  <c r="CJ103" i="2"/>
  <c r="CJ147" i="2"/>
  <c r="BY95" i="2"/>
  <c r="AW96" i="2"/>
  <c r="IY192" i="2"/>
  <c r="ID15" i="2"/>
  <c r="BJ72" i="2"/>
  <c r="AX96" i="2"/>
  <c r="CJ132" i="2"/>
  <c r="CJ200" i="2"/>
  <c r="DP31" i="2"/>
  <c r="AH15" i="8"/>
  <c r="BX83" i="2"/>
  <c r="BJ135" i="2"/>
  <c r="CJ56" i="2"/>
  <c r="BY159" i="2"/>
  <c r="DR120" i="2"/>
  <c r="DP51" i="2"/>
  <c r="AX107" i="2"/>
  <c r="AG7" i="8"/>
  <c r="BX171" i="2"/>
  <c r="AX72" i="2"/>
  <c r="IV59" i="2"/>
  <c r="IW59" i="2" s="1"/>
  <c r="AW147" i="2"/>
  <c r="BX51" i="2"/>
  <c r="CK116" i="2"/>
  <c r="CZ7" i="2"/>
  <c r="AX64" i="2"/>
  <c r="CK187" i="2"/>
  <c r="AX32" i="2"/>
  <c r="AW123" i="2"/>
  <c r="AX115" i="2"/>
  <c r="AW107" i="2"/>
  <c r="AI10" i="8"/>
  <c r="AT7" i="8"/>
  <c r="AX123" i="2"/>
  <c r="AX147" i="2"/>
  <c r="BJ79" i="2"/>
  <c r="BX43" i="2"/>
  <c r="BY104" i="2"/>
  <c r="CK167" i="2"/>
  <c r="BY184" i="2"/>
  <c r="AY200" i="2"/>
  <c r="BJ118" i="2"/>
  <c r="BX75" i="2"/>
  <c r="CK172" i="2"/>
  <c r="AW64" i="2"/>
  <c r="BY131" i="2"/>
  <c r="BY71" i="2"/>
  <c r="BY127" i="2"/>
  <c r="AW72" i="2"/>
  <c r="AY115" i="2"/>
  <c r="CJ96" i="2"/>
  <c r="BY128" i="2"/>
  <c r="BY199" i="2"/>
  <c r="D7" i="8"/>
  <c r="AX200" i="2"/>
  <c r="AL68" i="2"/>
  <c r="DR127" i="2"/>
  <c r="BI39" i="2"/>
  <c r="BJ175" i="2"/>
  <c r="DS71" i="2"/>
  <c r="DR192" i="2"/>
  <c r="DS83" i="2"/>
  <c r="DS132" i="2"/>
  <c r="DP143" i="2"/>
  <c r="DP200" i="2"/>
  <c r="DP120" i="2"/>
  <c r="DR72" i="2"/>
  <c r="DR51" i="2"/>
  <c r="DR143" i="2"/>
  <c r="DP72" i="2"/>
  <c r="DP71" i="2"/>
  <c r="DP192" i="2"/>
  <c r="DR200" i="2"/>
  <c r="IV195" i="2"/>
  <c r="IW195" i="2" s="1"/>
  <c r="BY87" i="2"/>
  <c r="BJ199" i="2"/>
  <c r="BX193" i="2"/>
  <c r="AW67" i="2"/>
  <c r="CK180" i="2"/>
  <c r="AX187" i="2"/>
  <c r="E10" i="10"/>
  <c r="FB10" i="2" s="1"/>
  <c r="IV171" i="2"/>
  <c r="IW171" i="2" s="1"/>
  <c r="AY187" i="2"/>
  <c r="B10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AC11" i="2" l="1"/>
  <c r="DR15" i="2"/>
  <c r="DP15" i="2" s="1"/>
  <c r="DR13" i="2"/>
  <c r="DP13" i="2" s="1"/>
  <c r="DR14" i="2"/>
  <c r="DP14" i="2" s="1"/>
  <c r="A7" i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FE6" i="2"/>
  <c r="Z2" i="2"/>
  <c r="Y2" i="2"/>
  <c r="DD9" i="2"/>
  <c r="A8" i="1" l="1"/>
  <c r="A9" i="1" s="1"/>
  <c r="A10" i="1" s="1"/>
  <c r="A11" i="1" s="1"/>
  <c r="AF7" i="2"/>
  <c r="K15" i="2"/>
  <c r="DB15" i="2" s="1"/>
  <c r="BH7" i="2"/>
  <c r="DC7" i="2"/>
  <c r="DD7" i="2" s="1"/>
  <c r="AG15" i="2"/>
  <c r="AG7" i="2"/>
  <c r="M7" i="2"/>
  <c r="AS7" i="2" s="1"/>
  <c r="AX7" i="2" s="1"/>
  <c r="BG7" i="2"/>
  <c r="AF15" i="2"/>
  <c r="AY7" i="2"/>
  <c r="A12" i="1"/>
  <c r="A13" i="1"/>
  <c r="F14" i="8"/>
  <c r="GE14" i="2" s="1"/>
  <c r="N12" i="2"/>
  <c r="AT12" i="2" s="1"/>
  <c r="AY12" i="2" s="1"/>
  <c r="BH14" i="2"/>
  <c r="IF14" i="2" s="1"/>
  <c r="DC12" i="2"/>
  <c r="DH12" i="2" s="1"/>
  <c r="DM12" i="2" s="1"/>
  <c r="BG12" i="2"/>
  <c r="F12" i="8"/>
  <c r="FV12" i="2" s="1"/>
  <c r="M12" i="2"/>
  <c r="AS12" i="2" s="1"/>
  <c r="AX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IY12" i="2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DT89" i="2"/>
  <c r="DT194" i="2"/>
  <c r="DU194" i="2" s="1"/>
  <c r="DT192" i="2"/>
  <c r="DU192" i="2" s="1"/>
  <c r="DT42" i="2"/>
  <c r="EQ42" i="2" s="1"/>
  <c r="DT164" i="2"/>
  <c r="EE164" i="2" s="1"/>
  <c r="DT135" i="2"/>
  <c r="DU135" i="2" s="1"/>
  <c r="DT183" i="2"/>
  <c r="EG183" i="2" s="1"/>
  <c r="DT88" i="2"/>
  <c r="DT63" i="2"/>
  <c r="ED63" i="2" s="1"/>
  <c r="DT148" i="2"/>
  <c r="DT12" i="2"/>
  <c r="DV12" i="2" s="1"/>
  <c r="DT199" i="2"/>
  <c r="EN199" i="2" s="1"/>
  <c r="DT93" i="2"/>
  <c r="DT184" i="2"/>
  <c r="EI184" i="2" s="1"/>
  <c r="DT149" i="2"/>
  <c r="EH149" i="2" s="1"/>
  <c r="DT187" i="2"/>
  <c r="EC187" i="2" s="1"/>
  <c r="DT101" i="2"/>
  <c r="EC101" i="2" s="1"/>
  <c r="DT97" i="2"/>
  <c r="DW97" i="2" s="1"/>
  <c r="DT158" i="2"/>
  <c r="EM158" i="2" s="1"/>
  <c r="DT162" i="2"/>
  <c r="DZ162" i="2" s="1"/>
  <c r="DT94" i="2"/>
  <c r="ED94" i="2" s="1"/>
  <c r="DT62" i="2"/>
  <c r="EP62" i="2" s="1"/>
  <c r="DT189" i="2"/>
  <c r="EO189" i="2" s="1"/>
  <c r="DT47" i="2"/>
  <c r="DT115" i="2"/>
  <c r="EG115" i="2" s="1"/>
  <c r="DT130" i="2"/>
  <c r="DX130" i="2" s="1"/>
  <c r="DY130" i="2" s="1"/>
  <c r="DT120" i="2"/>
  <c r="EM120" i="2" s="1"/>
  <c r="DT185" i="2"/>
  <c r="ES185" i="2" s="1"/>
  <c r="EU185" i="2" s="1"/>
  <c r="DT193" i="2"/>
  <c r="DT150" i="2"/>
  <c r="EE150" i="2" s="1"/>
  <c r="DT87" i="2"/>
  <c r="EA87" i="2" s="1"/>
  <c r="ET87" i="2" s="1"/>
  <c r="DT13" i="2"/>
  <c r="DT86" i="2"/>
  <c r="DT119" i="2"/>
  <c r="DT198" i="2"/>
  <c r="ER198" i="2" s="1"/>
  <c r="DT197" i="2"/>
  <c r="EE197" i="2" s="1"/>
  <c r="DT161" i="2"/>
  <c r="DT67" i="2"/>
  <c r="EC67" i="2" s="1"/>
  <c r="DT76" i="2"/>
  <c r="EE76" i="2" s="1"/>
  <c r="DT59" i="2"/>
  <c r="DT188" i="2"/>
  <c r="EF188" i="2" s="1"/>
  <c r="DT52" i="2"/>
  <c r="EO52" i="2" s="1"/>
  <c r="DT35" i="2"/>
  <c r="ES35" i="2" s="1"/>
  <c r="EU35" i="2" s="1"/>
  <c r="DT25" i="2"/>
  <c r="EQ25" i="2" s="1"/>
  <c r="DT111" i="2"/>
  <c r="DT171" i="2"/>
  <c r="DX171" i="2" s="1"/>
  <c r="DY171" i="2" s="1"/>
  <c r="DT15" i="2"/>
  <c r="DT131" i="2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ES155" i="2" s="1"/>
  <c r="EU155" i="2" s="1"/>
  <c r="DT77" i="2"/>
  <c r="ER77" i="2" s="1"/>
  <c r="DT107" i="2"/>
  <c r="DT186" i="2"/>
  <c r="DT43" i="2"/>
  <c r="DT159" i="2"/>
  <c r="EE159" i="2" s="1"/>
  <c r="DT132" i="2"/>
  <c r="EG132" i="2" s="1"/>
  <c r="DT23" i="2"/>
  <c r="DU23" i="2" s="1"/>
  <c r="DT22" i="2"/>
  <c r="DU22" i="2" s="1"/>
  <c r="DT112" i="2"/>
  <c r="EH112" i="2" s="1"/>
  <c r="DT137" i="2"/>
  <c r="DV137" i="2" s="1"/>
  <c r="DT79" i="2"/>
  <c r="DT85" i="2"/>
  <c r="EC85" i="2" s="1"/>
  <c r="DT142" i="2"/>
  <c r="EL142" i="2" s="1"/>
  <c r="DT157" i="2"/>
  <c r="EP157" i="2" s="1"/>
  <c r="DT200" i="2"/>
  <c r="ES200" i="2" s="1"/>
  <c r="EU200" i="2" s="1"/>
  <c r="DT127" i="2"/>
  <c r="EA127" i="2" s="1"/>
  <c r="ET127" i="2" s="1"/>
  <c r="DT180" i="2"/>
  <c r="DT14" i="2"/>
  <c r="EQ14" i="2" s="1"/>
  <c r="DT125" i="2"/>
  <c r="DT116" i="2"/>
  <c r="DT40" i="2"/>
  <c r="EA40" i="2" s="1"/>
  <c r="ET40" i="2" s="1"/>
  <c r="DT58" i="2"/>
  <c r="EF58" i="2" s="1"/>
  <c r="DT36" i="2"/>
  <c r="DT73" i="2"/>
  <c r="DU73" i="2" s="1"/>
  <c r="DT34" i="2"/>
  <c r="EP34" i="2" s="1"/>
  <c r="DT46" i="2"/>
  <c r="EG46" i="2" s="1"/>
  <c r="DT121" i="2"/>
  <c r="DT145" i="2"/>
  <c r="EN145" i="2" s="1"/>
  <c r="DT136" i="2"/>
  <c r="EE136" i="2" s="1"/>
  <c r="DT45" i="2"/>
  <c r="DV45" i="2" s="1"/>
  <c r="DT151" i="2"/>
  <c r="DX151" i="2" s="1"/>
  <c r="DY151" i="2" s="1"/>
  <c r="DT141" i="2"/>
  <c r="DT83" i="2"/>
  <c r="ER83" i="2" s="1"/>
  <c r="DT113" i="2"/>
  <c r="DU113" i="2" s="1"/>
  <c r="DT179" i="2"/>
  <c r="DT105" i="2"/>
  <c r="DT175" i="2"/>
  <c r="EO175" i="2" s="1"/>
  <c r="DT146" i="2"/>
  <c r="DZ146" i="2" s="1"/>
  <c r="DT81" i="2"/>
  <c r="EK81" i="2" s="1"/>
  <c r="DT160" i="2"/>
  <c r="EJ160" i="2" s="1"/>
  <c r="DT129" i="2"/>
  <c r="EI129" i="2" s="1"/>
  <c r="DT32" i="2"/>
  <c r="DT110" i="2"/>
  <c r="DT96" i="2"/>
  <c r="DV96" i="2" s="1"/>
  <c r="DT122" i="2"/>
  <c r="DT118" i="2"/>
  <c r="EM118" i="2" s="1"/>
  <c r="DT177" i="2"/>
  <c r="DU177" i="2" s="1"/>
  <c r="DT167" i="2"/>
  <c r="EF167" i="2" s="1"/>
  <c r="DT84" i="2"/>
  <c r="ED84" i="2" s="1"/>
  <c r="DT21" i="2"/>
  <c r="EF21" i="2" s="1"/>
  <c r="DT9" i="2"/>
  <c r="DT48" i="2"/>
  <c r="ER48" i="2" s="1"/>
  <c r="DT26" i="2"/>
  <c r="EF26" i="2" s="1"/>
  <c r="DT108" i="2"/>
  <c r="EA108" i="2" s="1"/>
  <c r="ET108" i="2" s="1"/>
  <c r="DT80" i="2"/>
  <c r="DT124" i="2"/>
  <c r="EI124" i="2" s="1"/>
  <c r="DT163" i="2"/>
  <c r="DT173" i="2"/>
  <c r="ED173" i="2" s="1"/>
  <c r="DT60" i="2"/>
  <c r="DT72" i="2"/>
  <c r="DT165" i="2"/>
  <c r="DT168" i="2"/>
  <c r="DW168" i="2" s="1"/>
  <c r="DT50" i="2"/>
  <c r="EI50" i="2" s="1"/>
  <c r="DT174" i="2"/>
  <c r="EH174" i="2" s="1"/>
  <c r="DT38" i="2"/>
  <c r="ED38" i="2" s="1"/>
  <c r="DT104" i="2"/>
  <c r="DT44" i="2"/>
  <c r="DT152" i="2"/>
  <c r="DT30" i="2"/>
  <c r="EG30" i="2" s="1"/>
  <c r="DT74" i="2"/>
  <c r="DX74" i="2" s="1"/>
  <c r="DY74" i="2" s="1"/>
  <c r="DT16" i="2"/>
  <c r="ES16" i="2" s="1"/>
  <c r="EU16" i="2" s="1"/>
  <c r="DT49" i="2"/>
  <c r="DX49" i="2" s="1"/>
  <c r="DY49" i="2" s="1"/>
  <c r="DT39" i="2"/>
  <c r="ER39" i="2" s="1"/>
  <c r="DT27" i="2"/>
  <c r="EK27" i="2" s="1"/>
  <c r="DT28" i="2"/>
  <c r="ER28" i="2" s="1"/>
  <c r="DT98" i="2"/>
  <c r="DT182" i="2"/>
  <c r="EO182" i="2" s="1"/>
  <c r="DT201" i="2"/>
  <c r="EG201" i="2" s="1"/>
  <c r="DT195" i="2"/>
  <c r="DT106" i="2"/>
  <c r="EI106" i="2" s="1"/>
  <c r="DT90" i="2"/>
  <c r="EN90" i="2" s="1"/>
  <c r="DT57" i="2"/>
  <c r="DV57" i="2" s="1"/>
  <c r="DT64" i="2"/>
  <c r="DT66" i="2"/>
  <c r="DT78" i="2"/>
  <c r="DX78" i="2" s="1"/>
  <c r="DY78" i="2" s="1"/>
  <c r="DT53" i="2"/>
  <c r="EV53" i="2" s="1"/>
  <c r="DT153" i="2"/>
  <c r="EQ153" i="2" s="1"/>
  <c r="DT82" i="2"/>
  <c r="EG82" i="2" s="1"/>
  <c r="DT95" i="2"/>
  <c r="DT19" i="2"/>
  <c r="DT31" i="2"/>
  <c r="DT92" i="2"/>
  <c r="DT55" i="2"/>
  <c r="ED55" i="2" s="1"/>
  <c r="DT156" i="2"/>
  <c r="DV156" i="2" s="1"/>
  <c r="DT133" i="2"/>
  <c r="EB133" i="2" s="1"/>
  <c r="DT178" i="2"/>
  <c r="EP178" i="2" s="1"/>
  <c r="DT147" i="2"/>
  <c r="DT102" i="2"/>
  <c r="ER102" i="2" s="1"/>
  <c r="DT176" i="2"/>
  <c r="ED176" i="2" s="1"/>
  <c r="DT69" i="2"/>
  <c r="DZ69" i="2" s="1"/>
  <c r="DT144" i="2"/>
  <c r="EI144" i="2" s="1"/>
  <c r="DT33" i="2"/>
  <c r="DV33" i="2" s="1"/>
  <c r="DT100" i="2"/>
  <c r="DT114" i="2"/>
  <c r="EJ114" i="2" s="1"/>
  <c r="DT18" i="2"/>
  <c r="EF18" i="2" s="1"/>
  <c r="DT170" i="2"/>
  <c r="EP170" i="2" s="1"/>
  <c r="DT166" i="2"/>
  <c r="DT56" i="2"/>
  <c r="EG56" i="2" s="1"/>
  <c r="DT68" i="2"/>
  <c r="EP68" i="2" s="1"/>
  <c r="DT169" i="2"/>
  <c r="DZ169" i="2" s="1"/>
  <c r="DT123" i="2"/>
  <c r="DT51" i="2"/>
  <c r="EM51" i="2" s="1"/>
  <c r="DT190" i="2"/>
  <c r="EA190" i="2" s="1"/>
  <c r="ET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EQ99" i="2" s="1"/>
  <c r="DT181" i="2"/>
  <c r="EQ181" i="2" s="1"/>
  <c r="DT143" i="2"/>
  <c r="EO143" i="2" s="1"/>
  <c r="DT29" i="2"/>
  <c r="EV29" i="2" s="1"/>
  <c r="DT139" i="2"/>
  <c r="EM139" i="2" s="1"/>
  <c r="DT191" i="2"/>
  <c r="EG191" i="2" s="1"/>
  <c r="DT109" i="2"/>
  <c r="EK109" i="2" s="1"/>
  <c r="DT20" i="2"/>
  <c r="EB20" i="2" s="1"/>
  <c r="DT41" i="2"/>
  <c r="DW41" i="2" s="1"/>
  <c r="DT65" i="2"/>
  <c r="EF65" i="2" s="1"/>
  <c r="DT196" i="2"/>
  <c r="EI196" i="2" s="1"/>
  <c r="DT17" i="2"/>
  <c r="EG17" i="2" s="1"/>
  <c r="DT128" i="2"/>
  <c r="EP128" i="2" s="1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R159" i="2"/>
  <c r="DU159" i="2"/>
  <c r="DV142" i="2"/>
  <c r="EI142" i="2"/>
  <c r="EV142" i="2"/>
  <c r="DW183" i="2"/>
  <c r="EL40" i="2"/>
  <c r="DV40" i="2"/>
  <c r="EK40" i="2"/>
  <c r="EH35" i="2"/>
  <c r="DV35" i="2"/>
  <c r="DW136" i="2"/>
  <c r="EO136" i="2"/>
  <c r="EV42" i="2"/>
  <c r="EK42" i="2"/>
  <c r="EM42" i="2"/>
  <c r="EP169" i="2"/>
  <c r="EG169" i="2"/>
  <c r="EL169" i="2"/>
  <c r="EL51" i="2"/>
  <c r="EP51" i="2"/>
  <c r="EK51" i="2"/>
  <c r="H173" i="9"/>
  <c r="EB155" i="2"/>
  <c r="EM155" i="2"/>
  <c r="DX155" i="2"/>
  <c r="DY155" i="2" s="1"/>
  <c r="DV155" i="2"/>
  <c r="EC197" i="2"/>
  <c r="EA197" i="2"/>
  <c r="ET197" i="2" s="1"/>
  <c r="EV197" i="2"/>
  <c r="EF124" i="2"/>
  <c r="EM124" i="2"/>
  <c r="EK22" i="2"/>
  <c r="ER62" i="2"/>
  <c r="EJ62" i="2"/>
  <c r="DW62" i="2"/>
  <c r="ES174" i="2"/>
  <c r="EU174" i="2" s="1"/>
  <c r="EL174" i="2"/>
  <c r="EM127" i="2"/>
  <c r="EQ127" i="2"/>
  <c r="EL127" i="2"/>
  <c r="ER184" i="2"/>
  <c r="DW184" i="2"/>
  <c r="EG184" i="2"/>
  <c r="EK184" i="2"/>
  <c r="EL49" i="2"/>
  <c r="DU49" i="2"/>
  <c r="EK49" i="2"/>
  <c r="EN73" i="2"/>
  <c r="EQ73" i="2"/>
  <c r="EK25" i="2"/>
  <c r="EI25" i="2"/>
  <c r="EG25" i="2"/>
  <c r="ED25" i="2"/>
  <c r="EI141" i="2"/>
  <c r="ES150" i="2"/>
  <c r="EU150" i="2" s="1"/>
  <c r="EF150" i="2"/>
  <c r="DW150" i="2"/>
  <c r="EA160" i="2"/>
  <c r="ET160" i="2" s="1"/>
  <c r="EQ160" i="2"/>
  <c r="EM160" i="2"/>
  <c r="DX160" i="2"/>
  <c r="DY160" i="2" s="1"/>
  <c r="DV70" i="2"/>
  <c r="EP70" i="2"/>
  <c r="EK70" i="2"/>
  <c r="EJ164" i="2"/>
  <c r="EQ82" i="2"/>
  <c r="ES82" i="2"/>
  <c r="EU82" i="2" s="1"/>
  <c r="EI82" i="2"/>
  <c r="EP82" i="2"/>
  <c r="EA18" i="2"/>
  <c r="ET18" i="2" s="1"/>
  <c r="EJ178" i="2"/>
  <c r="EV178" i="2"/>
  <c r="DW178" i="2"/>
  <c r="DZ178" i="2"/>
  <c r="DU178" i="2"/>
  <c r="DV178" i="2"/>
  <c r="EB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F154" i="2"/>
  <c r="ED154" i="2"/>
  <c r="EM154" i="2"/>
  <c r="ED199" i="2"/>
  <c r="EE199" i="2"/>
  <c r="EV199" i="2"/>
  <c r="ES199" i="2"/>
  <c r="EU199" i="2" s="1"/>
  <c r="EF199" i="2"/>
  <c r="DU199" i="2"/>
  <c r="DX199" i="2"/>
  <c r="DY199" i="2" s="1"/>
  <c r="EP199" i="2"/>
  <c r="DZ199" i="2"/>
  <c r="EH108" i="2"/>
  <c r="EP108" i="2"/>
  <c r="EB108" i="2"/>
  <c r="EM108" i="2"/>
  <c r="EJ108" i="2"/>
  <c r="EV108" i="2"/>
  <c r="DZ108" i="2"/>
  <c r="EO108" i="2"/>
  <c r="EK132" i="2"/>
  <c r="EO132" i="2"/>
  <c r="EA132" i="2"/>
  <c r="ET132" i="2" s="1"/>
  <c r="ED132" i="2"/>
  <c r="DW132" i="2"/>
  <c r="EJ132" i="2"/>
  <c r="DZ132" i="2"/>
  <c r="DX132" i="2"/>
  <c r="DY132" i="2" s="1"/>
  <c r="ER67" i="2"/>
  <c r="EN168" i="2"/>
  <c r="EO168" i="2"/>
  <c r="EL168" i="2"/>
  <c r="EV168" i="2"/>
  <c r="EF168" i="2"/>
  <c r="EP168" i="2"/>
  <c r="DW157" i="2"/>
  <c r="EM157" i="2"/>
  <c r="EA157" i="2"/>
  <c r="ET157" i="2" s="1"/>
  <c r="EN157" i="2"/>
  <c r="DZ157" i="2"/>
  <c r="EH74" i="2"/>
  <c r="DZ74" i="2"/>
  <c r="EG74" i="2"/>
  <c r="EF74" i="2"/>
  <c r="EC74" i="2"/>
  <c r="EH58" i="2"/>
  <c r="EC58" i="2"/>
  <c r="EK58" i="2"/>
  <c r="EV58" i="2"/>
  <c r="EM58" i="2"/>
  <c r="EN58" i="2"/>
  <c r="DZ58" i="2"/>
  <c r="EB58" i="2"/>
  <c r="DU201" i="2"/>
  <c r="EV201" i="2"/>
  <c r="EN201" i="2"/>
  <c r="EA201" i="2"/>
  <c r="ET201" i="2" s="1"/>
  <c r="EP201" i="2"/>
  <c r="EI201" i="2"/>
  <c r="ER201" i="2"/>
  <c r="EC201" i="2"/>
  <c r="EV45" i="2"/>
  <c r="EQ45" i="2"/>
  <c r="EA45" i="2"/>
  <c r="ET45" i="2" s="1"/>
  <c r="DW45" i="2"/>
  <c r="EM45" i="2"/>
  <c r="EO45" i="2"/>
  <c r="EF45" i="2"/>
  <c r="DU45" i="2"/>
  <c r="EP45" i="2"/>
  <c r="DU171" i="2"/>
  <c r="EO171" i="2"/>
  <c r="EL171" i="2"/>
  <c r="EI171" i="2"/>
  <c r="EF171" i="2"/>
  <c r="DW171" i="2"/>
  <c r="EM171" i="2"/>
  <c r="EP171" i="2"/>
  <c r="DX53" i="2"/>
  <c r="DY53" i="2" s="1"/>
  <c r="ER53" i="2"/>
  <c r="EI53" i="2"/>
  <c r="EJ53" i="2"/>
  <c r="ED53" i="2"/>
  <c r="DV53" i="2"/>
  <c r="EK53" i="2"/>
  <c r="EM53" i="2"/>
  <c r="EQ53" i="2"/>
  <c r="EA103" i="2"/>
  <c r="ET103" i="2" s="1"/>
  <c r="EH103" i="2"/>
  <c r="DU103" i="2"/>
  <c r="EG103" i="2"/>
  <c r="EO103" i="2"/>
  <c r="EL103" i="2"/>
  <c r="EC103" i="2"/>
  <c r="EP103" i="2"/>
  <c r="EG91" i="2"/>
  <c r="EJ99" i="2"/>
  <c r="ES99" i="2"/>
  <c r="EU99" i="2" s="1"/>
  <c r="DU99" i="2"/>
  <c r="EO99" i="2"/>
  <c r="EB99" i="2"/>
  <c r="EL99" i="2"/>
  <c r="EG99" i="2"/>
  <c r="EK99" i="2"/>
  <c r="DV99" i="2"/>
  <c r="EP99" i="2"/>
  <c r="EB68" i="2"/>
  <c r="DV167" i="2"/>
  <c r="EC167" i="2"/>
  <c r="DU167" i="2"/>
  <c r="EA167" i="2"/>
  <c r="ET167" i="2" s="1"/>
  <c r="EO167" i="2"/>
  <c r="EN167" i="2"/>
  <c r="EQ167" i="2"/>
  <c r="EH167" i="2"/>
  <c r="DZ167" i="2"/>
  <c r="EL84" i="2"/>
  <c r="EQ90" i="2"/>
  <c r="EJ81" i="2"/>
  <c r="DX81" i="2"/>
  <c r="DY81" i="2" s="1"/>
  <c r="EN191" i="2"/>
  <c r="EB109" i="2"/>
  <c r="EL109" i="2"/>
  <c r="ER109" i="2"/>
  <c r="EA109" i="2"/>
  <c r="ET109" i="2" s="1"/>
  <c r="ES109" i="2"/>
  <c r="EU109" i="2" s="1"/>
  <c r="EF109" i="2"/>
  <c r="DU109" i="2"/>
  <c r="DV109" i="2"/>
  <c r="DZ109" i="2"/>
  <c r="EA135" i="2"/>
  <c r="ET135" i="2" s="1"/>
  <c r="EJ135" i="2"/>
  <c r="EL135" i="2"/>
  <c r="ED135" i="2"/>
  <c r="EP135" i="2"/>
  <c r="DZ135" i="2"/>
  <c r="ER135" i="2"/>
  <c r="DV135" i="2"/>
  <c r="EN135" i="2"/>
  <c r="EK41" i="2"/>
  <c r="EL41" i="2"/>
  <c r="EC54" i="2"/>
  <c r="DX75" i="2"/>
  <c r="DY75" i="2" s="1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EQ50" i="2"/>
  <c r="EF50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V151" i="2"/>
  <c r="DU153" i="2"/>
  <c r="EB146" i="2"/>
  <c r="DW146" i="2"/>
  <c r="ED146" i="2"/>
  <c r="EV146" i="2"/>
  <c r="EP146" i="2"/>
  <c r="EN146" i="2"/>
  <c r="EI146" i="2"/>
  <c r="EJ146" i="2"/>
  <c r="EV172" i="2"/>
  <c r="EE172" i="2"/>
  <c r="ED172" i="2"/>
  <c r="DV172" i="2"/>
  <c r="EM172" i="2"/>
  <c r="EN172" i="2"/>
  <c r="DW172" i="2"/>
  <c r="EI172" i="2"/>
  <c r="EP172" i="2"/>
  <c r="EB37" i="2"/>
  <c r="DZ37" i="2"/>
  <c r="DV162" i="2"/>
  <c r="EF162" i="2"/>
  <c r="EV162" i="2"/>
  <c r="EJ162" i="2"/>
  <c r="EP162" i="2"/>
  <c r="EH162" i="2"/>
  <c r="EG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H185" i="2"/>
  <c r="EN185" i="2"/>
  <c r="EQ185" i="2"/>
  <c r="DV185" i="2"/>
  <c r="EV33" i="2"/>
  <c r="EF33" i="2"/>
  <c r="EA33" i="2"/>
  <c r="ET33" i="2" s="1"/>
  <c r="EP33" i="2"/>
  <c r="DW33" i="2"/>
  <c r="EI33" i="2"/>
  <c r="EO33" i="2"/>
  <c r="ES33" i="2"/>
  <c r="EU33" i="2" s="1"/>
  <c r="DU33" i="2"/>
  <c r="EI114" i="2"/>
  <c r="EK114" i="2"/>
  <c r="EN114" i="2"/>
  <c r="EV114" i="2"/>
  <c r="ED114" i="2"/>
  <c r="ER156" i="2"/>
  <c r="EV156" i="2"/>
  <c r="EN156" i="2"/>
  <c r="DW156" i="2"/>
  <c r="EQ156" i="2"/>
  <c r="EL156" i="2"/>
  <c r="EM156" i="2"/>
  <c r="DU156" i="2"/>
  <c r="ED140" i="2"/>
  <c r="EG118" i="2"/>
  <c r="EI118" i="2"/>
  <c r="ED118" i="2"/>
  <c r="DW118" i="2"/>
  <c r="EB118" i="2"/>
  <c r="EO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L10" i="9" l="1"/>
  <c r="DU65" i="2"/>
  <c r="DU183" i="2"/>
  <c r="EL87" i="2"/>
  <c r="EJ38" i="2"/>
  <c r="EH189" i="2"/>
  <c r="ED76" i="2"/>
  <c r="DU176" i="2"/>
  <c r="EM84" i="2"/>
  <c r="EB107" i="2"/>
  <c r="ER107" i="2"/>
  <c r="EI59" i="2"/>
  <c r="ES59" i="2"/>
  <c r="EU59" i="2" s="1"/>
  <c r="EG187" i="2"/>
  <c r="EO163" i="2"/>
  <c r="DX163" i="2"/>
  <c r="DY163" i="2" s="1"/>
  <c r="EB163" i="2"/>
  <c r="EI180" i="2"/>
  <c r="EC180" i="2"/>
  <c r="EL180" i="2"/>
  <c r="EM149" i="2"/>
  <c r="EA149" i="2"/>
  <c r="ET149" i="2" s="1"/>
  <c r="EB149" i="2"/>
  <c r="EI90" i="2"/>
  <c r="DW39" i="2"/>
  <c r="EA77" i="2"/>
  <c r="ET77" i="2" s="1"/>
  <c r="ER181" i="2"/>
  <c r="DU114" i="2"/>
  <c r="EM41" i="2"/>
  <c r="EC135" i="2"/>
  <c r="EJ90" i="2"/>
  <c r="EO180" i="2"/>
  <c r="EJ84" i="2"/>
  <c r="ED167" i="2"/>
  <c r="DZ99" i="2"/>
  <c r="DX99" i="2"/>
  <c r="DY99" i="2" s="1"/>
  <c r="EB171" i="2"/>
  <c r="ER178" i="2"/>
  <c r="ES124" i="2"/>
  <c r="EU124" i="2" s="1"/>
  <c r="EE155" i="2"/>
  <c r="DZ15" i="2"/>
  <c r="EB15" i="2"/>
  <c r="EP15" i="2"/>
  <c r="DX113" i="2"/>
  <c r="DY113" i="2" s="1"/>
  <c r="EG65" i="2"/>
  <c r="ED87" i="2"/>
  <c r="EI34" i="2"/>
  <c r="EV76" i="2"/>
  <c r="EN99" i="2"/>
  <c r="EM99" i="2"/>
  <c r="ER99" i="2"/>
  <c r="EE99" i="2"/>
  <c r="ED99" i="2"/>
  <c r="EV99" i="2"/>
  <c r="EI51" i="2"/>
  <c r="EN51" i="2"/>
  <c r="EP114" i="2"/>
  <c r="EF114" i="2"/>
  <c r="EL178" i="2"/>
  <c r="EN178" i="2"/>
  <c r="EI178" i="2"/>
  <c r="EO178" i="2"/>
  <c r="DX178" i="2"/>
  <c r="DY178" i="2" s="1"/>
  <c r="EC178" i="2"/>
  <c r="DW82" i="2"/>
  <c r="EH82" i="2"/>
  <c r="EV82" i="2"/>
  <c r="EV174" i="2"/>
  <c r="EP174" i="2"/>
  <c r="EI167" i="2"/>
  <c r="EB167" i="2"/>
  <c r="EK167" i="2"/>
  <c r="EL167" i="2"/>
  <c r="EG167" i="2"/>
  <c r="EP167" i="2"/>
  <c r="ER160" i="2"/>
  <c r="EG160" i="2"/>
  <c r="EE141" i="2"/>
  <c r="EO141" i="2"/>
  <c r="ES141" i="2"/>
  <c r="EU141" i="2" s="1"/>
  <c r="DV73" i="2"/>
  <c r="DZ73" i="2"/>
  <c r="EH127" i="2"/>
  <c r="DV127" i="2"/>
  <c r="EA171" i="2"/>
  <c r="ET171" i="2" s="1"/>
  <c r="EJ171" i="2"/>
  <c r="ED171" i="2"/>
  <c r="EK171" i="2"/>
  <c r="EN171" i="2"/>
  <c r="EC171" i="2"/>
  <c r="EG171" i="2"/>
  <c r="DX67" i="2"/>
  <c r="DY67" i="2" s="1"/>
  <c r="EO67" i="2"/>
  <c r="EL150" i="2"/>
  <c r="EN150" i="2"/>
  <c r="EL184" i="2"/>
  <c r="EF184" i="2"/>
  <c r="EM184" i="2"/>
  <c r="DX184" i="2"/>
  <c r="DY184" i="2" s="1"/>
  <c r="EV135" i="2"/>
  <c r="EO135" i="2"/>
  <c r="DW135" i="2"/>
  <c r="EK135" i="2"/>
  <c r="EG135" i="2"/>
  <c r="DX135" i="2"/>
  <c r="DY135" i="2" s="1"/>
  <c r="ES114" i="2"/>
  <c r="EU114" i="2" s="1"/>
  <c r="EA46" i="2"/>
  <c r="ET46" i="2" s="1"/>
  <c r="EL65" i="2"/>
  <c r="EE87" i="2"/>
  <c r="EF135" i="2"/>
  <c r="EQ135" i="2"/>
  <c r="EN15" i="2"/>
  <c r="EB39" i="2"/>
  <c r="DX76" i="2"/>
  <c r="DY76" i="2" s="1"/>
  <c r="DX167" i="2"/>
  <c r="DY167" i="2" s="1"/>
  <c r="EE167" i="2"/>
  <c r="EV167" i="2"/>
  <c r="EI99" i="2"/>
  <c r="EC99" i="2"/>
  <c r="ES171" i="2"/>
  <c r="EU171" i="2" s="1"/>
  <c r="EH171" i="2"/>
  <c r="EK178" i="2"/>
  <c r="ED178" i="2"/>
  <c r="DX82" i="2"/>
  <c r="DY82" i="2" s="1"/>
  <c r="EV160" i="2"/>
  <c r="ES106" i="2"/>
  <c r="EU106" i="2" s="1"/>
  <c r="EI73" i="2"/>
  <c r="EF49" i="2"/>
  <c r="EE184" i="2"/>
  <c r="EA174" i="2"/>
  <c r="ET174" i="2" s="1"/>
  <c r="EM62" i="2"/>
  <c r="EH123" i="2"/>
  <c r="EE123" i="2"/>
  <c r="EP111" i="2"/>
  <c r="EA111" i="2"/>
  <c r="ET111" i="2" s="1"/>
  <c r="DV114" i="2"/>
  <c r="EL46" i="2"/>
  <c r="EA41" i="2"/>
  <c r="ET41" i="2" s="1"/>
  <c r="ES135" i="2"/>
  <c r="EU135" i="2" s="1"/>
  <c r="EH135" i="2"/>
  <c r="EB135" i="2"/>
  <c r="EA15" i="2"/>
  <c r="ET15" i="2" s="1"/>
  <c r="DU39" i="2"/>
  <c r="EP112" i="2"/>
  <c r="EM167" i="2"/>
  <c r="DW167" i="2"/>
  <c r="ER167" i="2"/>
  <c r="EF99" i="2"/>
  <c r="DW99" i="2"/>
  <c r="DZ171" i="2"/>
  <c r="DV171" i="2"/>
  <c r="ER171" i="2"/>
  <c r="EE178" i="2"/>
  <c r="EQ178" i="2"/>
  <c r="DV82" i="2"/>
  <c r="EO150" i="2"/>
  <c r="EM106" i="2"/>
  <c r="EE73" i="2"/>
  <c r="EO49" i="2"/>
  <c r="EP127" i="2"/>
  <c r="ER174" i="2"/>
  <c r="EL62" i="2"/>
  <c r="DU51" i="2"/>
  <c r="EO114" i="2"/>
  <c r="ER14" i="2"/>
  <c r="ES41" i="2"/>
  <c r="EU41" i="2" s="1"/>
  <c r="EM135" i="2"/>
  <c r="EE135" i="2"/>
  <c r="EI135" i="2"/>
  <c r="EB90" i="2"/>
  <c r="ES163" i="2"/>
  <c r="EU163" i="2" s="1"/>
  <c r="EJ167" i="2"/>
  <c r="ES167" i="2"/>
  <c r="EU167" i="2" s="1"/>
  <c r="EH99" i="2"/>
  <c r="EA99" i="2"/>
  <c r="ET99" i="2" s="1"/>
  <c r="EE171" i="2"/>
  <c r="EV171" i="2"/>
  <c r="EQ171" i="2"/>
  <c r="EM178" i="2"/>
  <c r="ES178" i="2"/>
  <c r="EU178" i="2" s="1"/>
  <c r="EB82" i="2"/>
  <c r="EQ150" i="2"/>
  <c r="EB106" i="2"/>
  <c r="EH73" i="2"/>
  <c r="ED49" i="2"/>
  <c r="DZ127" i="2"/>
  <c r="EJ174" i="2"/>
  <c r="EA62" i="2"/>
  <c r="ET62" i="2" s="1"/>
  <c r="ER155" i="2"/>
  <c r="EV51" i="2"/>
  <c r="EN129" i="2"/>
  <c r="EN118" i="2"/>
  <c r="EE156" i="2"/>
  <c r="EH33" i="2"/>
  <c r="EI185" i="2"/>
  <c r="EA185" i="2"/>
  <c r="ET185" i="2" s="1"/>
  <c r="ED162" i="2"/>
  <c r="EL172" i="2"/>
  <c r="DV146" i="2"/>
  <c r="EG109" i="2"/>
  <c r="EL68" i="2"/>
  <c r="EQ103" i="2"/>
  <c r="EA53" i="2"/>
  <c r="ET53" i="2" s="1"/>
  <c r="EL45" i="2"/>
  <c r="EB201" i="2"/>
  <c r="ER58" i="2"/>
  <c r="EA74" i="2"/>
  <c r="ET74" i="2" s="1"/>
  <c r="EJ157" i="2"/>
  <c r="EH132" i="2"/>
  <c r="EN108" i="2"/>
  <c r="EJ199" i="2"/>
  <c r="EA154" i="2"/>
  <c r="ET154" i="2" s="1"/>
  <c r="DZ136" i="2"/>
  <c r="EC159" i="2"/>
  <c r="EO113" i="2"/>
  <c r="EI14" i="2"/>
  <c r="EH173" i="2"/>
  <c r="EI176" i="2"/>
  <c r="DZ170" i="2"/>
  <c r="EP187" i="2"/>
  <c r="EA57" i="2"/>
  <c r="ET57" i="2" s="1"/>
  <c r="EL27" i="2"/>
  <c r="EO107" i="2"/>
  <c r="DZ65" i="2"/>
  <c r="EJ87" i="2"/>
  <c r="DU83" i="2"/>
  <c r="EO149" i="2"/>
  <c r="EE34" i="2"/>
  <c r="EH115" i="2"/>
  <c r="EI38" i="2"/>
  <c r="DW112" i="2"/>
  <c r="EQ77" i="2"/>
  <c r="EG190" i="2"/>
  <c r="ES181" i="2"/>
  <c r="EU181" i="2" s="1"/>
  <c r="DZ187" i="2"/>
  <c r="EP63" i="2"/>
  <c r="ES102" i="2"/>
  <c r="EU102" i="2" s="1"/>
  <c r="DW187" i="2"/>
  <c r="DZ57" i="2"/>
  <c r="EE27" i="2"/>
  <c r="ES21" i="2"/>
  <c r="EU21" i="2" s="1"/>
  <c r="EP65" i="2"/>
  <c r="EF87" i="2"/>
  <c r="EK15" i="2"/>
  <c r="EA83" i="2"/>
  <c r="ET83" i="2" s="1"/>
  <c r="DW149" i="2"/>
  <c r="EL34" i="2"/>
  <c r="EH38" i="2"/>
  <c r="EA112" i="2"/>
  <c r="ET112" i="2" s="1"/>
  <c r="EH77" i="2"/>
  <c r="EQ190" i="2"/>
  <c r="EI187" i="2"/>
  <c r="EK173" i="2"/>
  <c r="EE21" i="2"/>
  <c r="EA188" i="2"/>
  <c r="ET188" i="2" s="1"/>
  <c r="EK65" i="2"/>
  <c r="EI15" i="2"/>
  <c r="EG83" i="2"/>
  <c r="EQ149" i="2"/>
  <c r="EN34" i="2"/>
  <c r="EN180" i="2"/>
  <c r="EL38" i="2"/>
  <c r="EO112" i="2"/>
  <c r="EC190" i="2"/>
  <c r="EJ189" i="2"/>
  <c r="EJ176" i="2"/>
  <c r="DV63" i="2"/>
  <c r="EQ52" i="2"/>
  <c r="EE65" i="2"/>
  <c r="EG180" i="2"/>
  <c r="DZ76" i="2"/>
  <c r="EF84" i="2"/>
  <c r="EO190" i="2"/>
  <c r="ES139" i="2"/>
  <c r="EU139" i="2" s="1"/>
  <c r="EO139" i="2"/>
  <c r="DZ139" i="2"/>
  <c r="EG139" i="2"/>
  <c r="EN139" i="2"/>
  <c r="ER56" i="2"/>
  <c r="DZ56" i="2"/>
  <c r="ED56" i="2"/>
  <c r="EB56" i="2"/>
  <c r="EV56" i="2"/>
  <c r="EP98" i="2"/>
  <c r="EN98" i="2"/>
  <c r="DV98" i="2"/>
  <c r="EC98" i="2"/>
  <c r="EQ98" i="2"/>
  <c r="EA98" i="2"/>
  <c r="ET98" i="2" s="1"/>
  <c r="EM72" i="2"/>
  <c r="EV72" i="2"/>
  <c r="EO72" i="2"/>
  <c r="EC72" i="2"/>
  <c r="EH72" i="2"/>
  <c r="EP72" i="2"/>
  <c r="EQ72" i="2"/>
  <c r="EB48" i="2"/>
  <c r="EG48" i="2"/>
  <c r="EI48" i="2"/>
  <c r="ED48" i="2"/>
  <c r="DV48" i="2"/>
  <c r="EQ48" i="2"/>
  <c r="EB105" i="2"/>
  <c r="DW105" i="2"/>
  <c r="ED105" i="2"/>
  <c r="EA105" i="2"/>
  <c r="ET105" i="2" s="1"/>
  <c r="ES105" i="2"/>
  <c r="EU105" i="2" s="1"/>
  <c r="EV105" i="2"/>
  <c r="EG105" i="2"/>
  <c r="EC105" i="2"/>
  <c r="EP105" i="2"/>
  <c r="EK85" i="2"/>
  <c r="EM85" i="2"/>
  <c r="DW85" i="2"/>
  <c r="DV85" i="2"/>
  <c r="EO85" i="2"/>
  <c r="DZ85" i="2"/>
  <c r="EB85" i="2"/>
  <c r="ES85" i="2"/>
  <c r="EU85" i="2" s="1"/>
  <c r="EH85" i="2"/>
  <c r="ER85" i="2"/>
  <c r="EF85" i="2"/>
  <c r="DX85" i="2"/>
  <c r="DY85" i="2" s="1"/>
  <c r="EQ85" i="2"/>
  <c r="ES43" i="2"/>
  <c r="EU43" i="2" s="1"/>
  <c r="EE43" i="2"/>
  <c r="EO43" i="2"/>
  <c r="EI43" i="2"/>
  <c r="DZ43" i="2"/>
  <c r="EK43" i="2"/>
  <c r="ER43" i="2"/>
  <c r="DU43" i="2"/>
  <c r="EP43" i="2"/>
  <c r="EB43" i="2"/>
  <c r="EQ43" i="2"/>
  <c r="DW43" i="2"/>
  <c r="EJ43" i="2"/>
  <c r="ES119" i="2"/>
  <c r="EU119" i="2" s="1"/>
  <c r="EB119" i="2"/>
  <c r="DV119" i="2"/>
  <c r="ED119" i="2"/>
  <c r="ER119" i="2"/>
  <c r="DX119" i="2"/>
  <c r="DY119" i="2" s="1"/>
  <c r="EP119" i="2"/>
  <c r="EJ119" i="2"/>
  <c r="EQ119" i="2"/>
  <c r="EK119" i="2"/>
  <c r="DZ119" i="2"/>
  <c r="EL130" i="2"/>
  <c r="EN130" i="2"/>
  <c r="DV130" i="2"/>
  <c r="EJ130" i="2"/>
  <c r="EI194" i="2"/>
  <c r="DZ194" i="2"/>
  <c r="ES194" i="2"/>
  <c r="EU194" i="2" s="1"/>
  <c r="EV194" i="2"/>
  <c r="EL194" i="2"/>
  <c r="EM194" i="2"/>
  <c r="EH194" i="2"/>
  <c r="EG194" i="2"/>
  <c r="EA194" i="2"/>
  <c r="ET194" i="2" s="1"/>
  <c r="EF194" i="2"/>
  <c r="EN194" i="2"/>
  <c r="EK194" i="2"/>
  <c r="EC194" i="2"/>
  <c r="DX194" i="2"/>
  <c r="DY194" i="2" s="1"/>
  <c r="ER194" i="2"/>
  <c r="ED194" i="2"/>
  <c r="EB194" i="2"/>
  <c r="EO194" i="2"/>
  <c r="EJ194" i="2"/>
  <c r="EF52" i="2"/>
  <c r="DW194" i="2"/>
  <c r="EG72" i="2"/>
  <c r="ER29" i="2"/>
  <c r="EA29" i="2"/>
  <c r="ET29" i="2" s="1"/>
  <c r="EB29" i="2"/>
  <c r="EP29" i="2"/>
  <c r="EG29" i="2"/>
  <c r="EK29" i="2"/>
  <c r="ES29" i="2"/>
  <c r="EU29" i="2" s="1"/>
  <c r="EQ29" i="2"/>
  <c r="EE29" i="2"/>
  <c r="DU29" i="2"/>
  <c r="ED29" i="2"/>
  <c r="EM29" i="2"/>
  <c r="EH29" i="2"/>
  <c r="EN29" i="2"/>
  <c r="EC29" i="2"/>
  <c r="EO29" i="2"/>
  <c r="EL29" i="2"/>
  <c r="EF29" i="2"/>
  <c r="EI29" i="2"/>
  <c r="EJ29" i="2"/>
  <c r="DZ29" i="2"/>
  <c r="DX29" i="2"/>
  <c r="DY29" i="2" s="1"/>
  <c r="EO117" i="2"/>
  <c r="ED117" i="2"/>
  <c r="EA117" i="2"/>
  <c r="ET117" i="2" s="1"/>
  <c r="DU117" i="2"/>
  <c r="DX117" i="2"/>
  <c r="DY117" i="2" s="1"/>
  <c r="EN117" i="2"/>
  <c r="EK117" i="2"/>
  <c r="EM176" i="2"/>
  <c r="EQ176" i="2"/>
  <c r="DW176" i="2"/>
  <c r="EH176" i="2"/>
  <c r="EK176" i="2"/>
  <c r="EF176" i="2"/>
  <c r="EC176" i="2"/>
  <c r="EO176" i="2"/>
  <c r="EE176" i="2"/>
  <c r="EB176" i="2"/>
  <c r="ER176" i="2"/>
  <c r="DV176" i="2"/>
  <c r="EK64" i="2"/>
  <c r="EG64" i="2"/>
  <c r="EQ64" i="2"/>
  <c r="EF64" i="2"/>
  <c r="EO44" i="2"/>
  <c r="EJ44" i="2"/>
  <c r="DU9" i="2"/>
  <c r="EP9" i="2"/>
  <c r="EJ9" i="2"/>
  <c r="DZ9" i="2"/>
  <c r="EC9" i="2"/>
  <c r="EK9" i="2"/>
  <c r="EF9" i="2"/>
  <c r="EO9" i="2"/>
  <c r="EN9" i="2"/>
  <c r="EA9" i="2"/>
  <c r="ET9" i="2" s="1"/>
  <c r="EO121" i="2"/>
  <c r="DU121" i="2"/>
  <c r="EJ121" i="2"/>
  <c r="EK121" i="2"/>
  <c r="EH121" i="2"/>
  <c r="EA121" i="2"/>
  <c r="ET121" i="2" s="1"/>
  <c r="DV121" i="2"/>
  <c r="DZ121" i="2"/>
  <c r="EN121" i="2"/>
  <c r="EM121" i="2"/>
  <c r="DX121" i="2"/>
  <c r="DY121" i="2" s="1"/>
  <c r="ES121" i="2"/>
  <c r="EU121" i="2" s="1"/>
  <c r="EP121" i="2"/>
  <c r="EF121" i="2"/>
  <c r="EI79" i="2"/>
  <c r="ES79" i="2"/>
  <c r="EU79" i="2" s="1"/>
  <c r="EB79" i="2"/>
  <c r="DV186" i="2"/>
  <c r="ER186" i="2"/>
  <c r="EE186" i="2"/>
  <c r="EN186" i="2"/>
  <c r="EA186" i="2"/>
  <c r="ET186" i="2" s="1"/>
  <c r="ED186" i="2"/>
  <c r="EK186" i="2"/>
  <c r="DX186" i="2"/>
  <c r="DY186" i="2" s="1"/>
  <c r="EF186" i="2"/>
  <c r="EJ186" i="2"/>
  <c r="EE86" i="2"/>
  <c r="EC86" i="2"/>
  <c r="ER86" i="2"/>
  <c r="EN86" i="2"/>
  <c r="EB86" i="2"/>
  <c r="EP86" i="2"/>
  <c r="EC115" i="2"/>
  <c r="EM115" i="2"/>
  <c r="EF115" i="2"/>
  <c r="EJ115" i="2"/>
  <c r="EI89" i="2"/>
  <c r="EK89" i="2"/>
  <c r="EV89" i="2"/>
  <c r="EA89" i="2"/>
  <c r="ET89" i="2" s="1"/>
  <c r="ES89" i="2"/>
  <c r="EU89" i="2" s="1"/>
  <c r="EJ89" i="2"/>
  <c r="EO89" i="2"/>
  <c r="EV176" i="2"/>
  <c r="EE140" i="2"/>
  <c r="EE194" i="2"/>
  <c r="DV115" i="2"/>
  <c r="ES86" i="2"/>
  <c r="EU86" i="2" s="1"/>
  <c r="ED196" i="2"/>
  <c r="EO196" i="2"/>
  <c r="ES196" i="2"/>
  <c r="EU196" i="2" s="1"/>
  <c r="EG196" i="2"/>
  <c r="DU196" i="2"/>
  <c r="EJ196" i="2"/>
  <c r="DX170" i="2"/>
  <c r="DY170" i="2" s="1"/>
  <c r="EM170" i="2"/>
  <c r="EQ170" i="2"/>
  <c r="EF170" i="2"/>
  <c r="DU170" i="2"/>
  <c r="EV170" i="2"/>
  <c r="DW102" i="2"/>
  <c r="EL102" i="2"/>
  <c r="ED102" i="2"/>
  <c r="EK102" i="2"/>
  <c r="EP102" i="2"/>
  <c r="EI102" i="2"/>
  <c r="EB102" i="2"/>
  <c r="EK19" i="2"/>
  <c r="EC19" i="2"/>
  <c r="ES19" i="2"/>
  <c r="EU19" i="2" s="1"/>
  <c r="EN19" i="2"/>
  <c r="EA19" i="2"/>
  <c r="ET19" i="2" s="1"/>
  <c r="ED19" i="2"/>
  <c r="EI19" i="2"/>
  <c r="EF57" i="2"/>
  <c r="EL57" i="2"/>
  <c r="EN57" i="2"/>
  <c r="EE57" i="2"/>
  <c r="EO57" i="2"/>
  <c r="ES27" i="2"/>
  <c r="EU27" i="2" s="1"/>
  <c r="EH27" i="2"/>
  <c r="ER27" i="2"/>
  <c r="EP27" i="2"/>
  <c r="DX27" i="2"/>
  <c r="DY27" i="2" s="1"/>
  <c r="EA27" i="2"/>
  <c r="ET27" i="2" s="1"/>
  <c r="EO27" i="2"/>
  <c r="DX104" i="2"/>
  <c r="DY104" i="2" s="1"/>
  <c r="DU104" i="2"/>
  <c r="DV104" i="2"/>
  <c r="DZ104" i="2"/>
  <c r="EN104" i="2"/>
  <c r="EA104" i="2"/>
  <c r="ET104" i="2" s="1"/>
  <c r="EM104" i="2"/>
  <c r="DW104" i="2"/>
  <c r="ED104" i="2"/>
  <c r="EC173" i="2"/>
  <c r="EE173" i="2"/>
  <c r="EB173" i="2"/>
  <c r="EG173" i="2"/>
  <c r="EL173" i="2"/>
  <c r="EA173" i="2"/>
  <c r="ET173" i="2" s="1"/>
  <c r="EM173" i="2"/>
  <c r="DV21" i="2"/>
  <c r="EG21" i="2"/>
  <c r="EK21" i="2"/>
  <c r="DW21" i="2"/>
  <c r="ER21" i="2"/>
  <c r="DX21" i="2"/>
  <c r="DY21" i="2" s="1"/>
  <c r="DZ21" i="2"/>
  <c r="EQ21" i="2"/>
  <c r="EL32" i="2"/>
  <c r="EH32" i="2"/>
  <c r="EC32" i="2"/>
  <c r="DZ32" i="2"/>
  <c r="EO32" i="2"/>
  <c r="EJ32" i="2"/>
  <c r="EG32" i="2"/>
  <c r="EK32" i="2"/>
  <c r="EF32" i="2"/>
  <c r="EP32" i="2"/>
  <c r="ER32" i="2"/>
  <c r="EC113" i="2"/>
  <c r="EA113" i="2"/>
  <c r="ET113" i="2" s="1"/>
  <c r="EB113" i="2"/>
  <c r="DV113" i="2"/>
  <c r="ER113" i="2"/>
  <c r="EE113" i="2"/>
  <c r="EJ113" i="2"/>
  <c r="EG113" i="2"/>
  <c r="ED113" i="2"/>
  <c r="EF113" i="2"/>
  <c r="DZ113" i="2"/>
  <c r="EV46" i="2"/>
  <c r="EF46" i="2"/>
  <c r="DW46" i="2"/>
  <c r="EI46" i="2"/>
  <c r="EC46" i="2"/>
  <c r="DU46" i="2"/>
  <c r="EN46" i="2"/>
  <c r="DV46" i="2"/>
  <c r="EH46" i="2"/>
  <c r="EJ46" i="2"/>
  <c r="EP46" i="2"/>
  <c r="EC14" i="2"/>
  <c r="EK14" i="2"/>
  <c r="EP14" i="2"/>
  <c r="EO14" i="2"/>
  <c r="EG14" i="2"/>
  <c r="EF14" i="2"/>
  <c r="EA14" i="2"/>
  <c r="ET14" i="2" s="1"/>
  <c r="EN14" i="2"/>
  <c r="DZ14" i="2"/>
  <c r="EE14" i="2"/>
  <c r="DX14" i="2"/>
  <c r="DY14" i="2" s="1"/>
  <c r="ED14" i="2"/>
  <c r="EJ137" i="2"/>
  <c r="EK137" i="2"/>
  <c r="EC137" i="2"/>
  <c r="DU137" i="2"/>
  <c r="ED137" i="2"/>
  <c r="EB137" i="2"/>
  <c r="ER137" i="2"/>
  <c r="EI137" i="2"/>
  <c r="EV137" i="2"/>
  <c r="EH137" i="2"/>
  <c r="ES137" i="2"/>
  <c r="EU137" i="2" s="1"/>
  <c r="DW137" i="2"/>
  <c r="EO137" i="2"/>
  <c r="EL137" i="2"/>
  <c r="EQ107" i="2"/>
  <c r="DV107" i="2"/>
  <c r="EA107" i="2"/>
  <c r="ET107" i="2" s="1"/>
  <c r="EE107" i="2"/>
  <c r="EV107" i="2"/>
  <c r="ED107" i="2"/>
  <c r="EK107" i="2"/>
  <c r="EF107" i="2"/>
  <c r="EH107" i="2"/>
  <c r="DW107" i="2"/>
  <c r="EL107" i="2"/>
  <c r="EG107" i="2"/>
  <c r="EC107" i="2"/>
  <c r="DX107" i="2"/>
  <c r="DY107" i="2" s="1"/>
  <c r="EI107" i="2"/>
  <c r="EC131" i="2"/>
  <c r="ER131" i="2"/>
  <c r="DU59" i="2"/>
  <c r="EQ59" i="2"/>
  <c r="EG59" i="2"/>
  <c r="EF59" i="2"/>
  <c r="EL59" i="2"/>
  <c r="EK59" i="2"/>
  <c r="DW59" i="2"/>
  <c r="EV59" i="2"/>
  <c r="EC59" i="2"/>
  <c r="ER59" i="2"/>
  <c r="EH59" i="2"/>
  <c r="EA59" i="2"/>
  <c r="ET59" i="2" s="1"/>
  <c r="EB13" i="2"/>
  <c r="DU13" i="2"/>
  <c r="DV13" i="2"/>
  <c r="DW13" i="2"/>
  <c r="DX13" i="2" s="1"/>
  <c r="DY13" i="2" s="1"/>
  <c r="EC47" i="2"/>
  <c r="EB47" i="2"/>
  <c r="DZ47" i="2"/>
  <c r="DU47" i="2"/>
  <c r="EI47" i="2"/>
  <c r="EH47" i="2"/>
  <c r="DX47" i="2"/>
  <c r="DY47" i="2" s="1"/>
  <c r="ER47" i="2"/>
  <c r="EG47" i="2"/>
  <c r="EQ47" i="2"/>
  <c r="ED47" i="2"/>
  <c r="EO47" i="2"/>
  <c r="EN47" i="2"/>
  <c r="EJ47" i="2"/>
  <c r="EM47" i="2"/>
  <c r="DW47" i="2"/>
  <c r="ED187" i="2"/>
  <c r="EB187" i="2"/>
  <c r="DU187" i="2"/>
  <c r="DV187" i="2"/>
  <c r="EN187" i="2"/>
  <c r="ES187" i="2"/>
  <c r="EU187" i="2" s="1"/>
  <c r="EH187" i="2"/>
  <c r="EM187" i="2"/>
  <c r="EQ187" i="2"/>
  <c r="ER187" i="2"/>
  <c r="EK187" i="2"/>
  <c r="EL187" i="2"/>
  <c r="EK88" i="2"/>
  <c r="DX88" i="2"/>
  <c r="DY88" i="2" s="1"/>
  <c r="EI88" i="2"/>
  <c r="EV88" i="2"/>
  <c r="EL88" i="2"/>
  <c r="EE88" i="2"/>
  <c r="EJ88" i="2"/>
  <c r="ES88" i="2"/>
  <c r="EU88" i="2" s="1"/>
  <c r="DW88" i="2"/>
  <c r="EB88" i="2"/>
  <c r="DV88" i="2"/>
  <c r="DZ88" i="2"/>
  <c r="EO88" i="2"/>
  <c r="DU88" i="2"/>
  <c r="EM88" i="2"/>
  <c r="EM71" i="2"/>
  <c r="EF71" i="2"/>
  <c r="EJ71" i="2"/>
  <c r="EB71" i="2"/>
  <c r="ER71" i="2"/>
  <c r="DV71" i="2"/>
  <c r="EV71" i="2"/>
  <c r="EL71" i="2"/>
  <c r="ED71" i="2"/>
  <c r="EL176" i="2"/>
  <c r="EQ102" i="2"/>
  <c r="EP140" i="2"/>
  <c r="EH140" i="2"/>
  <c r="EK56" i="2"/>
  <c r="EE187" i="2"/>
  <c r="EO187" i="2"/>
  <c r="ES113" i="2"/>
  <c r="EU113" i="2" s="1"/>
  <c r="ER57" i="2"/>
  <c r="EB46" i="2"/>
  <c r="EF27" i="2"/>
  <c r="EH52" i="2"/>
  <c r="EB14" i="2"/>
  <c r="DX137" i="2"/>
  <c r="DY137" i="2" s="1"/>
  <c r="EV173" i="2"/>
  <c r="EJ107" i="2"/>
  <c r="EA21" i="2"/>
  <c r="ET21" i="2" s="1"/>
  <c r="EQ32" i="2"/>
  <c r="DZ63" i="2"/>
  <c r="EP194" i="2"/>
  <c r="EJ59" i="2"/>
  <c r="EG43" i="2"/>
  <c r="DW29" i="2"/>
  <c r="EH86" i="2"/>
  <c r="ES176" i="2"/>
  <c r="EU176" i="2" s="1"/>
  <c r="EV102" i="2"/>
  <c r="DZ140" i="2"/>
  <c r="EL140" i="2"/>
  <c r="EG170" i="2"/>
  <c r="EA187" i="2"/>
  <c r="ET187" i="2" s="1"/>
  <c r="EJ187" i="2"/>
  <c r="DW113" i="2"/>
  <c r="EG57" i="2"/>
  <c r="DX46" i="2"/>
  <c r="DY46" i="2" s="1"/>
  <c r="DZ52" i="2"/>
  <c r="ES14" i="2"/>
  <c r="EU14" i="2" s="1"/>
  <c r="EV104" i="2"/>
  <c r="DZ137" i="2"/>
  <c r="EI173" i="2"/>
  <c r="ES107" i="2"/>
  <c r="EU107" i="2" s="1"/>
  <c r="EE32" i="2"/>
  <c r="ER19" i="2"/>
  <c r="ER63" i="2"/>
  <c r="DZ105" i="2"/>
  <c r="DW145" i="2"/>
  <c r="DZ59" i="2"/>
  <c r="DX43" i="2"/>
  <c r="DY43" i="2" s="1"/>
  <c r="EL143" i="2"/>
  <c r="ED88" i="2"/>
  <c r="DV47" i="2"/>
  <c r="EQ121" i="2"/>
  <c r="EM9" i="2"/>
  <c r="EA131" i="2"/>
  <c r="ET131" i="2" s="1"/>
  <c r="EN176" i="2"/>
  <c r="EG102" i="2"/>
  <c r="DW140" i="2"/>
  <c r="ER170" i="2"/>
  <c r="EF187" i="2"/>
  <c r="EM113" i="2"/>
  <c r="EQ113" i="2"/>
  <c r="ED57" i="2"/>
  <c r="ER46" i="2"/>
  <c r="DV14" i="2"/>
  <c r="EG104" i="2"/>
  <c r="EE137" i="2"/>
  <c r="ER173" i="2"/>
  <c r="DZ107" i="2"/>
  <c r="EA32" i="2"/>
  <c r="ET32" i="2" s="1"/>
  <c r="EV19" i="2"/>
  <c r="ER105" i="2"/>
  <c r="EP59" i="2"/>
  <c r="EV43" i="2"/>
  <c r="EI121" i="2"/>
  <c r="ER9" i="2"/>
  <c r="L2" i="9"/>
  <c r="ER128" i="2"/>
  <c r="EO128" i="2"/>
  <c r="ED128" i="2"/>
  <c r="EV128" i="2"/>
  <c r="DV128" i="2"/>
  <c r="EQ66" i="2"/>
  <c r="DU66" i="2"/>
  <c r="EP66" i="2"/>
  <c r="EC66" i="2"/>
  <c r="EK66" i="2"/>
  <c r="DV152" i="2"/>
  <c r="DU152" i="2"/>
  <c r="EV152" i="2"/>
  <c r="EP145" i="2"/>
  <c r="EE145" i="2"/>
  <c r="EM145" i="2"/>
  <c r="ER145" i="2"/>
  <c r="EQ145" i="2"/>
  <c r="DZ145" i="2"/>
  <c r="EK145" i="2"/>
  <c r="EB145" i="2"/>
  <c r="EG116" i="2"/>
  <c r="EF116" i="2"/>
  <c r="EI116" i="2"/>
  <c r="EF140" i="2"/>
  <c r="EJ140" i="2"/>
  <c r="EV140" i="2"/>
  <c r="EG140" i="2"/>
  <c r="DX140" i="2"/>
  <c r="DY140" i="2" s="1"/>
  <c r="EN140" i="2"/>
  <c r="EK140" i="2"/>
  <c r="EI140" i="2"/>
  <c r="ES140" i="2"/>
  <c r="EU140" i="2" s="1"/>
  <c r="DU140" i="2"/>
  <c r="EV52" i="2"/>
  <c r="EG52" i="2"/>
  <c r="EI52" i="2"/>
  <c r="EL52" i="2"/>
  <c r="EP52" i="2"/>
  <c r="EA52" i="2"/>
  <c r="ET52" i="2" s="1"/>
  <c r="DV52" i="2"/>
  <c r="EE52" i="2"/>
  <c r="ER52" i="2"/>
  <c r="ES52" i="2"/>
  <c r="EU52" i="2" s="1"/>
  <c r="DX52" i="2"/>
  <c r="DY52" i="2" s="1"/>
  <c r="EM52" i="2"/>
  <c r="DU52" i="2"/>
  <c r="EJ52" i="2"/>
  <c r="EB52" i="2"/>
  <c r="DW52" i="2"/>
  <c r="EK52" i="2"/>
  <c r="EO97" i="2"/>
  <c r="EJ97" i="2"/>
  <c r="DZ97" i="2"/>
  <c r="EP97" i="2"/>
  <c r="EN97" i="2"/>
  <c r="DX97" i="2"/>
  <c r="DY97" i="2" s="1"/>
  <c r="EA97" i="2"/>
  <c r="ET97" i="2" s="1"/>
  <c r="EL97" i="2"/>
  <c r="EC97" i="2"/>
  <c r="EV97" i="2"/>
  <c r="ES97" i="2"/>
  <c r="EU97" i="2" s="1"/>
  <c r="EI97" i="2"/>
  <c r="EH97" i="2"/>
  <c r="DU97" i="2"/>
  <c r="ED97" i="2"/>
  <c r="EK97" i="2"/>
  <c r="ER97" i="2"/>
  <c r="EM97" i="2"/>
  <c r="EB97" i="2"/>
  <c r="EF148" i="2"/>
  <c r="DX148" i="2"/>
  <c r="DY148" i="2" s="1"/>
  <c r="EG148" i="2"/>
  <c r="EO148" i="2"/>
  <c r="EE148" i="2"/>
  <c r="EJ148" i="2"/>
  <c r="EO140" i="2"/>
  <c r="DX56" i="2"/>
  <c r="DY56" i="2" s="1"/>
  <c r="EB128" i="2"/>
  <c r="EF97" i="2"/>
  <c r="EV17" i="2"/>
  <c r="ES17" i="2"/>
  <c r="EU17" i="2" s="1"/>
  <c r="EM17" i="2"/>
  <c r="EB17" i="2"/>
  <c r="EF17" i="2"/>
  <c r="ER17" i="2"/>
  <c r="DV166" i="2"/>
  <c r="EP166" i="2"/>
  <c r="ER166" i="2"/>
  <c r="DX166" i="2"/>
  <c r="DY166" i="2" s="1"/>
  <c r="EB31" i="2"/>
  <c r="EE31" i="2"/>
  <c r="ED31" i="2"/>
  <c r="EN31" i="2"/>
  <c r="DU31" i="2"/>
  <c r="EH31" i="2"/>
  <c r="DV31" i="2"/>
  <c r="EH28" i="2"/>
  <c r="EA28" i="2"/>
  <c r="ET28" i="2" s="1"/>
  <c r="DX28" i="2"/>
  <c r="DY28" i="2" s="1"/>
  <c r="EI28" i="2"/>
  <c r="ED28" i="2"/>
  <c r="DV28" i="2"/>
  <c r="EL28" i="2"/>
  <c r="ES28" i="2"/>
  <c r="EU28" i="2" s="1"/>
  <c r="EP28" i="2"/>
  <c r="EQ28" i="2"/>
  <c r="EK28" i="2"/>
  <c r="DZ28" i="2"/>
  <c r="EM28" i="2"/>
  <c r="EJ28" i="2"/>
  <c r="DX60" i="2"/>
  <c r="DY60" i="2" s="1"/>
  <c r="EJ60" i="2"/>
  <c r="DZ110" i="2"/>
  <c r="EB110" i="2"/>
  <c r="EE110" i="2"/>
  <c r="EQ110" i="2"/>
  <c r="DX110" i="2"/>
  <c r="DY110" i="2" s="1"/>
  <c r="DV110" i="2"/>
  <c r="EC179" i="2"/>
  <c r="DX179" i="2"/>
  <c r="DY179" i="2" s="1"/>
  <c r="EI179" i="2"/>
  <c r="EK179" i="2"/>
  <c r="EQ125" i="2"/>
  <c r="EL125" i="2"/>
  <c r="EB125" i="2"/>
  <c r="EN125" i="2"/>
  <c r="EH126" i="2"/>
  <c r="EB126" i="2"/>
  <c r="DV126" i="2"/>
  <c r="DX126" i="2"/>
  <c r="DY126" i="2" s="1"/>
  <c r="ED126" i="2"/>
  <c r="ER126" i="2"/>
  <c r="ER188" i="2"/>
  <c r="DZ188" i="2"/>
  <c r="EJ188" i="2"/>
  <c r="ES188" i="2"/>
  <c r="EU188" i="2" s="1"/>
  <c r="ED188" i="2"/>
  <c r="DX101" i="2"/>
  <c r="DY101" i="2" s="1"/>
  <c r="EL101" i="2"/>
  <c r="DW101" i="2"/>
  <c r="EO101" i="2"/>
  <c r="EH101" i="2"/>
  <c r="EE63" i="2"/>
  <c r="EJ63" i="2"/>
  <c r="EQ63" i="2"/>
  <c r="DW63" i="2"/>
  <c r="EV63" i="2"/>
  <c r="ES63" i="2"/>
  <c r="EU63" i="2" s="1"/>
  <c r="EI63" i="2"/>
  <c r="EM63" i="2"/>
  <c r="EO63" i="2"/>
  <c r="DX63" i="2"/>
  <c r="DY63" i="2" s="1"/>
  <c r="EC63" i="2"/>
  <c r="EG63" i="2"/>
  <c r="EH63" i="2"/>
  <c r="EN63" i="2"/>
  <c r="EF63" i="2"/>
  <c r="EB63" i="2"/>
  <c r="EL63" i="2"/>
  <c r="DU63" i="2"/>
  <c r="EK63" i="2"/>
  <c r="EA176" i="2"/>
  <c r="ET176" i="2" s="1"/>
  <c r="EC56" i="2"/>
  <c r="EC52" i="2"/>
  <c r="EA63" i="2"/>
  <c r="ET63" i="2" s="1"/>
  <c r="EE97" i="2"/>
  <c r="DV29" i="2"/>
  <c r="EQ143" i="2"/>
  <c r="DV143" i="2"/>
  <c r="EI143" i="2"/>
  <c r="ER143" i="2"/>
  <c r="EP143" i="2"/>
  <c r="DZ176" i="2"/>
  <c r="DX176" i="2"/>
  <c r="DY176" i="2" s="1"/>
  <c r="EN102" i="2"/>
  <c r="EB140" i="2"/>
  <c r="EC140" i="2"/>
  <c r="EE170" i="2"/>
  <c r="EV187" i="2"/>
  <c r="EK113" i="2"/>
  <c r="EN113" i="2"/>
  <c r="ED46" i="2"/>
  <c r="ED52" i="2"/>
  <c r="EM14" i="2"/>
  <c r="EK104" i="2"/>
  <c r="EA137" i="2"/>
  <c r="ET137" i="2" s="1"/>
  <c r="EJ173" i="2"/>
  <c r="EM107" i="2"/>
  <c r="EB32" i="2"/>
  <c r="EE101" i="2"/>
  <c r="ER66" i="2"/>
  <c r="EG98" i="2"/>
  <c r="EN85" i="2"/>
  <c r="DV43" i="2"/>
  <c r="EL126" i="2"/>
  <c r="EE28" i="2"/>
  <c r="EP176" i="2"/>
  <c r="EG176" i="2"/>
  <c r="EH102" i="2"/>
  <c r="EQ140" i="2"/>
  <c r="EC170" i="2"/>
  <c r="DX187" i="2"/>
  <c r="DY187" i="2" s="1"/>
  <c r="EP113" i="2"/>
  <c r="EV113" i="2"/>
  <c r="DZ46" i="2"/>
  <c r="EN52" i="2"/>
  <c r="EL14" i="2"/>
  <c r="EO104" i="2"/>
  <c r="EN137" i="2"/>
  <c r="EN107" i="2"/>
  <c r="ED32" i="2"/>
  <c r="EP110" i="2"/>
  <c r="ED66" i="2"/>
  <c r="DZ98" i="2"/>
  <c r="DU85" i="2"/>
  <c r="EA48" i="2"/>
  <c r="ET48" i="2" s="1"/>
  <c r="EC139" i="2"/>
  <c r="DU28" i="2"/>
  <c r="EP181" i="2"/>
  <c r="EF181" i="2"/>
  <c r="DU181" i="2"/>
  <c r="DZ181" i="2"/>
  <c r="DX181" i="2"/>
  <c r="DY181" i="2" s="1"/>
  <c r="DV181" i="2"/>
  <c r="EI181" i="2"/>
  <c r="EV181" i="2"/>
  <c r="EL181" i="2"/>
  <c r="EG181" i="2"/>
  <c r="EA181" i="2"/>
  <c r="ET181" i="2" s="1"/>
  <c r="EK181" i="2"/>
  <c r="EC181" i="2"/>
  <c r="EM181" i="2"/>
  <c r="ED181" i="2"/>
  <c r="EH181" i="2"/>
  <c r="EB181" i="2"/>
  <c r="EE181" i="2"/>
  <c r="DW147" i="2"/>
  <c r="EG147" i="2"/>
  <c r="DX147" i="2"/>
  <c r="DY147" i="2" s="1"/>
  <c r="EF147" i="2"/>
  <c r="ER147" i="2"/>
  <c r="EL147" i="2"/>
  <c r="ES147" i="2"/>
  <c r="EU147" i="2" s="1"/>
  <c r="DV147" i="2"/>
  <c r="EB147" i="2"/>
  <c r="ES95" i="2"/>
  <c r="EU95" i="2" s="1"/>
  <c r="EK95" i="2"/>
  <c r="EM95" i="2"/>
  <c r="EN95" i="2"/>
  <c r="DX95" i="2"/>
  <c r="DY95" i="2" s="1"/>
  <c r="ER95" i="2"/>
  <c r="DZ95" i="2"/>
  <c r="EF39" i="2"/>
  <c r="EK39" i="2"/>
  <c r="ES39" i="2"/>
  <c r="EU39" i="2" s="1"/>
  <c r="EA39" i="2"/>
  <c r="ET39" i="2" s="1"/>
  <c r="EJ39" i="2"/>
  <c r="EO39" i="2"/>
  <c r="ED39" i="2"/>
  <c r="EI39" i="2"/>
  <c r="DX39" i="2"/>
  <c r="DY39" i="2" s="1"/>
  <c r="DV39" i="2"/>
  <c r="EN39" i="2"/>
  <c r="EV39" i="2"/>
  <c r="EQ39" i="2"/>
  <c r="EE39" i="2"/>
  <c r="DZ39" i="2"/>
  <c r="EK163" i="2"/>
  <c r="ED163" i="2"/>
  <c r="DZ163" i="2"/>
  <c r="EG163" i="2"/>
  <c r="EH163" i="2"/>
  <c r="DW163" i="2"/>
  <c r="EI163" i="2"/>
  <c r="ER163" i="2"/>
  <c r="EL163" i="2"/>
  <c r="EE163" i="2"/>
  <c r="EF163" i="2"/>
  <c r="EV163" i="2"/>
  <c r="EM163" i="2"/>
  <c r="DU163" i="2"/>
  <c r="EA163" i="2"/>
  <c r="ET163" i="2" s="1"/>
  <c r="EC163" i="2"/>
  <c r="DV163" i="2"/>
  <c r="EJ163" i="2"/>
  <c r="EP163" i="2"/>
  <c r="ES83" i="2"/>
  <c r="EU83" i="2" s="1"/>
  <c r="DV83" i="2"/>
  <c r="EC83" i="2"/>
  <c r="EJ83" i="2"/>
  <c r="DZ83" i="2"/>
  <c r="EP83" i="2"/>
  <c r="EE83" i="2"/>
  <c r="EO83" i="2"/>
  <c r="DX83" i="2"/>
  <c r="DY83" i="2" s="1"/>
  <c r="EM83" i="2"/>
  <c r="EK83" i="2"/>
  <c r="EQ83" i="2"/>
  <c r="ED83" i="2"/>
  <c r="EL83" i="2"/>
  <c r="EH83" i="2"/>
  <c r="EV34" i="2"/>
  <c r="EF34" i="2"/>
  <c r="EQ34" i="2"/>
  <c r="EG34" i="2"/>
  <c r="ES34" i="2"/>
  <c r="EU34" i="2" s="1"/>
  <c r="EH34" i="2"/>
  <c r="DZ34" i="2"/>
  <c r="EO34" i="2"/>
  <c r="EM34" i="2"/>
  <c r="DV34" i="2"/>
  <c r="EC34" i="2"/>
  <c r="ED34" i="2"/>
  <c r="EA34" i="2"/>
  <c r="ET34" i="2" s="1"/>
  <c r="EK34" i="2"/>
  <c r="EV77" i="2"/>
  <c r="DV77" i="2"/>
  <c r="ES77" i="2"/>
  <c r="EU77" i="2" s="1"/>
  <c r="EI77" i="2"/>
  <c r="EJ77" i="2"/>
  <c r="EM77" i="2"/>
  <c r="EE77" i="2"/>
  <c r="EG77" i="2"/>
  <c r="EK77" i="2"/>
  <c r="DZ77" i="2"/>
  <c r="ED77" i="2"/>
  <c r="EO77" i="2"/>
  <c r="DU77" i="2"/>
  <c r="EC77" i="2"/>
  <c r="EB77" i="2"/>
  <c r="DX77" i="2"/>
  <c r="DY77" i="2" s="1"/>
  <c r="EF77" i="2"/>
  <c r="EG15" i="2"/>
  <c r="EM15" i="2"/>
  <c r="DV15" i="2"/>
  <c r="DX15" i="2"/>
  <c r="DY15" i="2" s="1"/>
  <c r="EQ15" i="2"/>
  <c r="EH15" i="2"/>
  <c r="DU15" i="2"/>
  <c r="EF15" i="2"/>
  <c r="EE15" i="2"/>
  <c r="EC15" i="2"/>
  <c r="ED15" i="2"/>
  <c r="EL15" i="2"/>
  <c r="DW15" i="2"/>
  <c r="ES15" i="2"/>
  <c r="EU15" i="2" s="1"/>
  <c r="EH87" i="2"/>
  <c r="EM87" i="2"/>
  <c r="EB87" i="2"/>
  <c r="EI87" i="2"/>
  <c r="EC87" i="2"/>
  <c r="ER87" i="2"/>
  <c r="EK87" i="2"/>
  <c r="DV87" i="2"/>
  <c r="ES87" i="2"/>
  <c r="EU87" i="2" s="1"/>
  <c r="DX87" i="2"/>
  <c r="DY87" i="2" s="1"/>
  <c r="EN87" i="2"/>
  <c r="DZ87" i="2"/>
  <c r="EP149" i="2"/>
  <c r="EF149" i="2"/>
  <c r="EC149" i="2"/>
  <c r="EL149" i="2"/>
  <c r="DZ149" i="2"/>
  <c r="EI149" i="2"/>
  <c r="EE149" i="2"/>
  <c r="EN149" i="2"/>
  <c r="ER149" i="2"/>
  <c r="EG149" i="2"/>
  <c r="EJ149" i="2"/>
  <c r="ES149" i="2"/>
  <c r="EU149" i="2" s="1"/>
  <c r="EV149" i="2"/>
  <c r="EK149" i="2"/>
  <c r="EH65" i="2"/>
  <c r="EG87" i="2"/>
  <c r="EO15" i="2"/>
  <c r="EF83" i="2"/>
  <c r="EN83" i="2"/>
  <c r="ED149" i="2"/>
  <c r="EB34" i="2"/>
  <c r="DU34" i="2"/>
  <c r="EL39" i="2"/>
  <c r="DW180" i="2"/>
  <c r="EN163" i="2"/>
  <c r="DW77" i="2"/>
  <c r="DZ190" i="2"/>
  <c r="EO181" i="2"/>
  <c r="DV65" i="2"/>
  <c r="EJ65" i="2"/>
  <c r="EI65" i="2"/>
  <c r="EV65" i="2"/>
  <c r="DX65" i="2"/>
  <c r="DY65" i="2" s="1"/>
  <c r="EQ65" i="2"/>
  <c r="ES65" i="2"/>
  <c r="EU65" i="2" s="1"/>
  <c r="ED65" i="2"/>
  <c r="EA65" i="2"/>
  <c r="ET65" i="2" s="1"/>
  <c r="EN65" i="2"/>
  <c r="EB65" i="2"/>
  <c r="EP18" i="2"/>
  <c r="EG18" i="2"/>
  <c r="ES18" i="2"/>
  <c r="EU18" i="2" s="1"/>
  <c r="ED18" i="2"/>
  <c r="EH18" i="2"/>
  <c r="ER18" i="2"/>
  <c r="EJ18" i="2"/>
  <c r="EE18" i="2"/>
  <c r="EK18" i="2"/>
  <c r="EN18" i="2"/>
  <c r="EC18" i="2"/>
  <c r="EI18" i="2"/>
  <c r="DX90" i="2"/>
  <c r="DY90" i="2" s="1"/>
  <c r="EG90" i="2"/>
  <c r="DZ90" i="2"/>
  <c r="DW90" i="2"/>
  <c r="ER90" i="2"/>
  <c r="EE90" i="2"/>
  <c r="EF90" i="2"/>
  <c r="EK90" i="2"/>
  <c r="EA90" i="2"/>
  <c r="ET90" i="2" s="1"/>
  <c r="EV90" i="2"/>
  <c r="EL90" i="2"/>
  <c r="DU90" i="2"/>
  <c r="ED90" i="2"/>
  <c r="EO90" i="2"/>
  <c r="EM90" i="2"/>
  <c r="EM38" i="2"/>
  <c r="EE38" i="2"/>
  <c r="EV38" i="2"/>
  <c r="EO38" i="2"/>
  <c r="DU38" i="2"/>
  <c r="EB38" i="2"/>
  <c r="EC38" i="2"/>
  <c r="EN38" i="2"/>
  <c r="ES38" i="2"/>
  <c r="EU38" i="2" s="1"/>
  <c r="EA38" i="2"/>
  <c r="ET38" i="2" s="1"/>
  <c r="EK38" i="2"/>
  <c r="DZ38" i="2"/>
  <c r="ER38" i="2"/>
  <c r="DW38" i="2"/>
  <c r="EF38" i="2"/>
  <c r="DV38" i="2"/>
  <c r="EB84" i="2"/>
  <c r="EA84" i="2"/>
  <c r="ET84" i="2" s="1"/>
  <c r="EH84" i="2"/>
  <c r="EO84" i="2"/>
  <c r="EQ84" i="2"/>
  <c r="EK84" i="2"/>
  <c r="EV84" i="2"/>
  <c r="ER84" i="2"/>
  <c r="DX84" i="2"/>
  <c r="DY84" i="2" s="1"/>
  <c r="DW84" i="2"/>
  <c r="EE84" i="2"/>
  <c r="EC84" i="2"/>
  <c r="EG84" i="2"/>
  <c r="DZ84" i="2"/>
  <c r="EI84" i="2"/>
  <c r="DV84" i="2"/>
  <c r="ES84" i="2"/>
  <c r="EU84" i="2" s="1"/>
  <c r="EL129" i="2"/>
  <c r="EM129" i="2"/>
  <c r="EA129" i="2"/>
  <c r="ET129" i="2" s="1"/>
  <c r="EJ129" i="2"/>
  <c r="EO129" i="2"/>
  <c r="DV180" i="2"/>
  <c r="EH180" i="2"/>
  <c r="DU180" i="2"/>
  <c r="ER180" i="2"/>
  <c r="EF180" i="2"/>
  <c r="EM180" i="2"/>
  <c r="EQ180" i="2"/>
  <c r="DX180" i="2"/>
  <c r="DY180" i="2" s="1"/>
  <c r="ED180" i="2"/>
  <c r="EJ180" i="2"/>
  <c r="EA180" i="2"/>
  <c r="ET180" i="2" s="1"/>
  <c r="DZ180" i="2"/>
  <c r="EB180" i="2"/>
  <c r="EP180" i="2"/>
  <c r="ES112" i="2"/>
  <c r="EU112" i="2" s="1"/>
  <c r="DU112" i="2"/>
  <c r="EN112" i="2"/>
  <c r="DV112" i="2"/>
  <c r="EI112" i="2"/>
  <c r="EG112" i="2"/>
  <c r="EF112" i="2"/>
  <c r="EQ112" i="2"/>
  <c r="EK112" i="2"/>
  <c r="EB112" i="2"/>
  <c r="ER112" i="2"/>
  <c r="ED112" i="2"/>
  <c r="EE112" i="2"/>
  <c r="EL112" i="2"/>
  <c r="EJ112" i="2"/>
  <c r="DZ112" i="2"/>
  <c r="EV112" i="2"/>
  <c r="EM112" i="2"/>
  <c r="EO76" i="2"/>
  <c r="EP76" i="2"/>
  <c r="EN76" i="2"/>
  <c r="ER76" i="2"/>
  <c r="EC76" i="2"/>
  <c r="DU76" i="2"/>
  <c r="EM76" i="2"/>
  <c r="DW76" i="2"/>
  <c r="EH76" i="2"/>
  <c r="EQ76" i="2"/>
  <c r="EJ76" i="2"/>
  <c r="EI76" i="2"/>
  <c r="EG76" i="2"/>
  <c r="EL76" i="2"/>
  <c r="EA76" i="2"/>
  <c r="ET76" i="2" s="1"/>
  <c r="EB76" i="2"/>
  <c r="EV189" i="2"/>
  <c r="DZ189" i="2"/>
  <c r="EF189" i="2"/>
  <c r="EE189" i="2"/>
  <c r="EM189" i="2"/>
  <c r="DW189" i="2"/>
  <c r="EC189" i="2"/>
  <c r="ER189" i="2"/>
  <c r="EB189" i="2"/>
  <c r="EP189" i="2"/>
  <c r="EI183" i="2"/>
  <c r="EO183" i="2"/>
  <c r="EB183" i="2"/>
  <c r="EP183" i="2"/>
  <c r="ER65" i="2"/>
  <c r="EC65" i="2"/>
  <c r="EP87" i="2"/>
  <c r="DW87" i="2"/>
  <c r="EV15" i="2"/>
  <c r="DW83" i="2"/>
  <c r="EV83" i="2"/>
  <c r="EH90" i="2"/>
  <c r="DV149" i="2"/>
  <c r="ER34" i="2"/>
  <c r="EJ34" i="2"/>
  <c r="EH39" i="2"/>
  <c r="EV180" i="2"/>
  <c r="EK180" i="2"/>
  <c r="EQ38" i="2"/>
  <c r="ES76" i="2"/>
  <c r="EU76" i="2" s="1"/>
  <c r="DX112" i="2"/>
  <c r="DY112" i="2" s="1"/>
  <c r="EN77" i="2"/>
  <c r="EP84" i="2"/>
  <c r="DW181" i="2"/>
  <c r="EK190" i="2"/>
  <c r="EF190" i="2"/>
  <c r="ER190" i="2"/>
  <c r="EN190" i="2"/>
  <c r="EH190" i="2"/>
  <c r="DU190" i="2"/>
  <c r="EM190" i="2"/>
  <c r="ED190" i="2"/>
  <c r="DV190" i="2"/>
  <c r="DX190" i="2"/>
  <c r="DY190" i="2" s="1"/>
  <c r="DW190" i="2"/>
  <c r="EL190" i="2"/>
  <c r="EV190" i="2"/>
  <c r="EI190" i="2"/>
  <c r="EJ190" i="2"/>
  <c r="ES190" i="2"/>
  <c r="EU190" i="2" s="1"/>
  <c r="EE190" i="2"/>
  <c r="DW65" i="2"/>
  <c r="EM65" i="2"/>
  <c r="EO87" i="2"/>
  <c r="DU87" i="2"/>
  <c r="EJ15" i="2"/>
  <c r="EI83" i="2"/>
  <c r="EP90" i="2"/>
  <c r="ES90" i="2"/>
  <c r="EU90" i="2" s="1"/>
  <c r="DX149" i="2"/>
  <c r="DY149" i="2" s="1"/>
  <c r="DW34" i="2"/>
  <c r="EP39" i="2"/>
  <c r="EC39" i="2"/>
  <c r="EE180" i="2"/>
  <c r="EP38" i="2"/>
  <c r="DX38" i="2"/>
  <c r="DY38" i="2" s="1"/>
  <c r="EF76" i="2"/>
  <c r="EC112" i="2"/>
  <c r="EP77" i="2"/>
  <c r="EN84" i="2"/>
  <c r="EP190" i="2"/>
  <c r="EJ181" i="2"/>
  <c r="EB18" i="2"/>
  <c r="ES189" i="2"/>
  <c r="EU189" i="2" s="1"/>
  <c r="EJ147" i="2"/>
  <c r="EC95" i="2"/>
  <c r="EO65" i="2"/>
  <c r="EQ87" i="2"/>
  <c r="EV87" i="2"/>
  <c r="ER15" i="2"/>
  <c r="EB83" i="2"/>
  <c r="DV90" i="2"/>
  <c r="EC90" i="2"/>
  <c r="DU149" i="2"/>
  <c r="DX34" i="2"/>
  <c r="DY34" i="2" s="1"/>
  <c r="EG39" i="2"/>
  <c r="EM39" i="2"/>
  <c r="ES180" i="2"/>
  <c r="EU180" i="2" s="1"/>
  <c r="EG38" i="2"/>
  <c r="DV76" i="2"/>
  <c r="EK76" i="2"/>
  <c r="EQ163" i="2"/>
  <c r="EL77" i="2"/>
  <c r="DU84" i="2"/>
  <c r="EB190" i="2"/>
  <c r="EN181" i="2"/>
  <c r="EL18" i="2"/>
  <c r="EL189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8" i="9" l="1"/>
  <c r="N2" i="9"/>
  <c r="M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A13" i="2"/>
  <c r="DZ13" i="2"/>
  <c r="EP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J13" i="2" l="1"/>
  <c r="EL13" i="2" s="1"/>
  <c r="EC13" i="2"/>
  <c r="EF13" i="2" s="1"/>
  <c r="EE13" i="2"/>
  <c r="EK13" i="2"/>
  <c r="EM13" i="2" s="1"/>
  <c r="EO13" i="2" s="1"/>
  <c r="ED13" i="2"/>
  <c r="EG13" i="2" s="1"/>
  <c r="EI13" i="2" s="1"/>
  <c r="ET13" i="2"/>
  <c r="ES13" i="2"/>
  <c r="EU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E7" i="2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A5" i="2" l="1"/>
  <c r="ES5" i="2" s="1"/>
  <c r="EA7" i="2"/>
  <c r="EN13" i="2"/>
  <c r="EQ13" i="2"/>
  <c r="EH13" i="2"/>
  <c r="CT11" i="2"/>
  <c r="CT19" i="2" s="1"/>
  <c r="BM3" i="2"/>
  <c r="BM16" i="2" s="1"/>
  <c r="B22" i="5" s="1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GW7" i="2"/>
  <c r="GW5" i="2"/>
  <c r="GW6" i="2" s="1"/>
  <c r="GW3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Q5" i="2"/>
  <c r="BK31" i="8"/>
  <c r="BK30" i="8" s="1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C5" i="2" l="1"/>
  <c r="EF5" i="2" s="1"/>
  <c r="EH5" i="2" s="1"/>
  <c r="EJ5" i="2"/>
  <c r="EL5" i="2" s="1"/>
  <c r="EN5" i="2" s="1"/>
  <c r="ED5" i="2"/>
  <c r="EG5" i="2" s="1"/>
  <c r="EI5" i="2" s="1"/>
  <c r="EK5" i="2"/>
  <c r="EM5" i="2" s="1"/>
  <c r="EO5" i="2" s="1"/>
  <c r="EK7" i="2"/>
  <c r="EM7" i="2" s="1"/>
  <c r="EO7" i="2" s="1"/>
  <c r="EC7" i="2"/>
  <c r="EF7" i="2" s="1"/>
  <c r="EH7" i="2" s="1"/>
  <c r="EJ7" i="2"/>
  <c r="EL7" i="2" s="1"/>
  <c r="EN7" i="2" s="1"/>
  <c r="ES7" i="2"/>
  <c r="ED7" i="2"/>
  <c r="EG7" i="2" s="1"/>
  <c r="EI7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5" i="2" l="1"/>
  <c r="ET7" i="2"/>
  <c r="ET4" i="2"/>
  <c r="ET2" i="2"/>
  <c r="Q34" i="9"/>
  <c r="A20" i="2"/>
  <c r="AL20" i="2"/>
  <c r="A24" i="1"/>
  <c r="GW14" i="2"/>
  <c r="GW12" i="2"/>
  <c r="GW13" i="2" s="1"/>
  <c r="GW10" i="2"/>
  <c r="AA36" i="8"/>
  <c r="AA37" i="8" s="1"/>
  <c r="ER5" i="2" l="1"/>
  <c r="ER7" i="2"/>
  <c r="ER13" i="2"/>
  <c r="ER2" i="2"/>
  <c r="EY2" i="2"/>
  <c r="EU7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5" i="2" l="1"/>
  <c r="EU5" i="2"/>
  <c r="EY31" i="2"/>
  <c r="EV7" i="2"/>
  <c r="EV13" i="2"/>
  <c r="EU4" i="2"/>
  <c r="EU2" i="2"/>
  <c r="EV2" i="2"/>
  <c r="EY3" i="2" s="1"/>
  <c r="EY7" i="2" s="1"/>
  <c r="EY14" i="2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R4" i="9" l="1"/>
  <c r="R9" i="9"/>
  <c r="R2" i="9"/>
  <c r="R5" i="9"/>
  <c r="R16" i="9"/>
  <c r="R3" i="9"/>
  <c r="EY6" i="2"/>
  <c r="EY13" i="2" s="1"/>
  <c r="Q9" i="9" s="1"/>
  <c r="EY4" i="2"/>
  <c r="EY11" i="2" s="1"/>
  <c r="B12" i="9" s="1"/>
  <c r="EY5" i="2"/>
  <c r="EY12" i="2" s="1"/>
  <c r="B13" i="9" s="1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Q7" i="9"/>
  <c r="Q6" i="9"/>
  <c r="EY30" i="2"/>
  <c r="B15" i="9"/>
  <c r="R6" i="9"/>
  <c r="A27" i="1"/>
  <c r="A23" i="2"/>
  <c r="AL23" i="2"/>
  <c r="GW21" i="2"/>
  <c r="EY29" i="2" l="1"/>
  <c r="Q4" i="9"/>
  <c r="EY27" i="2"/>
  <c r="B14" i="9"/>
  <c r="Q5" i="9"/>
  <c r="Q3" i="9"/>
  <c r="Q2" i="9"/>
  <c r="EY28" i="2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F2" i="5" s="1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9" i="5" l="1"/>
  <c r="I2" i="5"/>
  <c r="G2" i="5"/>
  <c r="H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<sst xmlns="http://schemas.openxmlformats.org/spreadsheetml/2006/main" count="909" uniqueCount="349">
  <si>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</si>
  <si>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</si>
  <si>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</si>
  <si>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</si>
  <si>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</si>
  <si>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</si>
  <si>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</si>
  <si>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</si>
  <si>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</si>
  <si>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</si>
  <si>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</si>
  <si>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</si>
  <si>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(B)</t>
  </si>
  <si>
    <t>Yes</t>
  </si>
  <si>
    <t>Outcome 1</t>
  </si>
  <si>
    <t>Outcome 2</t>
  </si>
  <si>
    <t>Total</t>
  </si>
  <si>
    <t>Zou et al.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</si>
  <si>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</si>
  <si>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</si>
  <si>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Wang et al.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</si>
  <si>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</si>
  <si>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</si>
  <si>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</si>
  <si>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</si>
  <si>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</si>
  <si>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</si>
  <si>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</si>
  <si>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</si>
  <si>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</si>
  <si>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</si>
  <si>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</si>
  <si>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</si>
  <si>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</si>
  <si>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</si>
  <si>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</si>
  <si>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</si>
  <si>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</si>
  <si>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</si>
  <si>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</si>
  <si>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</si>
  <si>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</si>
  <si>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</si>
  <si>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</si>
  <si>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</si>
  <si>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</si>
  <si>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</si>
  <si>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</si>
  <si>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</si>
  <si>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</si>
  <si>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</si>
  <si>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</si>
  <si>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</si>
  <si>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</si>
  <si>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</si>
  <si>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</si>
  <si>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</si>
  <si>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</si>
  <si>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</si>
  <si>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</si>
  <si>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</si>
  <si>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</si>
  <si>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</si>
  <si>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</si>
  <si>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</si>
  <si>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</si>
  <si>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</si>
  <si>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</si>
  <si>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</si>
  <si>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</si>
  <si>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</si>
  <si>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</si>
  <si>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</si>
  <si>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</si>
  <si>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</si>
  <si>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</si>
  <si>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</si>
  <si>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</si>
  <si>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</si>
  <si>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</si>
  <si>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</si>
  <si>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</si>
  <si>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</si>
  <si>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</si>
  <si>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</si>
  <si>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</si>
  <si>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</si>
  <si>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</si>
  <si>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</si>
  <si>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</si>
  <si>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</si>
  <si>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</si>
  <si>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</si>
  <si>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</si>
  <si>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</si>
  <si>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</si>
  <si>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</si>
  <si>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</si>
  <si>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</si>
  <si>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</si>
  <si>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</si>
  <si>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</si>
  <si>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</si>
  <si>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</si>
  <si>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</si>
  <si>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</si>
  <si>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</si>
  <si>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</si>
  <si>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</si>
  <si>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</si>
  <si>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</si>
  <si>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</si>
  <si>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</si>
  <si>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</si>
  <si>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</si>
  <si>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</si>
  <si>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</si>
  <si>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</si>
  <si>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</si>
  <si>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</si>
  <si>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</si>
  <si>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</si>
  <si>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</si>
  <si>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</si>
  <si>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</si>
  <si>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</si>
  <si>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</si>
  <si>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</si>
  <si>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</si>
  <si>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</si>
  <si>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</si>
  <si>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</si>
  <si>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</si>
  <si>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</si>
  <si>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</si>
  <si>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</si>
  <si>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</si>
  <si>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</si>
  <si>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</si>
  <si>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</si>
  <si>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</si>
  <si>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</si>
  <si>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</si>
  <si>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</si>
  <si>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</si>
  <si>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</si>
  <si>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</si>
  <si>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</si>
  <si>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</si>
  <si>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</si>
  <si>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</si>
  <si>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</si>
  <si>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</si>
  <si>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</si>
  <si>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</si>
  <si>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</si>
  <si>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</si>
  <si>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</si>
  <si>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</si>
  <si>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Log Odds
 Ratio</t>
  </si>
  <si>
    <t>Standard
 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</si>
  <si>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</si>
  <si>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</si>
  <si>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</si>
  <si>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</si>
  <si>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</si>
  <si>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</si>
  <si>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</si>
  <si>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</si>
  <si>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</si>
  <si>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</si>
  <si>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</si>
  <si>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</si>
  <si>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</si>
  <si>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</si>
  <si>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</si>
  <si>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</si>
  <si>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</si>
  <si>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</si>
  <si>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</si>
  <si>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</si>
  <si>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</si>
  <si>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</si>
  <si>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</si>
  <si>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</si>
  <si>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</si>
  <si>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</si>
  <si>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</si>
  <si>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</si>
  <si>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</si>
  <si>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</si>
  <si>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</si>
  <si>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</si>
  <si>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</si>
  <si>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</si>
  <si>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</si>
  <si>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</si>
  <si>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</si>
  <si>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</si>
  <si>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</si>
  <si>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</si>
  <si>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</si>
  <si>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</si>
  <si>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</si>
  <si>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</si>
  <si>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</si>
  <si>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</si>
  <si>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</si>
  <si>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</si>
  <si>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</si>
  <si>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</si>
  <si>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</si>
  <si>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</si>
  <si>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</si>
  <si>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</si>
  <si>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</si>
  <si>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</si>
  <si>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</si>
  <si>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</si>
  <si>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</si>
  <si>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</si>
  <si>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</si>
  <si>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</si>
  <si>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</si>
  <si>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</si>
  <si>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</si>
  <si>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</si>
  <si>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</si>
  <si>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</si>
  <si>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</si>
  <si>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</si>
  <si>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</si>
  <si>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</si>
  <si>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</si>
  <si>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</si>
  <si>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</si>
  <si>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</si>
  <si>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</si>
  <si>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</si>
  <si>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</si>
  <si>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</si>
  <si>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</si>
  <si>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</si>
  <si>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</si>
  <si>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</si>
  <si>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</si>
  <si>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</si>
  <si>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</si>
  <si>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</si>
  <si>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</si>
  <si>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</si>
  <si>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</si>
  <si>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</si>
  <si>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</si>
  <si>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</si>
  <si>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</si>
  <si>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</si>
  <si>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</si>
  <si>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</si>
  <si>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</si>
  <si>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</si>
  <si>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</si>
  <si>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</si>
  <si>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</si>
  <si>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</si>
  <si>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</si>
  <si>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</si>
  <si>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</si>
  <si>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</si>
  <si>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</si>
  <si>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</si>
  <si>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</si>
  <si>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</si>
  <si>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</si>
  <si>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</si>
  <si>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</si>
  <si>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</si>
  <si>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</si>
  <si>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</si>
  <si>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</si>
  <si>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</si>
  <si>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</si>
  <si>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</si>
  <si>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</si>
  <si>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</si>
  <si>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</si>
  <si>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</si>
  <si>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</si>
  <si>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</si>
  <si>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</si>
  <si>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</si>
  <si>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</si>
  <si>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</si>
  <si>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</si>
  <si>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</si>
  <si>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</si>
  <si>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</si>
  <si>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</si>
  <si>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</si>
  <si>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</si>
  <si>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</si>
  <si>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</si>
  <si>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</si>
  <si>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</si>
  <si>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</si>
  <si>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</si>
  <si>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</si>
  <si>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</si>
  <si>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</si>
  <si>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</si>
  <si>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</si>
  <si>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</si>
  <si>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</si>
  <si>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</si>
  <si>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</si>
  <si>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</si>
  <si>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</si>
  <si>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</si>
  <si>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</si>
  <si>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</si>
  <si>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</si>
  <si>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</si>
  <si>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</si>
  <si>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</si>
  <si>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</si>
  <si>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</si>
  <si>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</si>
  <si>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</si>
  <si>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</si>
  <si>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</si>
  <si>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</si>
  <si>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</si>
  <si>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</si>
  <si>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</si>
  <si>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</si>
  <si>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Deep</t>
  </si>
  <si>
    <t>Law et al.</t>
  </si>
  <si>
    <t>Hand</t>
  </si>
  <si>
    <t>Mustaqeem et al. (A)</t>
  </si>
  <si>
    <t>Liu et al.</t>
  </si>
  <si>
    <t>Fan et al.</t>
  </si>
  <si>
    <t>Image</t>
  </si>
  <si>
    <t/>
  </si>
  <si>
    <r>
      <t>I</t>
    </r>
    <r>
      <rPr>
        <b/>
        <vertAlign val="superscript"/>
        <sz val="9"/>
        <color theme="1"/>
        <rFont val="Calibri"/>
        <family val="2"/>
        <scheme val="minor"/>
      </rPr>
      <t>2</t>
    </r>
  </si>
  <si>
    <t>Deep features</t>
  </si>
  <si>
    <t>Handcrafted features</t>
  </si>
  <si>
    <t>Image transformation</t>
  </si>
  <si>
    <t>CI  Upper limit</t>
  </si>
  <si>
    <r>
      <t>P</t>
    </r>
    <r>
      <rPr>
        <b/>
        <vertAlign val="subscript"/>
        <sz val="9"/>
        <color theme="1"/>
        <rFont val="Calibri"/>
        <family val="2"/>
        <scheme val="minor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</si>
</sst>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3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7.85"/>
      <name val="Segoe UI"/>
      <family val="2"/>
    </font>
    <font>
      <b/>
      <sz val="7.85"/>
      <name val="Segoe UI"/>
      <family val="2"/>
    </font>
    <font>
      <b/>
      <vertAlign val="subscript"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rgb="FF8E0000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56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49" fontId="26" fillId="40" borderId="0" xfId="10" applyNumberFormat="1" applyFont="1" applyFill="1">
      <protection locked="0"/>
    </xf>
    <xf numFmtId="0" fontId="26" fillId="40" borderId="0" xfId="10" applyFont="1" applyFill="1">
      <protection locked="0"/>
    </xf>
    <xf numFmtId="1" fontId="26" fillId="40" borderId="0" xfId="10" applyNumberFormat="1" applyFont="1" applyFill="1">
      <protection locked="0"/>
    </xf>
    <xf numFmtId="2" fontId="26" fillId="40" borderId="0" xfId="12" applyFont="1" applyFill="1"/>
    <xf numFmtId="0" fontId="26" fillId="40" borderId="0" xfId="0" applyFont="1" applyFill="1"/>
    <xf numFmtId="1" fontId="26" fillId="40" borderId="0" xfId="0" applyNumberFormat="1" applyFont="1" applyFill="1"/>
    <xf numFmtId="49" fontId="13" fillId="40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2" fontId="13" fillId="39" borderId="0" xfId="12" applyFill="1"/>
    <xf numFmtId="0" fontId="0" fillId="39" borderId="0" xfId="0" applyFill="1"/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49" fontId="0" fillId="9" borderId="0" xfId="10" applyNumberFormat="1" applyFont="1">
      <protection locked="0"/>
    </xf>
    <xf numFmtId="0" fontId="25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5" fillId="0" borderId="35" xfId="0" applyNumberFormat="1" applyFont="1" applyBorder="1" applyAlignment="1">
      <alignment horizontal="center" vertical="center"/>
    </xf>
    <xf numFmtId="164" fontId="25" fillId="0" borderId="35" xfId="0" applyNumberFormat="1" applyFont="1" applyBorder="1"/>
    <xf numFmtId="164" fontId="25" fillId="0" borderId="35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center" vertical="center"/>
    </xf>
    <xf numFmtId="164" fontId="25" fillId="0" borderId="0" xfId="0" applyNumberFormat="1" applyFont="1"/>
    <xf numFmtId="164" fontId="25" fillId="0" borderId="0" xfId="0" applyNumberFormat="1" applyFont="1" applyAlignment="1">
      <alignment horizontal="center"/>
    </xf>
    <xf numFmtId="164" fontId="25" fillId="0" borderId="35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vertical="center" wrapText="1"/>
    </xf>
    <xf numFmtId="164" fontId="28" fillId="0" borderId="0" xfId="0" applyNumberFormat="1" applyFont="1" applyAlignment="1">
      <alignment horizontal="center" vertical="center"/>
    </xf>
    <xf numFmtId="164" fontId="27" fillId="0" borderId="35" xfId="0" applyNumberFormat="1" applyFont="1" applyBorder="1" applyAlignment="1">
      <alignment horizontal="center" vertical="center"/>
    </xf>
    <xf numFmtId="10" fontId="30" fillId="35" borderId="0" xfId="0" applyNumberFormat="1" applyFont="1" applyFill="1" applyAlignment="1">
      <alignment vertical="center" wrapText="1"/>
    </xf>
    <xf numFmtId="10" fontId="31" fillId="35" borderId="35" xfId="0" applyNumberFormat="1" applyFont="1" applyFill="1" applyBorder="1" applyAlignment="1">
      <alignment vertical="center" wrapText="1"/>
    </xf>
    <xf numFmtId="10" fontId="15" fillId="0" borderId="36" xfId="0" applyNumberFormat="1" applyFont="1" applyBorder="1" applyAlignment="1">
      <alignment horizontal="center" vertic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0.1182382046366353</c:v>
                </c:pt>
                <c:pt idx="1">
                  <c:v>0.11263313866986413</c:v>
                </c:pt>
                <c:pt idx="2">
                  <c:v>9.941087689341073E-2</c:v>
                </c:pt>
                <c:pt idx="3">
                  <c:v>0.10494241459281541</c:v>
                </c:pt>
                <c:pt idx="4">
                  <c:v>0.1171547863838607</c:v>
                </c:pt>
                <c:pt idx="5">
                  <c:v>0.11584161946748246</c:v>
                </c:pt>
                <c:pt idx="6">
                  <c:v>0.11754798697459153</c:v>
                </c:pt>
                <c:pt idx="7">
                  <c:v>0.10428043978233832</c:v>
                </c:pt>
                <c:pt idx="8">
                  <c:v>0.10995053259900141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0.2905596870397954</c:v>
                  </c:pt>
                  <c:pt idx="1">
                    <c:v>0.42569647737183103</c:v>
                  </c:pt>
                  <c:pt idx="2">
                    <c:v>0.39798974562440759</c:v>
                  </c:pt>
                  <c:pt idx="3">
                    <c:v>0.34257433686301419</c:v>
                  </c:pt>
                  <c:pt idx="4">
                    <c:v>0.31929293464150599</c:v>
                  </c:pt>
                  <c:pt idx="5">
                    <c:v>0.20164788161185698</c:v>
                  </c:pt>
                  <c:pt idx="6">
                    <c:v>0.16523285375703783</c:v>
                  </c:pt>
                  <c:pt idx="7">
                    <c:v>0.38935701144458512</c:v>
                  </c:pt>
                  <c:pt idx="8">
                    <c:v>0.26706850752171218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0.21021644764739877</c:v>
                  </c:pt>
                  <c:pt idx="1">
                    <c:v>0.30139418568200727</c:v>
                  </c:pt>
                  <c:pt idx="2">
                    <c:v>0.26682008989593797</c:v>
                  </c:pt>
                  <c:pt idx="3">
                    <c:v>0.23513237845087864</c:v>
                  </c:pt>
                  <c:pt idx="4">
                    <c:v>0.23006147675523858</c:v>
                  </c:pt>
                  <c:pt idx="5">
                    <c:v>0.14455753454374737</c:v>
                  </c:pt>
                  <c:pt idx="6">
                    <c:v>0.11922250135844131</c:v>
                  </c:pt>
                  <c:pt idx="7">
                    <c:v>0.2664955588633825</c:v>
                  </c:pt>
                  <c:pt idx="8">
                    <c:v>0.18707837160280238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0.76024349654024703</c:v>
                </c:pt>
                <c:pt idx="1">
                  <c:v>1.0321808343271746</c:v>
                </c:pt>
                <c:pt idx="2">
                  <c:v>0.80957489074294797</c:v>
                </c:pt>
                <c:pt idx="3">
                  <c:v>0.74971007428821135</c:v>
                </c:pt>
                <c:pt idx="4">
                  <c:v>0.82321869216533006</c:v>
                </c:pt>
                <c:pt idx="5">
                  <c:v>0.51058930465081054</c:v>
                </c:pt>
                <c:pt idx="6">
                  <c:v>0.42815308087291398</c:v>
                </c:pt>
                <c:pt idx="7">
                  <c:v>0.84454409566517186</c:v>
                </c:pt>
                <c:pt idx="8">
                  <c:v>0.6246112838738338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0.1182382046366353</c:v>
                </c:pt>
                <c:pt idx="1">
                  <c:v>0.11263313866986413</c:v>
                </c:pt>
                <c:pt idx="2">
                  <c:v>9.941087689341073E-2</c:v>
                </c:pt>
                <c:pt idx="3">
                  <c:v>0.10494241459281541</c:v>
                </c:pt>
                <c:pt idx="4">
                  <c:v>0.1171547863838607</c:v>
                </c:pt>
                <c:pt idx="5">
                  <c:v>0.11584161946748246</c:v>
                </c:pt>
                <c:pt idx="6">
                  <c:v>0.11754798697459153</c:v>
                </c:pt>
                <c:pt idx="7">
                  <c:v>0.10428043978233832</c:v>
                </c:pt>
                <c:pt idx="8">
                  <c:v>0.10995053259900141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0.51778372770182002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0.29849800786761788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0.70482205290029998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0.1182382046366353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0.16759938607424785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0.13540215551847257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0.70482205290029998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0.1182382046366353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0.2905596870397954</c:v>
                  </c:pt>
                  <c:pt idx="1">
                    <c:v>0.42569647737183103</c:v>
                  </c:pt>
                  <c:pt idx="2">
                    <c:v>0.39798974562440759</c:v>
                  </c:pt>
                  <c:pt idx="3">
                    <c:v>0.34257433686301419</c:v>
                  </c:pt>
                  <c:pt idx="4">
                    <c:v>0.31929293464150599</c:v>
                  </c:pt>
                  <c:pt idx="5">
                    <c:v>0.20164788161185698</c:v>
                  </c:pt>
                  <c:pt idx="6">
                    <c:v>0.16523285375703783</c:v>
                  </c:pt>
                  <c:pt idx="7">
                    <c:v>0.38935701144458512</c:v>
                  </c:pt>
                  <c:pt idx="8">
                    <c:v>0.26706850752171218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0.21021644764739877</c:v>
                  </c:pt>
                  <c:pt idx="1">
                    <c:v>0.30139418568200727</c:v>
                  </c:pt>
                  <c:pt idx="2">
                    <c:v>0.26682008989593797</c:v>
                  </c:pt>
                  <c:pt idx="3">
                    <c:v>0.23513237845087864</c:v>
                  </c:pt>
                  <c:pt idx="4">
                    <c:v>0.23006147675523858</c:v>
                  </c:pt>
                  <c:pt idx="5">
                    <c:v>0.14455753454374737</c:v>
                  </c:pt>
                  <c:pt idx="6">
                    <c:v>0.11922250135844131</c:v>
                  </c:pt>
                  <c:pt idx="7">
                    <c:v>0.2664955588633825</c:v>
                  </c:pt>
                  <c:pt idx="8">
                    <c:v>0.18707837160280238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0.76024349654024703</c:v>
                </c:pt>
                <c:pt idx="1">
                  <c:v>1.0321808343271746</c:v>
                </c:pt>
                <c:pt idx="2">
                  <c:v>0.80957489074294797</c:v>
                </c:pt>
                <c:pt idx="3">
                  <c:v>0.74971007428821135</c:v>
                </c:pt>
                <c:pt idx="4">
                  <c:v>0.82321869216533006</c:v>
                </c:pt>
                <c:pt idx="5">
                  <c:v>0.51058930465081054</c:v>
                </c:pt>
                <c:pt idx="6">
                  <c:v>0.42815308087291398</c:v>
                </c:pt>
                <c:pt idx="7">
                  <c:v>0.84454409566517186</c:v>
                </c:pt>
                <c:pt idx="8">
                  <c:v>0.6246112838738338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0.1182382046366353</c:v>
                </c:pt>
                <c:pt idx="1">
                  <c:v>0.11263313866986413</c:v>
                </c:pt>
                <c:pt idx="2">
                  <c:v>9.941087689341073E-2</c:v>
                </c:pt>
                <c:pt idx="3">
                  <c:v>0.10494241459281541</c:v>
                </c:pt>
                <c:pt idx="4">
                  <c:v>0.1171547863838607</c:v>
                </c:pt>
                <c:pt idx="5">
                  <c:v>0.11584161946748246</c:v>
                </c:pt>
                <c:pt idx="6">
                  <c:v>0.11754798697459153</c:v>
                </c:pt>
                <c:pt idx="7">
                  <c:v>0.10428043978233832</c:v>
                </c:pt>
                <c:pt idx="8">
                  <c:v>0.10995053259900141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0.51778372770182002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0.29849800786761788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0.70482205290029998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0.1182382046366353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0.16759938607424785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0.13540215551847257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0.70482205290029998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0.1182382046366353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0.29055967357311385</c:v>
                  </c:pt>
                  <c:pt idx="1">
                    <c:v>0.42569646633706748</c:v>
                  </c:pt>
                  <c:pt idx="2">
                    <c:v>0.39798973504052138</c:v>
                  </c:pt>
                  <c:pt idx="3">
                    <c:v>0.34257432785244901</c:v>
                  </c:pt>
                  <c:pt idx="4">
                    <c:v>0.3192929319994563</c:v>
                  </c:pt>
                  <c:pt idx="5">
                    <c:v>0.20164787222538838</c:v>
                  </c:pt>
                  <c:pt idx="6">
                    <c:v>0.16523282665566957</c:v>
                  </c:pt>
                  <c:pt idx="7">
                    <c:v>0.38935698188767465</c:v>
                  </c:pt>
                  <c:pt idx="8">
                    <c:v>0.26706848844696673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0.21021644059846778</c:v>
                  </c:pt>
                  <c:pt idx="1">
                    <c:v>0.3013941801506379</c:v>
                  </c:pt>
                  <c:pt idx="2">
                    <c:v>0.26682008513887989</c:v>
                  </c:pt>
                  <c:pt idx="3">
                    <c:v>0.23513237420598065</c:v>
                  </c:pt>
                  <c:pt idx="4">
                    <c:v>0.23006147538356692</c:v>
                  </c:pt>
                  <c:pt idx="5">
                    <c:v>0.14455752971986868</c:v>
                  </c:pt>
                  <c:pt idx="6">
                    <c:v>0.11922248724883522</c:v>
                  </c:pt>
                  <c:pt idx="7">
                    <c:v>0.26649554501678718</c:v>
                  </c:pt>
                  <c:pt idx="8">
                    <c:v>0.18707836224313185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0.76024349654024703</c:v>
                </c:pt>
                <c:pt idx="1">
                  <c:v>1.0321808343271746</c:v>
                </c:pt>
                <c:pt idx="2">
                  <c:v>0.80957489074294797</c:v>
                </c:pt>
                <c:pt idx="3">
                  <c:v>0.74971007428821135</c:v>
                </c:pt>
                <c:pt idx="4">
                  <c:v>0.82321869216533006</c:v>
                </c:pt>
                <c:pt idx="5">
                  <c:v>0.51058930465081054</c:v>
                </c:pt>
                <c:pt idx="6">
                  <c:v>0.42815308087291398</c:v>
                </c:pt>
                <c:pt idx="7">
                  <c:v>0.84454409566517186</c:v>
                </c:pt>
                <c:pt idx="8">
                  <c:v>0.6246112838738338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0.39468071320185211</c:v>
                </c:pt>
                <c:pt idx="1">
                  <c:v>0.3467315579365764</c:v>
                </c:pt>
                <c:pt idx="2">
                  <c:v>0.25858772886157166</c:v>
                </c:pt>
                <c:pt idx="3">
                  <c:v>0.43136918313467415</c:v>
                </c:pt>
                <c:pt idx="4">
                  <c:v>0.56863081686532579</c:v>
                </c:pt>
                <c:pt idx="5">
                  <c:v>0.25865360653832725</c:v>
                </c:pt>
                <c:pt idx="6">
                  <c:v>0.26239780101579319</c:v>
                </c:pt>
                <c:pt idx="7">
                  <c:v>0.23323594406638193</c:v>
                </c:pt>
                <c:pt idx="8">
                  <c:v>0.24571264837949772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0.76666903713672163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0.328926718120996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0.33627264499843967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0.21233115363372118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0.33324967890291501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0.23155691219709751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0.20765833178043225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0.16304058296681667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0.29055967357311385</c:v>
                  </c:pt>
                  <c:pt idx="1">
                    <c:v>0.42569646633706748</c:v>
                  </c:pt>
                  <c:pt idx="2">
                    <c:v>0.39798973504052138</c:v>
                  </c:pt>
                  <c:pt idx="3">
                    <c:v>0.34257432785244901</c:v>
                  </c:pt>
                  <c:pt idx="4">
                    <c:v>0.3192929319994563</c:v>
                  </c:pt>
                  <c:pt idx="5">
                    <c:v>0.20164787222538838</c:v>
                  </c:pt>
                  <c:pt idx="6">
                    <c:v>0.16523282665566957</c:v>
                  </c:pt>
                  <c:pt idx="7">
                    <c:v>0.38935698188767465</c:v>
                  </c:pt>
                  <c:pt idx="8">
                    <c:v>0.26706848844696673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0.21021644059846778</c:v>
                  </c:pt>
                  <c:pt idx="1">
                    <c:v>0.3013941801506379</c:v>
                  </c:pt>
                  <c:pt idx="2">
                    <c:v>0.26682008513887989</c:v>
                  </c:pt>
                  <c:pt idx="3">
                    <c:v>0.23513237420598065</c:v>
                  </c:pt>
                  <c:pt idx="4">
                    <c:v>0.23006147538356692</c:v>
                  </c:pt>
                  <c:pt idx="5">
                    <c:v>0.14455752971986868</c:v>
                  </c:pt>
                  <c:pt idx="6">
                    <c:v>0.11922248724883522</c:v>
                  </c:pt>
                  <c:pt idx="7">
                    <c:v>0.26649554501678718</c:v>
                  </c:pt>
                  <c:pt idx="8">
                    <c:v>0.18707836224313185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0.76024349654024703</c:v>
                </c:pt>
                <c:pt idx="1">
                  <c:v>1.0321808343271746</c:v>
                </c:pt>
                <c:pt idx="2">
                  <c:v>0.80957489074294797</c:v>
                </c:pt>
                <c:pt idx="3">
                  <c:v>0.74971007428821135</c:v>
                </c:pt>
                <c:pt idx="4">
                  <c:v>0.82321869216533006</c:v>
                </c:pt>
                <c:pt idx="5">
                  <c:v>0.51058930465081054</c:v>
                </c:pt>
                <c:pt idx="6">
                  <c:v>0.42815308087291398</c:v>
                </c:pt>
                <c:pt idx="7">
                  <c:v>0.84454409566517186</c:v>
                </c:pt>
                <c:pt idx="8">
                  <c:v>0.6246112838738338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0.39468071320185211</c:v>
                </c:pt>
                <c:pt idx="1">
                  <c:v>0.3467315579365764</c:v>
                </c:pt>
                <c:pt idx="2">
                  <c:v>0.25858772886157166</c:v>
                </c:pt>
                <c:pt idx="3">
                  <c:v>0.43136918313467415</c:v>
                </c:pt>
                <c:pt idx="4">
                  <c:v>0.56863081686532579</c:v>
                </c:pt>
                <c:pt idx="5">
                  <c:v>0.25865360653832725</c:v>
                </c:pt>
                <c:pt idx="6">
                  <c:v>0.26239780101579319</c:v>
                </c:pt>
                <c:pt idx="7">
                  <c:v>0.23323594406638193</c:v>
                </c:pt>
                <c:pt idx="8">
                  <c:v>0.24571264837949772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0.76666903713672163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0.328926718120996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0.33627264499843967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0.21233115363372118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0.33324967890291501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0.23155691219709751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0.20765833178043225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0.16304058296681667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0.76666903713672163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0.328926718120996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0.33627264499843967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0.21233115363372118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0.33324967890291501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0.23155691219709751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0.20765833178043225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0.16304058296681667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0.76666903713672163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0.328926718120996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0.4402373197869186</c:v>
                  </c:pt>
                  <c:pt idx="1">
                    <c:v>0</c:v>
                  </c:pt>
                  <c:pt idx="2">
                    <c:v>0</c:v>
                  </c:pt>
                  <c:pt idx="3">
                    <c:v>0.63371080516165412</c:v>
                  </c:pt>
                  <c:pt idx="4">
                    <c:v>0</c:v>
                  </c:pt>
                  <c:pt idx="5">
                    <c:v>0.33627264499843967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0.29108128108929776</c:v>
                  </c:pt>
                  <c:pt idx="1">
                    <c:v>0</c:v>
                  </c:pt>
                  <c:pt idx="2">
                    <c:v>0</c:v>
                  </c:pt>
                  <c:pt idx="3">
                    <c:v>0.35177008006009469</c:v>
                  </c:pt>
                  <c:pt idx="4">
                    <c:v>0</c:v>
                  </c:pt>
                  <c:pt idx="5">
                    <c:v>0.21233115363372118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0.85913278567741413</c:v>
                </c:pt>
                <c:pt idx="1">
                  <c:v>#N/A</c:v>
                </c:pt>
                <c:pt idx="2">
                  <c:v>#N/A</c:v>
                </c:pt>
                <c:pt idx="3">
                  <c:v>0.79066442276603632</c:v>
                </c:pt>
                <c:pt idx="4">
                  <c:v>#N/A</c:v>
                </c:pt>
                <c:pt idx="5">
                  <c:v>0.57608761893845239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0.32178424384836735</c:v>
                </c:pt>
                <c:pt idx="1">
                  <c:v>0</c:v>
                </c:pt>
                <c:pt idx="2">
                  <c:v>0</c:v>
                </c:pt>
                <c:pt idx="3">
                  <c:v>0.46396024506165739</c:v>
                </c:pt>
                <c:pt idx="4">
                  <c:v>0</c:v>
                </c:pt>
                <c:pt idx="5">
                  <c:v>0.21425551108997534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0.33324967890291501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0.23155691219709751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0.20765833178043225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0.16304058296681667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0.75881765377339183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0.46396024506165739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3.2007315957933241E-2</c:v>
                </c:pt>
                <c:pt idx="1">
                  <c:v>1.749256689791873E-2</c:v>
                </c:pt>
                <c:pt idx="2">
                  <c:v>1.4866204162537165E-2</c:v>
                </c:pt>
                <c:pt idx="3">
                  <c:v>1.7591674925668981E-2</c:v>
                </c:pt>
                <c:pt idx="4">
                  <c:v>1.2213740458015267E-2</c:v>
                </c:pt>
                <c:pt idx="5">
                  <c:v>3.6808413351623229E-2</c:v>
                </c:pt>
                <c:pt idx="6">
                  <c:v>8.4726867335562991E-2</c:v>
                </c:pt>
                <c:pt idx="7">
                  <c:v>2.7538726333907058E-2</c:v>
                </c:pt>
                <c:pt idx="8">
                  <c:v>3.5665294924554183E-2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2.4521531100478468E-2</c:v>
                </c:pt>
                <c:pt idx="1">
                  <c:v>1.8045334118339709E-2</c:v>
                </c:pt>
                <c:pt idx="2">
                  <c:v>1.2069473064468648E-2</c:v>
                </c:pt>
                <c:pt idx="3">
                  <c:v>1.3246982631733883E-2</c:v>
                </c:pt>
                <c:pt idx="4">
                  <c:v>1.0076335877862596E-2</c:v>
                </c:pt>
                <c:pt idx="5">
                  <c:v>1.9138755980861243E-2</c:v>
                </c:pt>
                <c:pt idx="6">
                  <c:v>3.8123167155425221E-2</c:v>
                </c:pt>
                <c:pt idx="7">
                  <c:v>2.3357664233576641E-2</c:v>
                </c:pt>
                <c:pt idx="8">
                  <c:v>2.2579244463742945E-2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36.684104450389654</c:v>
                </c:pt>
                <c:pt idx="1">
                  <c:v>32.227408794324667</c:v>
                </c:pt>
                <c:pt idx="2">
                  <c:v>24.034767694096736</c:v>
                </c:pt>
                <c:pt idx="3">
                  <c:v>27.131692716276554</c:v>
                </c:pt>
                <c:pt idx="4">
                  <c:v>35.764994801167163</c:v>
                </c:pt>
                <c:pt idx="5">
                  <c:v>34.689749486698794</c:v>
                </c:pt>
                <c:pt idx="6">
                  <c:v>36.095135237997731</c:v>
                </c:pt>
                <c:pt idx="7">
                  <c:v>26.738634726603046</c:v>
                </c:pt>
                <c:pt idx="8">
                  <c:v>30.330891136916954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5.9571758868072505E-2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6.0567404146446346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-2.1693955821133062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6.0567404146446346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-2.3060041352041662</c:v>
                </c:pt>
                <c:pt idx="1">
                  <c:v>-4.4753997173174724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6.0567404146446346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2.3060041352041662</c:v>
                </c:pt>
                <c:pt idx="1">
                  <c:v>0.13660855309086006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6.0567404146446346</c:v>
                </c:pt>
                <c:pt idx="1">
                  <c:v>5.6769189525943267</c:v>
                </c:pt>
                <c:pt idx="2">
                  <c:v>4.9025266642922745</c:v>
                </c:pt>
                <c:pt idx="3">
                  <c:v>5.2088091456950645</c:v>
                </c:pt>
                <c:pt idx="4">
                  <c:v>5.9803841683596852</c:v>
                </c:pt>
                <c:pt idx="5">
                  <c:v>5.8898004623840015</c:v>
                </c:pt>
                <c:pt idx="6">
                  <c:v>6.0079227057276405</c:v>
                </c:pt>
                <c:pt idx="7">
                  <c:v>5.1709413772158586</c:v>
                </c:pt>
                <c:pt idx="8">
                  <c:v>5.5073488301465847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-1.6602525252457403</c:v>
                </c:pt>
                <c:pt idx="1">
                  <c:v>0.17981004269225989</c:v>
                </c:pt>
                <c:pt idx="2">
                  <c:v>-1.0356391248225649</c:v>
                </c:pt>
                <c:pt idx="3">
                  <c:v>-1.5004949562598078</c:v>
                </c:pt>
                <c:pt idx="4">
                  <c:v>-1.1633843938608726</c:v>
                </c:pt>
                <c:pt idx="5">
                  <c:v>-3.9590633296967153</c:v>
                </c:pt>
                <c:pt idx="6">
                  <c:v>-5.096367519634283</c:v>
                </c:pt>
                <c:pt idx="7">
                  <c:v>-0.87367361435717472</c:v>
                </c:pt>
                <c:pt idx="8">
                  <c:v>-2.5919002757842491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33484167964068"/>
          <c:y val="0.14233649941739346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-0.27411650683119987</c:v>
                </c:pt>
                <c:pt idx="1">
                  <c:v>3.167387877011834E-2</c:v>
                </c:pt>
                <c:pt idx="2">
                  <c:v>-0.211245995328425</c:v>
                </c:pt>
                <c:pt idx="3">
                  <c:v>-0.28806871480402096</c:v>
                </c:pt>
                <c:pt idx="4">
                  <c:v>-0.19453338800807651</c:v>
                </c:pt>
                <c:pt idx="5">
                  <c:v>-0.6721897210239639</c:v>
                </c:pt>
                <c:pt idx="6">
                  <c:v>-0.84827448175650988</c:v>
                </c:pt>
                <c:pt idx="7">
                  <c:v>-0.16895832898178756</c:v>
                </c:pt>
                <c:pt idx="8">
                  <c:v>-0.47062576853612209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0.16510530938094906</c:v>
                </c:pt>
                <c:pt idx="1">
                  <c:v>0.17615188949333238</c:v>
                </c:pt>
                <c:pt idx="2">
                  <c:v>0.20397645305706039</c:v>
                </c:pt>
                <c:pt idx="3">
                  <c:v>0.19198246125536622</c:v>
                </c:pt>
                <c:pt idx="4">
                  <c:v>0.16721333811474565</c:v>
                </c:pt>
                <c:pt idx="5">
                  <c:v>0.16978503879488513</c:v>
                </c:pt>
                <c:pt idx="6">
                  <c:v>0.16644688172280447</c:v>
                </c:pt>
                <c:pt idx="7">
                  <c:v>0.19338838463846994</c:v>
                </c:pt>
                <c:pt idx="8">
                  <c:v>0.18157556945115166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-0.92262338183511305</c:v>
                </c:pt>
                <c:pt idx="1">
                  <c:v>-0.35817872875448148</c:v>
                </c:pt>
                <c:pt idx="2">
                  <c:v>0.20626592432615015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0.24477174366847246</c:v>
                </c:pt>
                <c:pt idx="1">
                  <c:v>0</c:v>
                </c:pt>
                <c:pt idx="2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-0.35817872875448148</c:v>
                </c:pt>
                <c:pt idx="1">
                  <c:v>-0.35817872875448148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0.5259373046667275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0.5259373046667275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-0.35817872875448148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0.22437409836276645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0.13690913292026935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0.13690913292026935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-0.35817872875448148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0.22437409836276645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0.5259373046667275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0.5259373046667275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-0.35817872875448148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0.13690913292026935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0.13690913292026935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-0.35817872875448148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0.24477174366847246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-0.27188000539926105</c:v>
                </c:pt>
                <c:pt idx="1">
                  <c:v>1.4652337926855223</c:v>
                </c:pt>
                <c:pt idx="2">
                  <c:v>0.56594882193286311</c:v>
                </c:pt>
                <c:pt idx="3">
                  <c:v>0</c:v>
                </c:pt>
                <c:pt idx="4">
                  <c:v>0.27188000539926077</c:v>
                </c:pt>
                <c:pt idx="5">
                  <c:v>-0.9208229763683794</c:v>
                </c:pt>
                <c:pt idx="6">
                  <c:v>-1.4652337926855223</c:v>
                </c:pt>
                <c:pt idx="7">
                  <c:v>0.9208229763683794</c:v>
                </c:pt>
                <c:pt idx="8">
                  <c:v>-0.56594882193286311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-1.6602525252457403</c:v>
                </c:pt>
                <c:pt idx="1">
                  <c:v>0.17981004269225989</c:v>
                </c:pt>
                <c:pt idx="2">
                  <c:v>-1.0356391248225649</c:v>
                </c:pt>
                <c:pt idx="3">
                  <c:v>-1.5004949562598078</c:v>
                </c:pt>
                <c:pt idx="4">
                  <c:v>-1.1633843938608726</c:v>
                </c:pt>
                <c:pt idx="5">
                  <c:v>-3.9590633296967153</c:v>
                </c:pt>
                <c:pt idx="6">
                  <c:v>-5.096367519634283</c:v>
                </c:pt>
                <c:pt idx="7">
                  <c:v>-0.87367361435717472</c:v>
                </c:pt>
                <c:pt idx="8">
                  <c:v>-2.5919002757842491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-4.4717316617737835</c:v>
                </c:pt>
                <c:pt idx="1">
                  <c:v>0.53818372911397216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-1.9667739663299055</c:v>
                </c:pt>
                <c:pt idx="1">
                  <c:v>-1.9667739663299055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0.1111111111111111</c:v>
                </c:pt>
                <c:pt idx="2">
                  <c:v>0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0.1111111111111111</c:v>
                </c:pt>
                <c:pt idx="6">
                  <c:v>0.44444444444444442</c:v>
                </c:pt>
                <c:pt idx="7">
                  <c:v>0</c:v>
                </c:pt>
                <c:pt idx="8">
                  <c:v>0.1111111111111111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2.5551303304279312E-3</c:v>
                </c:pt>
                <c:pt idx="2">
                  <c:v>2.019500161775126E-2</c:v>
                </c:pt>
                <c:pt idx="3">
                  <c:v>9.2319538273529012E-2</c:v>
                </c:pt>
                <c:pt idx="4">
                  <c:v>0.22950858816796754</c:v>
                </c:pt>
                <c:pt idx="5">
                  <c:v>0.31084348322064853</c:v>
                </c:pt>
                <c:pt idx="6">
                  <c:v>0.22950858816796749</c:v>
                </c:pt>
                <c:pt idx="7">
                  <c:v>9.2319538273529012E-2</c:v>
                </c:pt>
                <c:pt idx="8">
                  <c:v>2.0195001617751229E-2</c:v>
                </c:pt>
                <c:pt idx="9">
                  <c:v>2.5551303304279793E-3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1368425</xdr:colOff>
      <xdr:row>1</xdr:row>
      <xdr:rowOff>3175</xdr:rowOff>
    </xdr:from>
    <xdr:to>
      <xdr:col>11</xdr:col>
      <xdr:colOff>5702300</xdr:colOff>
      <xdr:row>209</xdr:row>
      <xdr:rowOff>3175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317500</xdr:colOff>
      <xdr:row>1</xdr:row>
      <xdr:rowOff>82549</xdr:rowOff>
    </xdr:from>
    <xdr:to>
      <xdr:col>11</xdr:col>
      <xdr:colOff>1092200</xdr:colOff>
      <xdr:row>24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L19" sqref="L19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12</v>
      </c>
      <c r="C2" s="5" t="s">
        <v>13</v>
      </c>
      <c r="D2" s="27">
        <v>82</v>
      </c>
      <c r="E2" s="27"/>
      <c r="F2" s="27">
        <v>70</v>
      </c>
      <c r="G2" s="27"/>
      <c r="H2" s="27">
        <v>3344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335</v>
      </c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17</v>
      </c>
      <c r="C3" s="5" t="s">
        <v>13</v>
      </c>
      <c r="D3" s="27">
        <v>61.3</v>
      </c>
      <c r="E3" s="27"/>
      <c r="F3" s="27">
        <v>70.599999999999994</v>
      </c>
      <c r="G3" s="27"/>
      <c r="H3" s="27">
        <v>3397</v>
      </c>
      <c r="I3" s="27">
        <v>4036</v>
      </c>
      <c r="J3" s="3" t="str">
        <f t="shared" si="0"/>
        <v>Yes</v>
      </c>
      <c r="K3" s="5" t="s">
        <v>335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20</v>
      </c>
      <c r="C4" s="5" t="s">
        <v>13</v>
      </c>
      <c r="D4" s="27">
        <v>41</v>
      </c>
      <c r="E4" s="27"/>
      <c r="F4" s="27">
        <v>60</v>
      </c>
      <c r="G4" s="27"/>
      <c r="H4" s="27">
        <v>3397</v>
      </c>
      <c r="I4" s="93">
        <v>4036</v>
      </c>
      <c r="J4" s="3" t="str">
        <f t="shared" si="0"/>
        <v>Yes</v>
      </c>
      <c r="K4" s="5" t="s">
        <v>335</v>
      </c>
      <c r="L4" s="27"/>
      <c r="N4" s="2" t="s">
        <v>21</v>
      </c>
      <c r="O4" s="3" t="s">
        <v>5</v>
      </c>
      <c r="P4" s="3" t="s">
        <v>6</v>
      </c>
      <c r="Q4" s="3" t="s">
        <v>22</v>
      </c>
      <c r="S4" s="92"/>
      <c r="T4" s="92"/>
    </row>
    <row r="5" spans="1:20" x14ac:dyDescent="0.3">
      <c r="A5" s="6">
        <f>IF(AND(Sufficient_data="Yes",Include_study?="Yes"),COUNT(A$2:A4)+1,"")</f>
        <v>4</v>
      </c>
      <c r="B5" s="12" t="s">
        <v>17</v>
      </c>
      <c r="C5" s="5" t="s">
        <v>13</v>
      </c>
      <c r="D5" s="27">
        <v>45</v>
      </c>
      <c r="E5" s="27"/>
      <c r="F5" s="27">
        <v>71</v>
      </c>
      <c r="G5" s="27"/>
      <c r="H5" s="27">
        <v>3397</v>
      </c>
      <c r="I5" s="93">
        <v>4036</v>
      </c>
      <c r="J5" s="3" t="str">
        <f t="shared" si="0"/>
        <v>Yes</v>
      </c>
      <c r="K5" s="5" t="s">
        <v>337</v>
      </c>
      <c r="L5" s="27"/>
      <c r="S5" s="92"/>
      <c r="T5" s="92"/>
    </row>
    <row r="6" spans="1:20" x14ac:dyDescent="0.3">
      <c r="A6" s="6">
        <f>IF(AND(Sufficient_data="Yes",Include_study?="Yes"),COUNT(A$2:A5)+1,"")</f>
        <v>5</v>
      </c>
      <c r="B6" s="12" t="s">
        <v>336</v>
      </c>
      <c r="C6" s="5" t="s">
        <v>13</v>
      </c>
      <c r="D6" s="27">
        <v>66</v>
      </c>
      <c r="E6" s="27"/>
      <c r="F6" s="27">
        <v>80</v>
      </c>
      <c r="G6" s="27"/>
      <c r="H6" s="27">
        <v>6550</v>
      </c>
      <c r="I6" s="27">
        <v>6550</v>
      </c>
      <c r="J6" s="3" t="str">
        <f t="shared" si="0"/>
        <v>Yes</v>
      </c>
      <c r="K6" s="5" t="s">
        <v>337</v>
      </c>
      <c r="L6" s="27"/>
      <c r="S6" s="92"/>
      <c r="T6" s="92"/>
    </row>
    <row r="7" spans="1:20" x14ac:dyDescent="0.3">
      <c r="A7" s="6">
        <f>IF(AND(Sufficient_data="Yes",Include_study?="Yes"),COUNT(A$2:A6)+1,"")</f>
        <v>6</v>
      </c>
      <c r="B7" s="12" t="s">
        <v>338</v>
      </c>
      <c r="C7" s="5" t="s">
        <v>13</v>
      </c>
      <c r="D7" s="27">
        <v>64</v>
      </c>
      <c r="E7" s="27"/>
      <c r="F7" s="27">
        <v>80.5</v>
      </c>
      <c r="G7" s="27"/>
      <c r="H7" s="27">
        <v>3344</v>
      </c>
      <c r="I7" s="93">
        <v>2187</v>
      </c>
      <c r="J7" s="3" t="str">
        <f t="shared" si="0"/>
        <v>Yes</v>
      </c>
      <c r="K7" s="5" t="s">
        <v>341</v>
      </c>
      <c r="L7" s="27"/>
      <c r="S7" s="92"/>
      <c r="T7" s="92"/>
    </row>
    <row r="8" spans="1:20" x14ac:dyDescent="0.3">
      <c r="A8" s="6">
        <f>IF(AND(Sufficient_data="Yes",Include_study?="Yes"),COUNT(A$2:A7)+1,"")</f>
        <v>7</v>
      </c>
      <c r="B8" s="12" t="s">
        <v>339</v>
      </c>
      <c r="C8" s="5" t="s">
        <v>13</v>
      </c>
      <c r="D8" s="27">
        <v>78</v>
      </c>
      <c r="E8" s="27"/>
      <c r="F8" s="27">
        <v>76</v>
      </c>
      <c r="G8" s="27"/>
      <c r="H8" s="27">
        <v>2046</v>
      </c>
      <c r="I8" s="27">
        <v>897</v>
      </c>
      <c r="J8" s="3" t="str">
        <f t="shared" si="0"/>
        <v>Yes</v>
      </c>
      <c r="K8" s="5" t="s">
        <v>341</v>
      </c>
      <c r="L8" s="27"/>
      <c r="S8" s="92"/>
      <c r="T8" s="92"/>
    </row>
    <row r="9" spans="1:20" x14ac:dyDescent="0.3">
      <c r="A9" s="6">
        <f>IF(AND(Sufficient_data="Yes",Include_study?="Yes"),COUNT(A$2:A8)+1,"")</f>
        <v>8</v>
      </c>
      <c r="B9" s="12" t="s">
        <v>339</v>
      </c>
      <c r="C9" s="5" t="s">
        <v>13</v>
      </c>
      <c r="D9" s="27">
        <v>48</v>
      </c>
      <c r="E9" s="27"/>
      <c r="F9" s="27">
        <v>64</v>
      </c>
      <c r="G9" s="27"/>
      <c r="H9" s="27">
        <v>2055</v>
      </c>
      <c r="I9" s="93">
        <v>2324</v>
      </c>
      <c r="J9" s="3" t="str">
        <f t="shared" si="0"/>
        <v>Yes</v>
      </c>
      <c r="K9" s="5" t="s">
        <v>341</v>
      </c>
      <c r="L9" s="27"/>
      <c r="S9" s="92"/>
      <c r="T9" s="92"/>
    </row>
    <row r="10" spans="1:20" x14ac:dyDescent="0.3">
      <c r="A10" s="6">
        <f>IF(AND(Sufficient_data="Yes",Include_study?="Yes"),COUNT(A$2:A9)+1,"")</f>
        <v>9</v>
      </c>
      <c r="B10" s="116" t="s">
        <v>340</v>
      </c>
      <c r="C10" s="5" t="s">
        <v>13</v>
      </c>
      <c r="D10" s="27">
        <v>52</v>
      </c>
      <c r="E10" s="27"/>
      <c r="F10" s="27">
        <v>78</v>
      </c>
      <c r="G10" s="95"/>
      <c r="H10" s="94">
        <v>2303</v>
      </c>
      <c r="I10" s="27">
        <v>2187</v>
      </c>
      <c r="J10" s="3" t="str">
        <f t="shared" si="0"/>
        <v>Yes</v>
      </c>
      <c r="K10" s="5" t="s">
        <v>341</v>
      </c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23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x14ac:dyDescent="0.3">
      <c r="A12" s="6" t="str">
        <f>IF(AND(Sufficient_data="Yes",Include_study?="Yes"),COUNT(A$2:A11)+1,"")</f>
        <v/>
      </c>
      <c r="B12" s="12"/>
      <c r="C12" s="5" t="s">
        <v>23</v>
      </c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  <c r="S12" s="92"/>
      <c r="T12" s="92"/>
    </row>
    <row r="13" spans="1:20" s="110" customFormat="1" x14ac:dyDescent="0.3">
      <c r="A13" s="6" t="str">
        <f>IF(AND(Sufficient_data="Yes",Include_study?="Yes"),COUNT(A$2:A12)+1,"")</f>
        <v/>
      </c>
      <c r="C13" s="5" t="s">
        <v>23</v>
      </c>
      <c r="D13" s="108"/>
      <c r="E13" s="108"/>
      <c r="F13" s="108"/>
      <c r="G13" s="108"/>
      <c r="H13" s="108"/>
      <c r="I13" s="108"/>
      <c r="J13" s="109" t="s">
        <v>13</v>
      </c>
      <c r="K13" s="107"/>
      <c r="L13" s="108"/>
    </row>
    <row r="14" spans="1:20" s="110" customFormat="1" x14ac:dyDescent="0.3">
      <c r="A14" s="6" t="str">
        <f>IF(AND(Sufficient_data="Yes",Include_study?="Yes"),COUNT(A$2:A13)+1,"")</f>
        <v/>
      </c>
      <c r="C14" s="5" t="s">
        <v>23</v>
      </c>
      <c r="D14" s="108"/>
      <c r="E14" s="108"/>
      <c r="F14" s="108"/>
      <c r="G14" s="108"/>
      <c r="H14" s="108"/>
      <c r="I14" s="108"/>
      <c r="J14" s="109" t="s">
        <v>13</v>
      </c>
      <c r="K14" s="107"/>
      <c r="L14" s="108"/>
    </row>
    <row r="15" spans="1:20" s="110" customFormat="1" x14ac:dyDescent="0.3">
      <c r="A15" s="6" t="str">
        <f>IF(AND(Sufficient_data="Yes",Include_study?="Yes"),COUNT(A$2:A14)+1,"")</f>
        <v/>
      </c>
      <c r="C15" s="5" t="s">
        <v>23</v>
      </c>
      <c r="D15" s="108"/>
      <c r="E15" s="108"/>
      <c r="F15" s="108"/>
      <c r="G15" s="108"/>
      <c r="H15" s="108"/>
      <c r="I15" s="108"/>
      <c r="J15" s="109" t="s">
        <v>13</v>
      </c>
      <c r="K15" s="107"/>
      <c r="L15" s="108"/>
    </row>
    <row r="16" spans="1:20" s="104" customFormat="1" x14ac:dyDescent="0.3">
      <c r="A16" s="6" t="str">
        <f>IF(AND(Sufficient_data="Yes",Include_study?="Yes"),COUNT(A$2:A15)+1,"")</f>
        <v/>
      </c>
      <c r="B16" s="100"/>
      <c r="C16" s="5" t="s">
        <v>23</v>
      </c>
      <c r="D16" s="102"/>
      <c r="E16" s="102"/>
      <c r="F16" s="102"/>
      <c r="G16" s="102"/>
      <c r="H16" s="102"/>
      <c r="I16" s="102"/>
      <c r="J16" s="103" t="str">
        <f t="shared" si="0"/>
        <v>No</v>
      </c>
      <c r="K16" s="101"/>
      <c r="L16" s="102"/>
      <c r="S16" s="105"/>
      <c r="T16" s="105"/>
    </row>
    <row r="17" spans="1:12" x14ac:dyDescent="0.3">
      <c r="A17" s="6" t="str">
        <f>IF(AND(Sufficient_data="Yes",Include_study?="Yes"),COUNT(A$2:A16)+1,"")</f>
        <v/>
      </c>
      <c r="B17" s="12"/>
      <c r="C17" s="5" t="s">
        <v>23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06"/>
      <c r="C18" s="5" t="s">
        <v>23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99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2" activePane="bottomLeft" state="frozen"/>
      <selection pane="bottomLeft" activeCell="E2" sqref="E2:I4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36" t="s">
        <v>24</v>
      </c>
      <c r="B1" s="136"/>
      <c r="D1" s="1" t="s">
        <v>25</v>
      </c>
      <c r="E1" s="1" t="s">
        <v>1</v>
      </c>
      <c r="F1" s="1" t="str">
        <f>IF(Present_Effect_size_measure&lt;&gt;"",Present_Effect_size_measure,"")</f>
        <v>Odds Ratio</v>
      </c>
      <c r="G1" s="1" t="s">
        <v>26</v>
      </c>
      <c r="H1" s="1" t="s">
        <v>27</v>
      </c>
      <c r="I1" s="1" t="s">
        <v>28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29</v>
      </c>
      <c r="B2" s="5" t="s">
        <v>30</v>
      </c>
      <c r="D2" s="47">
        <v>1</v>
      </c>
      <c r="E2" s="16" t="str">
        <f>IF(Number&lt;=COUNT(Entry_number),INDEX(Lookup_table,MATCH(Number,Calculations!AK:AK,0),3),"")</f>
        <v>Mustaqeem et al. (B)</v>
      </c>
      <c r="F2" s="4">
        <f>IF(Ranked_number&lt;=COUNT(Entry_number),INDEX(Lookup_table,MATCH(Number,Calculations!AK:AK,0),5),"")</f>
        <v>0.76024349654024703</v>
      </c>
      <c r="G2" s="4">
        <f>IF(Ranked_number&lt;=COUNT(Entry_number),INDEX(Lookup_table,MATCH(Number,Calculations!AK:AK,0),9),"")</f>
        <v>0.55002704889284826</v>
      </c>
      <c r="H2" s="4">
        <f>IF(Ranked_number&lt;=COUNT(Entry_number),INDEX(Lookup_table,MATCH(Number,Calculations!AK:AK,0),10),"")</f>
        <v>1.0508031835800424</v>
      </c>
      <c r="I2" s="8">
        <f>IF(D2&lt;=COUNT(Entry_number),INDEX(Lookup_table,MATCH(Number,Calculations!AK:AK,0),11),"")</f>
        <v>0.1182382046366353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31</v>
      </c>
      <c r="M2" s="133" t="s">
        <v>32</v>
      </c>
      <c r="O2" s="134" t="s">
        <v>33</v>
      </c>
    </row>
    <row r="3" spans="1:15" x14ac:dyDescent="0.3">
      <c r="A3" s="3" t="s">
        <v>34</v>
      </c>
      <c r="B3" s="29">
        <v>0.95</v>
      </c>
      <c r="D3" s="48">
        <v>2</v>
      </c>
      <c r="E3" s="16" t="str">
        <f>IF(Number&lt;=COUNT(Entry_number),INDEX(Lookup_table,MATCH(Number,Calculations!AK:AK,0),3),"")</f>
        <v>Zou et al.</v>
      </c>
      <c r="F3" s="4">
        <f>IF(Ranked_number&lt;=COUNT(Entry_number),INDEX(Lookup_table,MATCH(Number,Calculations!AK:AK,0),5),"")</f>
        <v>1.0321808343271746</v>
      </c>
      <c r="G3" s="4">
        <f>IF(Ranked_number&lt;=COUNT(Entry_number),INDEX(Lookup_table,MATCH(Number,Calculations!AK:AK,0),9),"")</f>
        <v>0.73078664864516729</v>
      </c>
      <c r="H3" s="4">
        <f>IF(Ranked_number&lt;=COUNT(Entry_number),INDEX(Lookup_table,MATCH(Number,Calculations!AK:AK,0),10),"")</f>
        <v>1.4578773116990056</v>
      </c>
      <c r="I3" s="8">
        <f>IF(D3&lt;=COUNT(Entry_number),INDEX(Lookup_table,MATCH(Number,Calculations!AK:AK,0),11),"")</f>
        <v>0.11263313866986413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3"/>
      <c r="O3" s="134"/>
    </row>
    <row r="4" spans="1:15" x14ac:dyDescent="0.3">
      <c r="D4" s="48">
        <v>3</v>
      </c>
      <c r="E4" s="16" t="str">
        <f>IF(Number&lt;=COUNT(Entry_number),INDEX(Lookup_table,MATCH(Number,Calculations!AK:AK,0),3),"")</f>
        <v>Wang et al.</v>
      </c>
      <c r="F4" s="4">
        <f>IF(Ranked_number&lt;=COUNT(Entry_number),INDEX(Lookup_table,MATCH(Number,Calculations!AK:AK,0),5),"")</f>
        <v>0.80957489074294797</v>
      </c>
      <c r="G4" s="4">
        <f>IF(Ranked_number&lt;=COUNT(Entry_number),INDEX(Lookup_table,MATCH(Number,Calculations!AK:AK,0),9),"")</f>
        <v>0.54275480084701</v>
      </c>
      <c r="H4" s="4">
        <f>IF(Ranked_number&lt;=COUNT(Entry_number),INDEX(Lookup_table,MATCH(Number,Calculations!AK:AK,0),10),"")</f>
        <v>1.2075646363673556</v>
      </c>
      <c r="I4" s="8">
        <f>IF(D4&lt;=COUNT(Entry_number),INDEX(Lookup_table,MATCH(Number,Calculations!AK:AK,0),11),"")</f>
        <v>9.941087689341073E-2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35</v>
      </c>
      <c r="M4" s="133"/>
      <c r="O4" s="134"/>
    </row>
    <row r="5" spans="1:15" x14ac:dyDescent="0.3">
      <c r="A5" s="136" t="s">
        <v>36</v>
      </c>
      <c r="B5" s="136"/>
      <c r="D5" s="48">
        <v>4</v>
      </c>
      <c r="E5" s="16" t="str">
        <f>IF(Number&lt;=COUNT(Entry_number),INDEX(Lookup_table,MATCH(Number,Calculations!AK:AK,0),3),"")</f>
        <v>Zou et al.</v>
      </c>
      <c r="F5" s="4">
        <f>IF(Ranked_number&lt;=COUNT(Entry_number),INDEX(Lookup_table,MATCH(Number,Calculations!AK:AK,0),5),"")</f>
        <v>0.74971007428821135</v>
      </c>
      <c r="G5" s="4">
        <f>IF(Ranked_number&lt;=COUNT(Entry_number),INDEX(Lookup_table,MATCH(Number,Calculations!AK:AK,0),9),"")</f>
        <v>0.5145776958373327</v>
      </c>
      <c r="H5" s="4">
        <f>IF(Ranked_number&lt;=COUNT(Entry_number),INDEX(Lookup_table,MATCH(Number,Calculations!AK:AK,0),10),"")</f>
        <v>1.0922844111512255</v>
      </c>
      <c r="I5" s="8">
        <f>IF(D5&lt;=COUNT(Entry_number),INDEX(Lookup_table,MATCH(Number,Calculations!AK:AK,0),11),"")</f>
        <v>0.10494241459281541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3"/>
      <c r="O5" s="134"/>
    </row>
    <row r="6" spans="1:15" x14ac:dyDescent="0.3">
      <c r="A6" s="3" t="s">
        <v>37</v>
      </c>
      <c r="B6" s="5" t="s">
        <v>38</v>
      </c>
      <c r="D6" s="48">
        <v>5</v>
      </c>
      <c r="E6" s="16" t="str">
        <f>IF(Number&lt;=COUNT(Entry_number),INDEX(Lookup_table,MATCH(Number,Calculations!AK:AK,0),3),"")</f>
        <v>Law et al.</v>
      </c>
      <c r="F6" s="4">
        <f>IF(Ranked_number&lt;=COUNT(Entry_number),INDEX(Lookup_table,MATCH(Number,Calculations!AK:AK,0),5),"")</f>
        <v>0.82321869216533006</v>
      </c>
      <c r="G6" s="4">
        <f>IF(Ranked_number&lt;=COUNT(Entry_number),INDEX(Lookup_table,MATCH(Number,Calculations!AK:AK,0),9),"")</f>
        <v>0.59315721541009148</v>
      </c>
      <c r="H6" s="4">
        <f>IF(Ranked_number&lt;=COUNT(Entry_number),INDEX(Lookup_table,MATCH(Number,Calculations!AK:AK,0),10),"")</f>
        <v>1.142511626806836</v>
      </c>
      <c r="I6" s="8">
        <f>IF(D6&lt;=COUNT(Entry_number),INDEX(Lookup_table,MATCH(Number,Calculations!AK:AK,0),11),"")</f>
        <v>0.1171547863838607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39</v>
      </c>
      <c r="M6" s="133"/>
      <c r="O6" s="134"/>
    </row>
    <row r="7" spans="1:15" x14ac:dyDescent="0.3">
      <c r="A7" s="3" t="s">
        <v>40</v>
      </c>
      <c r="B7" s="5" t="s">
        <v>41</v>
      </c>
      <c r="D7" s="48">
        <v>6</v>
      </c>
      <c r="E7" s="16" t="str">
        <f>IF(Number&lt;=COUNT(Entry_number),INDEX(Lookup_table,MATCH(Number,Calculations!AK:AK,0),3),"")</f>
        <v>Mustaqeem et al. (A)</v>
      </c>
      <c r="F7" s="4">
        <f>IF(Ranked_number&lt;=COUNT(Entry_number),INDEX(Lookup_table,MATCH(Number,Calculations!AK:AK,0),5),"")</f>
        <v>0.51058930465081054</v>
      </c>
      <c r="G7" s="4">
        <f>IF(Ranked_number&lt;=COUNT(Entry_number),INDEX(Lookup_table,MATCH(Number,Calculations!AK:AK,0),9),"")</f>
        <v>0.36603177010706317</v>
      </c>
      <c r="H7" s="4">
        <f>IF(Ranked_number&lt;=COUNT(Entry_number),INDEX(Lookup_table,MATCH(Number,Calculations!AK:AK,0),10),"")</f>
        <v>0.71223718626266752</v>
      </c>
      <c r="I7" s="8">
        <f>IF(D7&lt;=COUNT(Entry_number),INDEX(Lookup_table,MATCH(Number,Calculations!AK:AK,0),11),"")</f>
        <v>0.11584161946748246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42</v>
      </c>
      <c r="M7" s="133"/>
      <c r="O7" s="134"/>
    </row>
    <row r="8" spans="1:15" x14ac:dyDescent="0.3">
      <c r="A8" s="3" t="s">
        <v>43</v>
      </c>
      <c r="B8" s="5" t="s">
        <v>41</v>
      </c>
      <c r="D8" s="48">
        <v>7</v>
      </c>
      <c r="E8" s="16" t="str">
        <f>IF(Number&lt;=COUNT(Entry_number),INDEX(Lookup_table,MATCH(Number,Calculations!AK:AK,0),3),"")</f>
        <v>Liu et al.</v>
      </c>
      <c r="F8" s="4">
        <f>IF(Ranked_number&lt;=COUNT(Entry_number),INDEX(Lookup_table,MATCH(Number,Calculations!AK:AK,0),5),"")</f>
        <v>0.42815308087291398</v>
      </c>
      <c r="G8" s="4">
        <f>IF(Ranked_number&lt;=COUNT(Entry_number),INDEX(Lookup_table,MATCH(Number,Calculations!AK:AK,0),9),"")</f>
        <v>0.30893057951447267</v>
      </c>
      <c r="H8" s="4">
        <f>IF(Ranked_number&lt;=COUNT(Entry_number),INDEX(Lookup_table,MATCH(Number,Calculations!AK:AK,0),10),"")</f>
        <v>0.59338593462995182</v>
      </c>
      <c r="I8" s="8">
        <f>IF(D8&lt;=COUNT(Entry_number),INDEX(Lookup_table,MATCH(Number,Calculations!AK:AK,0),11),"")</f>
        <v>0.11754798697459153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3"/>
      <c r="O8" s="134"/>
    </row>
    <row r="9" spans="1:15" x14ac:dyDescent="0.3">
      <c r="A9" s="3" t="s">
        <v>44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Liu et al.</v>
      </c>
      <c r="F9" s="4">
        <f>IF(Ranked_number&lt;=COUNT(Entry_number),INDEX(Lookup_table,MATCH(Number,Calculations!AK:AK,0),5),"")</f>
        <v>0.84454409566517186</v>
      </c>
      <c r="G9" s="4">
        <f>IF(Ranked_number&lt;=COUNT(Entry_number),INDEX(Lookup_table,MATCH(Number,Calculations!AK:AK,0),9),"")</f>
        <v>0.57804853680178936</v>
      </c>
      <c r="H9" s="4">
        <f>IF(Ranked_number&lt;=COUNT(Entry_number),INDEX(Lookup_table,MATCH(Number,Calculations!AK:AK,0),10),"")</f>
        <v>1.233901107109757</v>
      </c>
      <c r="I9" s="8">
        <f>IF(D9&lt;=COUNT(Entry_number),INDEX(Lookup_table,MATCH(Number,Calculations!AK:AK,0),11),"")</f>
        <v>0.10428043978233832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3"/>
      <c r="O9" s="134"/>
    </row>
    <row r="10" spans="1:15" x14ac:dyDescent="0.3">
      <c r="D10" s="48">
        <v>9</v>
      </c>
      <c r="E10" s="16" t="str">
        <f>IF(Number&lt;=COUNT(Entry_number),INDEX(Lookup_table,MATCH(Number,Calculations!AK:AK,0),3),"")</f>
        <v>Fan et al.</v>
      </c>
      <c r="F10" s="4">
        <f>IF(Ranked_number&lt;=COUNT(Entry_number),INDEX(Lookup_table,MATCH(Number,Calculations!AK:AK,0),5),"")</f>
        <v>0.6246112838738338</v>
      </c>
      <c r="G10" s="4">
        <f>IF(Ranked_number&lt;=COUNT(Entry_number),INDEX(Lookup_table,MATCH(Number,Calculations!AK:AK,0),9),"")</f>
        <v>0.43753291227103142</v>
      </c>
      <c r="H10" s="4">
        <f>IF(Ranked_number&lt;=COUNT(Entry_number),INDEX(Lookup_table,MATCH(Number,Calculations!AK:AK,0),10),"")</f>
        <v>0.89167979139554598</v>
      </c>
      <c r="I10" s="8">
        <f>IF(D10&lt;=COUNT(Entry_number),INDEX(Lookup_table,MATCH(Number,Calculations!AK:AK,0),11),"")</f>
        <v>0.10995053259900141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3"/>
      <c r="O10" s="134"/>
    </row>
    <row r="11" spans="1:15" x14ac:dyDescent="0.3">
      <c r="A11" s="136" t="s">
        <v>45</v>
      </c>
      <c r="B11" s="136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3"/>
      <c r="O11" s="134"/>
    </row>
    <row r="12" spans="1:15" x14ac:dyDescent="0.3">
      <c r="A12" s="3" t="s">
        <v>46</v>
      </c>
      <c r="B12" s="5" t="s">
        <v>31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3"/>
      <c r="O12" s="134"/>
    </row>
    <row r="13" spans="1:15" x14ac:dyDescent="0.3">
      <c r="A13" s="3" t="s">
        <v>47</v>
      </c>
      <c r="B13" s="5" t="s">
        <v>48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3"/>
      <c r="O13" s="13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3"/>
      <c r="O14" s="134"/>
    </row>
    <row r="15" spans="1:15" x14ac:dyDescent="0.3">
      <c r="A15" s="136" t="s">
        <v>49</v>
      </c>
      <c r="B15" s="136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3"/>
      <c r="O15" s="13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0.70482205290029998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3"/>
      <c r="O16" s="134"/>
    </row>
    <row r="17" spans="1:15" x14ac:dyDescent="0.3">
      <c r="A17" s="3" t="s">
        <v>26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0.56941989738182741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3"/>
      <c r="O17" s="134"/>
    </row>
    <row r="18" spans="1:15" x14ac:dyDescent="0.3">
      <c r="A18" s="3" t="s">
        <v>27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0.87242143897454782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3"/>
      <c r="O18" s="134"/>
    </row>
    <row r="19" spans="1:15" x14ac:dyDescent="0.3">
      <c r="A19" s="3" t="s">
        <v>50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0.4063240450326821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3"/>
      <c r="O19" s="134"/>
    </row>
    <row r="20" spans="1:15" x14ac:dyDescent="0.3">
      <c r="A20" s="3" t="s">
        <v>51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1.22260578060212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3"/>
      <c r="O20" s="13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3"/>
      <c r="O21" s="134"/>
    </row>
    <row r="22" spans="1:15" x14ac:dyDescent="0.3">
      <c r="A22" s="3" t="s">
        <v>52</v>
      </c>
      <c r="B22" s="4">
        <f>IF(B16&lt;&gt;"",IF(Weighting_method="Inverse variance",Z_value,IF(Weighting_method="Mantel-Haenszel",Z_value_MH,IF(Weighting_method="Peto",Z_value_Peto,""))),"")</f>
        <v>-3.7813412491206893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3"/>
      <c r="O22" s="134"/>
    </row>
    <row r="23" spans="1:15" x14ac:dyDescent="0.3">
      <c r="A23" s="3" t="s">
        <v>53</v>
      </c>
      <c r="B23" s="26">
        <f>IF(Valid_options="Yes",IF(B22&lt;&gt;"",1-NORMSDIST(ABS(B22)),""),"")</f>
        <v>7.7992839768614708E-5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3"/>
      <c r="O23" s="134"/>
    </row>
    <row r="24" spans="1:15" x14ac:dyDescent="0.3">
      <c r="A24" s="3" t="s">
        <v>54</v>
      </c>
      <c r="B24" s="26">
        <f>IF(Valid_options="Yes",IF(B22&lt;&gt;"",2*(1-NORMSDIST(ABS(B22))),""),"")</f>
        <v>1.5598567953722942E-4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3"/>
      <c r="O24" s="13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3"/>
      <c r="O25" s="134"/>
    </row>
    <row r="26" spans="1:15" ht="12" customHeight="1" x14ac:dyDescent="0.3">
      <c r="A26" s="3" t="s">
        <v>55</v>
      </c>
      <c r="B26" s="7">
        <f>SUMIF(Sufficient_data,"Yes",Number_of_subjects)</f>
        <v>58273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3"/>
      <c r="O26" s="134"/>
    </row>
    <row r="27" spans="1:15" x14ac:dyDescent="0.3">
      <c r="A27" s="3" t="s">
        <v>56</v>
      </c>
      <c r="B27" s="7">
        <f>COUNT(Weightf)</f>
        <v>9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3"/>
      <c r="O27" s="13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3"/>
      <c r="O28" s="134"/>
    </row>
    <row r="29" spans="1:15" x14ac:dyDescent="0.3">
      <c r="A29" s="136" t="s">
        <v>57</v>
      </c>
      <c r="B29" s="136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3"/>
      <c r="O29" s="134"/>
    </row>
    <row r="30" spans="1:15" x14ac:dyDescent="0.3">
      <c r="A30" s="3" t="s">
        <v>58</v>
      </c>
      <c r="B30" s="4">
        <f>IF(Valid_options="Yes",IF(Weighting_method="Inverse variance",Q_,IF(Weighting_method="Mantel-Haenszel",Q_MH,IF(Weighting_method="Peto",Q_Peto,""))),NA())</f>
        <v>20.198559181520956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3"/>
      <c r="O30" s="134"/>
    </row>
    <row r="31" spans="1:15" ht="13" x14ac:dyDescent="0.35">
      <c r="A31" s="3" t="s">
        <v>59</v>
      </c>
      <c r="B31" s="26">
        <f>IF(Valid_options="Yes",IF(B30&lt;&gt;"",CHIDIST(B30,k_-1),""),"")</f>
        <v>9.6103800058974301E-3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3"/>
      <c r="O31" s="134"/>
    </row>
    <row r="32" spans="1:15" ht="13.5" x14ac:dyDescent="0.3">
      <c r="A32" s="3" t="s">
        <v>60</v>
      </c>
      <c r="B32" s="8">
        <f>IF(Valid_options="Yes",IF(B30&lt;&gt;"",MAX(0,(B30-(k_-1))/B30),""),"")</f>
        <v>0.60393214545129759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3"/>
      <c r="O32" s="13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4.8492415226654886E-2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3"/>
      <c r="O33" s="13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0.22020993444133008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3"/>
      <c r="O34" s="13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3"/>
      <c r="O35" s="134"/>
    </row>
    <row r="36" spans="1:15" x14ac:dyDescent="0.3">
      <c r="A36" s="136" t="s">
        <v>61</v>
      </c>
      <c r="B36" s="137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3"/>
      <c r="O36" s="134"/>
    </row>
    <row r="37" spans="1:15" x14ac:dyDescent="0.3">
      <c r="A37" s="138" t="s">
        <v>38</v>
      </c>
      <c r="B37" s="138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3"/>
      <c r="O37" s="134"/>
    </row>
    <row r="38" spans="1:15" x14ac:dyDescent="0.3">
      <c r="A38" s="139" t="s">
        <v>62</v>
      </c>
      <c r="B38" s="13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3"/>
      <c r="O38" s="134"/>
    </row>
    <row r="39" spans="1:15" x14ac:dyDescent="0.3">
      <c r="A39" s="139" t="s">
        <v>63</v>
      </c>
      <c r="B39" s="13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3"/>
      <c r="O39" s="13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3"/>
      <c r="O40" s="134"/>
    </row>
    <row r="41" spans="1:15" x14ac:dyDescent="0.3">
      <c r="A41" s="136" t="s">
        <v>64</v>
      </c>
      <c r="B41" s="137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3"/>
      <c r="O41" s="134"/>
    </row>
    <row r="42" spans="1:15" x14ac:dyDescent="0.3">
      <c r="A42" s="138" t="str">
        <f>IF(Weighting_method="Peto","Peto Odds Ratio","Odds Ratio")</f>
        <v>Odds Ratio</v>
      </c>
      <c r="B42" s="138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3"/>
      <c r="O42" s="134"/>
    </row>
    <row r="43" spans="1:15" x14ac:dyDescent="0.3">
      <c r="A43" s="139" t="str">
        <f>IF(Weighting_method="Inverse variance","Risk Ratio","")</f>
        <v>Risk Ratio</v>
      </c>
      <c r="B43" s="13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3"/>
      <c r="O43" s="134"/>
    </row>
    <row r="44" spans="1:15" x14ac:dyDescent="0.3">
      <c r="A44" s="139" t="str">
        <f>IF(Weighting_method="Inverse variance","Risk Difference","")</f>
        <v>Risk Difference</v>
      </c>
      <c r="B44" s="13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3"/>
      <c r="O44" s="13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3"/>
      <c r="O45" s="134"/>
    </row>
    <row r="46" spans="1:15" x14ac:dyDescent="0.3">
      <c r="A46" s="136" t="s">
        <v>65</v>
      </c>
      <c r="B46" s="137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3"/>
      <c r="O46" s="134"/>
    </row>
    <row r="47" spans="1:15" x14ac:dyDescent="0.3">
      <c r="A47" s="138" t="str">
        <f>IF(Model_effect_size_measure&lt;&gt;"",Model_effect_size_measure,"")</f>
        <v>Odds Ratio</v>
      </c>
      <c r="B47" s="138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3"/>
      <c r="O47" s="134"/>
    </row>
    <row r="48" spans="1:15" x14ac:dyDescent="0.3">
      <c r="A48" s="139" t="str">
        <f>IF(OR(Model_effect_size_measure="Odds Ratio",Model_effect_size_measure="Peto Odds Ratio"),"Risk Ratio",IF(Model_effect_size_measure="Risk Ratio","Risk Difference",""))</f>
        <v>Risk Ratio</v>
      </c>
      <c r="B48" s="13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3"/>
      <c r="O48" s="134"/>
    </row>
    <row r="49" spans="1:15" x14ac:dyDescent="0.3">
      <c r="A49" s="139" t="str">
        <f>IF(OR(Model_effect_size_measure="Odds Ratio",Model_effect_size_measure="Peto Odds Ratio"),"Risk Difference","")</f>
        <v>Risk Difference</v>
      </c>
      <c r="B49" s="13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3"/>
      <c r="O49" s="13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3"/>
      <c r="O50" s="13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3"/>
      <c r="O51" s="13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3"/>
      <c r="O52" s="13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3"/>
      <c r="O53" s="13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3"/>
      <c r="O54" s="13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3"/>
      <c r="O55" s="13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3"/>
      <c r="O56" s="13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3"/>
      <c r="O57" s="13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3"/>
      <c r="O58" s="13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3"/>
      <c r="O59" s="13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3"/>
      <c r="O60" s="13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3"/>
      <c r="O61" s="13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3"/>
      <c r="O62" s="13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3"/>
      <c r="O63" s="13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3"/>
      <c r="O64" s="13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3"/>
      <c r="O65" s="13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3"/>
      <c r="O66" s="13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3"/>
      <c r="O67" s="13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3"/>
      <c r="O68" s="13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3"/>
      <c r="O69" s="13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3"/>
      <c r="O70" s="13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3"/>
      <c r="O71" s="13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3"/>
      <c r="O72" s="13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3"/>
      <c r="O73" s="13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3"/>
      <c r="O74" s="13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3"/>
      <c r="O75" s="13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3"/>
      <c r="O76" s="13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3"/>
      <c r="O77" s="13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3"/>
      <c r="O78" s="13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3"/>
      <c r="O79" s="13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3"/>
      <c r="O80" s="13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3"/>
      <c r="O81" s="13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3"/>
      <c r="O82" s="13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3"/>
      <c r="O83" s="13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3"/>
      <c r="O84" s="13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3"/>
      <c r="O85" s="13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3"/>
      <c r="O86" s="13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3"/>
      <c r="O87" s="13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3"/>
      <c r="O88" s="13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3"/>
      <c r="O89" s="13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3"/>
      <c r="O90" s="13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3"/>
      <c r="O91" s="13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3"/>
      <c r="O92" s="13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3"/>
      <c r="O93" s="13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3"/>
      <c r="O94" s="13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3"/>
      <c r="O95" s="13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3"/>
      <c r="O96" s="13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3"/>
      <c r="O97" s="13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3"/>
      <c r="O98" s="13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3"/>
      <c r="O99" s="13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3"/>
      <c r="O100" s="13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3"/>
      <c r="O101" s="13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3"/>
      <c r="O102" s="13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3"/>
      <c r="O103" s="13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3"/>
      <c r="O104" s="13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3"/>
      <c r="O105" s="13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3"/>
      <c r="O106" s="13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3"/>
      <c r="O107" s="13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3"/>
      <c r="O108" s="13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3"/>
      <c r="O109" s="13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3"/>
      <c r="O110" s="13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3"/>
      <c r="O111" s="13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3"/>
      <c r="O112" s="13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3"/>
      <c r="O113" s="13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3"/>
      <c r="O114" s="13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3"/>
      <c r="O115" s="13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3"/>
      <c r="O116" s="13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3"/>
      <c r="O117" s="13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3"/>
      <c r="O118" s="13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3"/>
      <c r="O119" s="13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3"/>
      <c r="O120" s="13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3"/>
      <c r="O121" s="13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3"/>
      <c r="O122" s="13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3"/>
      <c r="O123" s="13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3"/>
      <c r="O124" s="13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3"/>
      <c r="O125" s="13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3"/>
      <c r="O126" s="13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3"/>
      <c r="O127" s="13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3"/>
      <c r="O128" s="13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3"/>
      <c r="O129" s="13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3"/>
      <c r="O130" s="13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3"/>
      <c r="O131" s="13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3"/>
      <c r="O132" s="13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3"/>
      <c r="O133" s="13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3"/>
      <c r="O134" s="13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3"/>
      <c r="O135" s="13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3"/>
      <c r="O136" s="13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3"/>
      <c r="O137" s="13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3"/>
      <c r="O138" s="13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3"/>
      <c r="O139" s="13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3"/>
      <c r="O140" s="13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3"/>
      <c r="O141" s="13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3"/>
      <c r="O142" s="13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3"/>
      <c r="O143" s="13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3"/>
      <c r="O144" s="13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3"/>
      <c r="O145" s="13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3"/>
      <c r="O146" s="13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3"/>
      <c r="O147" s="13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3"/>
      <c r="O148" s="13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3"/>
      <c r="O149" s="13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3"/>
      <c r="O150" s="13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3"/>
      <c r="O151" s="13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3"/>
      <c r="O152" s="13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3"/>
      <c r="O153" s="13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3"/>
      <c r="O154" s="13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3"/>
      <c r="O155" s="13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3"/>
      <c r="O156" s="13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3"/>
      <c r="O157" s="13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3"/>
      <c r="O158" s="13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3"/>
      <c r="O159" s="13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3"/>
      <c r="O160" s="13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3"/>
      <c r="O161" s="13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3"/>
      <c r="O162" s="13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3"/>
      <c r="O163" s="13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3"/>
      <c r="O164" s="13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3"/>
      <c r="O165" s="13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3"/>
      <c r="O166" s="13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3"/>
      <c r="O167" s="13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3"/>
      <c r="O168" s="13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3"/>
      <c r="O169" s="13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3"/>
      <c r="O170" s="13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3"/>
      <c r="O171" s="13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3"/>
      <c r="O172" s="13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3"/>
      <c r="O173" s="13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3"/>
      <c r="O174" s="13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3"/>
      <c r="O175" s="13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3"/>
      <c r="O176" s="13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3"/>
      <c r="O177" s="13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3"/>
      <c r="O178" s="13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3"/>
      <c r="O179" s="13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3"/>
      <c r="O180" s="13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3"/>
      <c r="O181" s="13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3"/>
      <c r="O182" s="13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3"/>
      <c r="O183" s="13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3"/>
      <c r="O184" s="13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3"/>
      <c r="O185" s="13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3"/>
      <c r="O186" s="13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3"/>
      <c r="O187" s="13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3"/>
      <c r="O188" s="13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3"/>
      <c r="O189" s="13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3"/>
      <c r="O190" s="13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3"/>
      <c r="O191" s="13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3"/>
      <c r="O192" s="13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3"/>
      <c r="O193" s="13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3"/>
      <c r="O194" s="13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3"/>
      <c r="O195" s="13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3"/>
      <c r="O196" s="13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3"/>
      <c r="O197" s="13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3"/>
      <c r="O198" s="13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3"/>
      <c r="O199" s="13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3"/>
      <c r="O200" s="13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3"/>
      <c r="O201" s="135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R1" workbookViewId="0">
      <pane ySplit="1" topLeftCell="A8" activePane="bottomLeft" state="frozen"/>
      <selection pane="bottomLeft" activeCell="N1" sqref="G1:N15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36" t="s">
        <v>24</v>
      </c>
      <c r="B1" s="136"/>
      <c r="C1" s="136"/>
      <c r="D1" s="136"/>
      <c r="F1" s="1" t="s">
        <v>25</v>
      </c>
      <c r="G1" s="1" t="s">
        <v>66</v>
      </c>
      <c r="H1" s="1" t="str">
        <f>Subgroup_effect_size_measure</f>
        <v>Odds Ratio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50</v>
      </c>
      <c r="R1" s="1" t="s">
        <v>51</v>
      </c>
      <c r="S1" s="86"/>
      <c r="U1" s="85"/>
      <c r="W1" s="85"/>
      <c r="Y1" s="85"/>
      <c r="AA1" s="85"/>
    </row>
    <row r="2" spans="1:27" x14ac:dyDescent="0.3">
      <c r="A2" s="3" t="s">
        <v>71</v>
      </c>
      <c r="B2" s="142" t="s">
        <v>72</v>
      </c>
      <c r="C2" s="142"/>
      <c r="D2" s="142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(B)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0.76024349654024703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0.55002705594177925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1.0508031701133609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0.39468071320185211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0" t="s">
        <v>73</v>
      </c>
      <c r="U2" s="134" t="s">
        <v>74</v>
      </c>
      <c r="W2" s="134" t="s">
        <v>75</v>
      </c>
      <c r="Y2" s="134" t="s">
        <v>76</v>
      </c>
      <c r="AA2" s="134" t="s">
        <v>77</v>
      </c>
    </row>
    <row r="3" spans="1:27" x14ac:dyDescent="0.3">
      <c r="A3" s="3" t="s">
        <v>78</v>
      </c>
      <c r="B3" s="143" t="s">
        <v>41</v>
      </c>
      <c r="C3" s="143"/>
      <c r="D3" s="143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Zou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1.0321808343271746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0.73078665417653665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1.457877300664242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0.3467315579365764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0"/>
      <c r="U3" s="134"/>
      <c r="W3" s="134"/>
      <c r="Y3" s="134"/>
      <c r="AA3" s="134"/>
    </row>
    <row r="4" spans="1:27" ht="11.25" customHeight="1" x14ac:dyDescent="0.3">
      <c r="A4" s="3" t="s">
        <v>44</v>
      </c>
      <c r="B4" s="144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44"/>
      <c r="D4" s="144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Wang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0.80957489074294797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0.54275480560406808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1.2075646257834693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0.25858772886157166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40"/>
      <c r="U4" s="134"/>
      <c r="W4" s="134"/>
      <c r="Y4" s="134"/>
      <c r="AA4" s="13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Deep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0.85913278567741413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0.56805150458811637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1.2993701054643327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0.32178424384836735</v>
      </c>
      <c r="L5" s="4">
        <f>IF(COUNTIF(Calculations!DP:DP,Subgroup_number)=1,INDEX(Calculations!DP:EU,MATCH(Subgroup_number,Calculations!DP:DP,0),5),IF(Subgroup_number=Calculations!EY$25,Calculations!EY$17,""))</f>
        <v>1.7186379550435746</v>
      </c>
      <c r="M5" s="26">
        <f>IF(COUNTIF(Calculations!DP:DP,Subgroup_number)=1,INDEX(Calculations!DP:EU,MATCH(Subgroup_number,Calculations!DP:DP,0),6),IF(Subgroup_number=Calculations!EY$25,Calculations!EY$18,""))</f>
        <v>0.42345036335952735</v>
      </c>
      <c r="N5" s="8">
        <f>IF(COUNTIF(Calculations!DP:DP,Subgroup_number)=1,INDEX(Calculations!DP:EU,MATCH(Subgroup_number,Calculations!DP:DP,0),7),IF(Subgroup_number=Calculations!EY$25,Calculations!EY$19,""))</f>
        <v>0</v>
      </c>
      <c r="O5" s="4">
        <f>IF(COUNTIF(Calculations!DP:DP,Subgroup_number)=1,INDEX(Calculations!DP:EU,MATCH(Subgroup_number,Calculations!DP:DP,0),9),IF(Subgroup_number=Calculations!EY$25,Calculations!EY$20,""))</f>
        <v>0</v>
      </c>
      <c r="P5" s="4">
        <f>IF(COUNTIF(Calculations!DP:DP,Subgroup_number)=1,INDEX(Calculations!DP:EU,MATCH(Subgroup_number,Calculations!DP:DP,0),10),IF(Subgroup_number=Calculations!EY$25,Calculations!EY$21,""))</f>
        <v>0</v>
      </c>
      <c r="Q5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0.56805150458811637</v>
      </c>
      <c r="R5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1.2993701054643327</v>
      </c>
      <c r="S5" s="140"/>
      <c r="U5" s="134"/>
      <c r="W5" s="134"/>
      <c r="Y5" s="134"/>
      <c r="AA5" s="134"/>
    </row>
    <row r="6" spans="1:27" x14ac:dyDescent="0.3">
      <c r="A6" s="3" t="s">
        <v>79</v>
      </c>
      <c r="B6" s="143" t="s">
        <v>80</v>
      </c>
      <c r="C6" s="143"/>
      <c r="D6" s="143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Zou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0.74971007428821135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0.51457770008223069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1.0922844021406604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0.43136918313467415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40"/>
      <c r="U6" s="134"/>
      <c r="W6" s="134"/>
      <c r="Y6" s="134"/>
      <c r="AA6" s="134"/>
    </row>
    <row r="7" spans="1:27" x14ac:dyDescent="0.3">
      <c r="A7" s="3" t="s">
        <v>81</v>
      </c>
      <c r="B7" s="143" t="s">
        <v>82</v>
      </c>
      <c r="C7" s="143"/>
      <c r="D7" s="143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Law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0.82321869216533006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0.59315721678176314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1.1425116241647864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0.56863081686532579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0"/>
      <c r="U7" s="134"/>
      <c r="W7" s="134"/>
      <c r="Y7" s="134"/>
      <c r="AA7" s="134"/>
    </row>
    <row r="8" spans="1:27" x14ac:dyDescent="0.3">
      <c r="A8" s="3" t="s">
        <v>34</v>
      </c>
      <c r="B8" s="145">
        <v>0.95</v>
      </c>
      <c r="C8" s="145"/>
      <c r="D8" s="145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Hand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0.79066442276603632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0.43889434270594163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1.4243752279276904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0.46396024506165739</v>
      </c>
      <c r="L8" s="4">
        <f>IF(COUNTIF(Calculations!DP:DP,Subgroup_number)=1,INDEX(Calculations!DP:EU,MATCH(Subgroup_number,Calculations!DP:DP,0),5),IF(Subgroup_number=Calculations!EY$25,Calculations!EY$17,""))</f>
        <v>0.13497664160895306</v>
      </c>
      <c r="M8" s="26">
        <f>IF(COUNTIF(Calculations!DP:DP,Subgroup_number)=1,INDEX(Calculations!DP:EU,MATCH(Subgroup_number,Calculations!DP:DP,0),6),IF(Subgroup_number=Calculations!EY$25,Calculations!EY$18,""))</f>
        <v>0.71332688174927505</v>
      </c>
      <c r="N8" s="8">
        <f>IF(COUNTIF(Calculations!DP:DP,Subgroup_number)=1,INDEX(Calculations!DP:EU,MATCH(Subgroup_number,Calculations!DP:DP,0),7),IF(Subgroup_number=Calculations!EY$25,Calculations!EY$19,""))</f>
        <v>0</v>
      </c>
      <c r="O8" s="4">
        <f>IF(COUNTIF(Calculations!DP:DP,Subgroup_number)=1,INDEX(Calculations!DP:EU,MATCH(Subgroup_number,Calculations!DP:DP,0),9),IF(Subgroup_number=Calculations!EY$25,Calculations!EY$20,""))</f>
        <v>0</v>
      </c>
      <c r="P8" s="4">
        <f>IF(COUNTIF(Calculations!DP:DP,Subgroup_number)=1,INDEX(Calculations!DP:EU,MATCH(Subgroup_number,Calculations!DP:DP,0),10),IF(Subgroup_number=Calculations!EY$25,Calculations!EY$21,""))</f>
        <v>0</v>
      </c>
      <c r="Q8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0.43889434270594163</v>
      </c>
      <c r="R8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1.4243752279276904</v>
      </c>
      <c r="S8" s="140"/>
      <c r="U8" s="134"/>
      <c r="W8" s="134"/>
      <c r="Y8" s="134"/>
      <c r="AA8" s="13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(A)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0.51058930465081054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0.36603177493094186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0.71223717687619892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0.25865360653832725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40"/>
      <c r="U9" s="134"/>
      <c r="W9" s="134"/>
      <c r="Y9" s="134"/>
      <c r="AA9" s="134"/>
    </row>
    <row r="10" spans="1:27" x14ac:dyDescent="0.3">
      <c r="A10" s="136" t="s">
        <v>49</v>
      </c>
      <c r="B10" s="136"/>
      <c r="C10" s="136"/>
      <c r="D10" s="136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Liu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0.42815308087291398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0.30893059362407876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0.59338590752858356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0.26239780101579319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40"/>
      <c r="U10" s="134"/>
      <c r="W10" s="134"/>
      <c r="Y10" s="134"/>
      <c r="AA10" s="134"/>
    </row>
    <row r="11" spans="1:27" x14ac:dyDescent="0.3">
      <c r="A11" s="3" t="str">
        <f>Subgroup_effect_size_measure</f>
        <v>Odds Ratio</v>
      </c>
      <c r="B11" s="146">
        <f>Calculations!EY9</f>
        <v>0.75881765377339183</v>
      </c>
      <c r="C11" s="146"/>
      <c r="D11" s="146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Liu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0.84454409566517186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0.57804855064838467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1.2339010775528465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0.23323594406638193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0"/>
      <c r="U11" s="134"/>
      <c r="W11" s="134"/>
      <c r="Y11" s="134"/>
      <c r="AA11" s="134"/>
    </row>
    <row r="12" spans="1:27" x14ac:dyDescent="0.3">
      <c r="A12" s="3" t="s">
        <v>26</v>
      </c>
      <c r="B12" s="147">
        <f>Calculations!EY11</f>
        <v>0.59577707080657516</v>
      </c>
      <c r="C12" s="147"/>
      <c r="D12" s="147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Fan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0.6246112838738338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0.43753292163070195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0.89167977232080053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0.24571264837949772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40"/>
      <c r="U12" s="134"/>
      <c r="W12" s="134"/>
      <c r="Y12" s="134"/>
      <c r="AA12" s="134"/>
    </row>
    <row r="13" spans="1:27" x14ac:dyDescent="0.3">
      <c r="A13" s="3" t="s">
        <v>27</v>
      </c>
      <c r="B13" s="147">
        <f>Calculations!EY12</f>
        <v>0.96647598555382408</v>
      </c>
      <c r="C13" s="147"/>
      <c r="D13" s="147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Image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0.57608761893845239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0.36375646530473121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0.91236026393689207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0.21425551108997534</v>
      </c>
      <c r="L13" s="4">
        <f>IF(COUNTIF(Calculations!DP:DP,Subgroup_number)=1,INDEX(Calculations!DP:EU,MATCH(Subgroup_number,Calculations!DP:DP,0),5),IF(Subgroup_number=Calculations!EY$25,Calculations!EY$17,""))</f>
        <v>7.7571897139372581</v>
      </c>
      <c r="M13" s="26">
        <f>IF(COUNTIF(Calculations!DP:DP,Subgroup_number)=1,INDEX(Calculations!DP:EU,MATCH(Subgroup_number,Calculations!DP:DP,0),6),IF(Subgroup_number=Calculations!EY$25,Calculations!EY$18,""))</f>
        <v>5.1305670875493502E-2</v>
      </c>
      <c r="N13" s="8">
        <f>IF(COUNTIF(Calculations!DP:DP,Subgroup_number)=1,INDEX(Calculations!DP:EU,MATCH(Subgroup_number,Calculations!DP:DP,0),7),IF(Subgroup_number=Calculations!EY$25,Calculations!EY$19,""))</f>
        <v>0.61326200458782998</v>
      </c>
      <c r="O13" s="4">
        <f>IF(COUNTIF(Calculations!DP:DP,Subgroup_number)=1,INDEX(Calculations!DP:EU,MATCH(Subgroup_number,Calculations!DP:DP,0),9),IF(Subgroup_number=Calculations!EY$25,Calculations!EY$20,""))</f>
        <v>4.9831874169736744E-2</v>
      </c>
      <c r="P13" s="4">
        <f>IF(COUNTIF(Calculations!DP:DP,Subgroup_number)=1,INDEX(Calculations!DP:EU,MATCH(Subgroup_number,Calculations!DP:DP,0),10),IF(Subgroup_number=Calculations!EY$25,Calculations!EY$21,""))</f>
        <v>0.2232305404055116</v>
      </c>
      <c r="Q13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0.2471609008174564</v>
      </c>
      <c r="R13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1.342756656075174</v>
      </c>
      <c r="S13" s="140"/>
      <c r="U13" s="134"/>
      <c r="W13" s="134"/>
      <c r="Y13" s="134"/>
      <c r="AA13" s="134"/>
    </row>
    <row r="14" spans="1:27" x14ac:dyDescent="0.3">
      <c r="A14" s="3" t="s">
        <v>50</v>
      </c>
      <c r="B14" s="147">
        <f>Calculations!EY13</f>
        <v>0.52726074157629432</v>
      </c>
      <c r="C14" s="147"/>
      <c r="D14" s="147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0.75881765377339183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0.59577707080657516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0.96647598555382408</v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>
        <f>IF(COUNTIF(Calculations!DP:DP,Subgroup_number)=1,INDEX(Calculations!DP:EU,MATCH(Subgroup_number,Calculations!DP:DP,0),5),IF(Subgroup_number=Calculations!EY$25,Calculations!EY$17,""))</f>
        <v>20.198559181520956</v>
      </c>
      <c r="M14" s="26">
        <f>IF(COUNTIF(Calculations!DP:DP,Subgroup_number)=1,INDEX(Calculations!DP:EU,MATCH(Subgroup_number,Calculations!DP:DP,0),6),IF(Subgroup_number=Calculations!EY$25,Calculations!EY$18,""))</f>
        <v>9.6103800058974301E-3</v>
      </c>
      <c r="N14" s="8">
        <f>IF(COUNTIF(Calculations!DP:DP,Subgroup_number)=1,INDEX(Calculations!DP:EU,MATCH(Subgroup_number,Calculations!DP:DP,0),7),IF(Subgroup_number=Calculations!EY$25,Calculations!EY$19,""))</f>
        <v>0.60393214545129759</v>
      </c>
      <c r="O14" s="4">
        <f>IF(COUNTIF(Calculations!DP:DP,Subgroup_number)=1,INDEX(Calculations!DP:EU,MATCH(Subgroup_number,Calculations!DP:DP,0),9),IF(Subgroup_number=Calculations!EY$25,Calculations!EY$20,""))</f>
        <v>4.8492415226654886E-2</v>
      </c>
      <c r="P14" s="4">
        <f>IF(COUNTIF(Calculations!DP:DP,Subgroup_number)=1,INDEX(Calculations!DP:EU,MATCH(Subgroup_number,Calculations!DP:DP,0),10),IF(Subgroup_number=Calculations!EY$25,Calculations!EY$21,""))</f>
        <v>0.22020993444133008</v>
      </c>
      <c r="Q1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0.52726074157629432</v>
      </c>
      <c r="R1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1.0920673326763068</v>
      </c>
      <c r="S14" s="140"/>
      <c r="U14" s="134"/>
      <c r="W14" s="134"/>
      <c r="Y14" s="134"/>
      <c r="AA14" s="134"/>
    </row>
    <row r="15" spans="1:27" x14ac:dyDescent="0.3">
      <c r="A15" s="3" t="s">
        <v>51</v>
      </c>
      <c r="B15" s="147">
        <f>Calculations!EY14</f>
        <v>1.0920673326763068</v>
      </c>
      <c r="C15" s="147"/>
      <c r="D15" s="147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40"/>
      <c r="U15" s="134"/>
      <c r="W15" s="134"/>
      <c r="Y15" s="134"/>
      <c r="AA15" s="13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40"/>
      <c r="U16" s="134"/>
      <c r="W16" s="134"/>
      <c r="Y16" s="134"/>
      <c r="AA16" s="134"/>
    </row>
    <row r="17" spans="1:27" x14ac:dyDescent="0.3">
      <c r="A17" s="3" t="s">
        <v>55</v>
      </c>
      <c r="B17" s="148">
        <f>SUMIF(Sufficient_data,"Yes",Number_of_subjects)</f>
        <v>58273</v>
      </c>
      <c r="C17" s="148"/>
      <c r="D17" s="148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40"/>
      <c r="U17" s="134"/>
      <c r="W17" s="134"/>
      <c r="Y17" s="134"/>
      <c r="AA17" s="134"/>
    </row>
    <row r="18" spans="1:27" x14ac:dyDescent="0.3">
      <c r="A18" s="3" t="s">
        <v>56</v>
      </c>
      <c r="B18" s="148">
        <f>COUNT(Subgroup_weightf)</f>
        <v>9</v>
      </c>
      <c r="C18" s="148"/>
      <c r="D18" s="148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0"/>
      <c r="U18" s="134"/>
      <c r="W18" s="134"/>
      <c r="Y18" s="134"/>
      <c r="AA18" s="134"/>
    </row>
    <row r="19" spans="1:27" x14ac:dyDescent="0.3">
      <c r="A19" s="3" t="s">
        <v>83</v>
      </c>
      <c r="B19" s="148">
        <f>COUNT(Calculations!DZ:DZ)</f>
        <v>3</v>
      </c>
      <c r="C19" s="148"/>
      <c r="D19" s="148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0"/>
      <c r="U19" s="134"/>
      <c r="W19" s="134"/>
      <c r="Y19" s="134"/>
      <c r="AA19" s="13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0"/>
      <c r="U20" s="134"/>
      <c r="W20" s="134"/>
      <c r="Y20" s="134"/>
      <c r="AA20" s="134"/>
    </row>
    <row r="21" spans="1:27" x14ac:dyDescent="0.3">
      <c r="A21" s="1" t="s">
        <v>84</v>
      </c>
      <c r="B21" s="1" t="str">
        <f>IF(Within_subgroup_weighting=Calculations!EX42,"Sum of squares (Q)","Sum of squares (Q*)")</f>
        <v>Sum of squares (Q*)</v>
      </c>
      <c r="C21" s="1" t="s">
        <v>85</v>
      </c>
      <c r="D21" s="1" t="s">
        <v>86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0"/>
      <c r="U21" s="134"/>
      <c r="W21" s="134"/>
      <c r="Y21" s="134"/>
      <c r="AA21" s="134"/>
    </row>
    <row r="22" spans="1:27" x14ac:dyDescent="0.3">
      <c r="A22" s="3" t="s">
        <v>87</v>
      </c>
      <c r="B22" s="4">
        <f>B24-B23</f>
        <v>5.2681515463740753</v>
      </c>
      <c r="C22" s="7">
        <f>Number_of_subgroups-1</f>
        <v>2</v>
      </c>
      <c r="D22" s="26">
        <f>CHIDIST(B22,C22)</f>
        <v>7.1785284643554853E-2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0"/>
      <c r="U22" s="134"/>
      <c r="W22" s="134"/>
      <c r="Y22" s="134"/>
      <c r="AA22" s="134"/>
    </row>
    <row r="23" spans="1:27" x14ac:dyDescent="0.3">
      <c r="A23" s="3" t="s">
        <v>88</v>
      </c>
      <c r="B23" s="4">
        <f>SUM(Calculations!EP:EP)</f>
        <v>4.9312989559985114</v>
      </c>
      <c r="C23" s="7">
        <f>Subgroup_k-Number_of_subgroups</f>
        <v>6</v>
      </c>
      <c r="D23" s="26">
        <f>CHIDIST(B23,C23)</f>
        <v>0.55265433735485181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0"/>
      <c r="U23" s="134"/>
      <c r="W23" s="134"/>
      <c r="Y23" s="134"/>
      <c r="AA23" s="134"/>
    </row>
    <row r="24" spans="1:27" x14ac:dyDescent="0.3">
      <c r="A24" s="3" t="s">
        <v>16</v>
      </c>
      <c r="B24" s="4">
        <f>SUMPRODUCT(Calculations!DE:DE,Subgroup_effect_size,Subgroup_effect_size)-SUMPRODUCT(Calculations!DE:DE,Subgroup_effect_size)^2/SUM(Calculations!DE:DE)</f>
        <v>10.199450502372587</v>
      </c>
      <c r="C24" s="7">
        <f>Subgroup_k-1</f>
        <v>8</v>
      </c>
      <c r="D24" s="26">
        <f t="shared" ref="D24" si="0">CHIDIST(B24,C24)</f>
        <v>0.25130530004374735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0"/>
      <c r="U24" s="134"/>
      <c r="W24" s="134"/>
      <c r="Y24" s="134"/>
      <c r="AA24" s="13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0"/>
      <c r="U25" s="134"/>
      <c r="W25" s="134"/>
      <c r="Y25" s="134"/>
      <c r="AA25" s="134"/>
    </row>
    <row r="26" spans="1:27" ht="13.5" x14ac:dyDescent="0.3">
      <c r="A26" s="3" t="s">
        <v>89</v>
      </c>
      <c r="B26" s="8">
        <f>B22/B24</f>
        <v>0.51651327148934179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0"/>
      <c r="U26" s="134"/>
      <c r="W26" s="134"/>
      <c r="Y26" s="134"/>
      <c r="AA26" s="13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0"/>
      <c r="U27" s="134"/>
      <c r="W27" s="134"/>
      <c r="Y27" s="134"/>
      <c r="AA27" s="134"/>
    </row>
    <row r="28" spans="1:27" x14ac:dyDescent="0.3">
      <c r="A28" s="136" t="s">
        <v>61</v>
      </c>
      <c r="B28" s="136"/>
      <c r="C28" s="136"/>
      <c r="D28" s="136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0"/>
      <c r="U28" s="134"/>
      <c r="W28" s="134"/>
      <c r="Y28" s="134"/>
      <c r="AA28" s="134"/>
    </row>
    <row r="29" spans="1:27" x14ac:dyDescent="0.3">
      <c r="A29" s="138" t="s">
        <v>72</v>
      </c>
      <c r="B29" s="138"/>
      <c r="C29" s="138"/>
      <c r="D29" s="138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0"/>
      <c r="U29" s="134"/>
      <c r="W29" s="134"/>
      <c r="Y29" s="134"/>
      <c r="AA29" s="134"/>
    </row>
    <row r="30" spans="1:27" x14ac:dyDescent="0.3">
      <c r="A30" s="139" t="s">
        <v>62</v>
      </c>
      <c r="B30" s="139"/>
      <c r="C30" s="139"/>
      <c r="D30" s="139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0"/>
      <c r="U30" s="134"/>
      <c r="W30" s="134"/>
      <c r="Y30" s="134"/>
      <c r="AA30" s="134"/>
    </row>
    <row r="31" spans="1:27" x14ac:dyDescent="0.3">
      <c r="A31" s="139" t="s">
        <v>63</v>
      </c>
      <c r="B31" s="139"/>
      <c r="C31" s="139"/>
      <c r="D31" s="139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0"/>
      <c r="U31" s="134"/>
      <c r="W31" s="134"/>
      <c r="Y31" s="134"/>
      <c r="AA31" s="13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0"/>
      <c r="U32" s="134"/>
      <c r="W32" s="134"/>
      <c r="Y32" s="134"/>
      <c r="AA32" s="134"/>
    </row>
    <row r="33" spans="1:27" x14ac:dyDescent="0.3">
      <c r="A33" s="136" t="s">
        <v>90</v>
      </c>
      <c r="B33" s="136"/>
      <c r="C33" s="136"/>
      <c r="D33" s="136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0"/>
      <c r="U33" s="134"/>
      <c r="W33" s="134"/>
      <c r="Y33" s="134"/>
      <c r="AA33" s="134"/>
    </row>
    <row r="34" spans="1:27" x14ac:dyDescent="0.3">
      <c r="A34" s="138" t="str">
        <f>IF(Subgroup_weighting_method="Peto","Peto Odds Ratio","Odds Ratio")</f>
        <v>Odds Ratio</v>
      </c>
      <c r="B34" s="138"/>
      <c r="C34" s="138"/>
      <c r="D34" s="138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0"/>
      <c r="U34" s="134"/>
      <c r="W34" s="134"/>
      <c r="Y34" s="134"/>
      <c r="AA34" s="134"/>
    </row>
    <row r="35" spans="1:27" x14ac:dyDescent="0.3">
      <c r="A35" s="139" t="str">
        <f>IF(Subgroup_weighting_method="Inverse variance","Risk Ratio","")</f>
        <v>Risk Ratio</v>
      </c>
      <c r="B35" s="139"/>
      <c r="C35" s="139"/>
      <c r="D35" s="139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0"/>
      <c r="U35" s="134"/>
      <c r="W35" s="134"/>
      <c r="Y35" s="134"/>
      <c r="AA35" s="134"/>
    </row>
    <row r="36" spans="1:27" x14ac:dyDescent="0.3">
      <c r="A36" s="139" t="str">
        <f>IF(Subgroup_weighting_method="Inverse Variance","Risk Difference","")</f>
        <v>Risk Difference</v>
      </c>
      <c r="B36" s="139"/>
      <c r="C36" s="139"/>
      <c r="D36" s="139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0"/>
      <c r="U36" s="134"/>
      <c r="W36" s="134"/>
      <c r="Y36" s="134"/>
      <c r="AA36" s="13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0"/>
      <c r="U37" s="134"/>
      <c r="W37" s="134"/>
      <c r="Y37" s="134"/>
      <c r="AA37" s="13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0"/>
      <c r="U38" s="134"/>
      <c r="W38" s="134"/>
      <c r="Y38" s="134"/>
      <c r="AA38" s="13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0"/>
      <c r="U39" s="134"/>
      <c r="W39" s="134"/>
      <c r="Y39" s="134"/>
      <c r="AA39" s="13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0"/>
      <c r="U40" s="134"/>
      <c r="W40" s="134"/>
      <c r="Y40" s="134"/>
      <c r="AA40" s="13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0"/>
      <c r="U41" s="134"/>
      <c r="W41" s="134"/>
      <c r="Y41" s="134"/>
      <c r="AA41" s="13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0"/>
      <c r="U42" s="134"/>
      <c r="W42" s="134"/>
      <c r="Y42" s="134"/>
      <c r="AA42" s="13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0"/>
      <c r="U43" s="134"/>
      <c r="W43" s="134"/>
      <c r="Y43" s="134"/>
      <c r="AA43" s="13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0"/>
      <c r="U44" s="134"/>
      <c r="W44" s="134"/>
      <c r="Y44" s="134"/>
      <c r="AA44" s="13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0"/>
      <c r="U45" s="134"/>
      <c r="W45" s="134"/>
      <c r="Y45" s="134"/>
      <c r="AA45" s="13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0"/>
      <c r="U46" s="134"/>
      <c r="W46" s="134"/>
      <c r="Y46" s="134"/>
      <c r="AA46" s="13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0"/>
      <c r="U47" s="134"/>
      <c r="W47" s="134"/>
      <c r="Y47" s="134"/>
      <c r="AA47" s="13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0"/>
      <c r="U48" s="134"/>
      <c r="W48" s="134"/>
      <c r="Y48" s="134"/>
      <c r="AA48" s="13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0"/>
      <c r="U49" s="134"/>
      <c r="W49" s="134"/>
      <c r="Y49" s="134"/>
      <c r="AA49" s="13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0"/>
      <c r="U50" s="134"/>
      <c r="W50" s="134"/>
      <c r="Y50" s="134"/>
      <c r="AA50" s="13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0"/>
      <c r="U51" s="134"/>
      <c r="W51" s="134"/>
      <c r="Y51" s="134"/>
      <c r="AA51" s="13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0"/>
      <c r="U52" s="134"/>
      <c r="W52" s="134"/>
      <c r="Y52" s="134"/>
      <c r="AA52" s="13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0"/>
      <c r="U53" s="134"/>
      <c r="W53" s="134"/>
      <c r="Y53" s="134"/>
      <c r="AA53" s="13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0"/>
      <c r="U54" s="134"/>
      <c r="W54" s="134"/>
      <c r="Y54" s="134"/>
      <c r="AA54" s="13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0"/>
      <c r="U55" s="134"/>
      <c r="W55" s="134"/>
      <c r="Y55" s="134"/>
      <c r="AA55" s="13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0"/>
      <c r="U56" s="134"/>
      <c r="W56" s="134"/>
      <c r="Y56" s="134"/>
      <c r="AA56" s="13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0"/>
      <c r="U57" s="134"/>
      <c r="W57" s="134"/>
      <c r="Y57" s="134"/>
      <c r="AA57" s="13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0"/>
      <c r="U58" s="134"/>
      <c r="W58" s="134"/>
      <c r="Y58" s="134"/>
      <c r="AA58" s="13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0"/>
      <c r="U59" s="134"/>
      <c r="W59" s="134"/>
      <c r="Y59" s="134"/>
      <c r="AA59" s="13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0"/>
      <c r="U60" s="134"/>
      <c r="W60" s="134"/>
      <c r="Y60" s="134"/>
      <c r="AA60" s="13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0"/>
      <c r="U61" s="134"/>
      <c r="W61" s="134"/>
      <c r="Y61" s="134"/>
      <c r="AA61" s="13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0"/>
      <c r="U62" s="134"/>
      <c r="W62" s="134"/>
      <c r="Y62" s="134"/>
      <c r="AA62" s="13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0"/>
      <c r="U63" s="134"/>
      <c r="W63" s="134"/>
      <c r="Y63" s="134"/>
      <c r="AA63" s="13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0"/>
      <c r="U64" s="134"/>
      <c r="W64" s="134"/>
      <c r="Y64" s="134"/>
      <c r="AA64" s="13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0"/>
      <c r="U65" s="134"/>
      <c r="W65" s="134"/>
      <c r="Y65" s="134"/>
      <c r="AA65" s="13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0"/>
      <c r="U66" s="134"/>
      <c r="W66" s="134"/>
      <c r="Y66" s="134"/>
      <c r="AA66" s="13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0"/>
      <c r="U67" s="134"/>
      <c r="W67" s="134"/>
      <c r="Y67" s="134"/>
      <c r="AA67" s="13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0"/>
      <c r="U68" s="134"/>
      <c r="W68" s="134"/>
      <c r="Y68" s="134"/>
      <c r="AA68" s="13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0"/>
      <c r="U69" s="134"/>
      <c r="W69" s="134"/>
      <c r="Y69" s="134"/>
      <c r="AA69" s="13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0"/>
      <c r="U70" s="134"/>
      <c r="W70" s="134"/>
      <c r="Y70" s="134"/>
      <c r="AA70" s="13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0"/>
      <c r="U71" s="134"/>
      <c r="W71" s="134"/>
      <c r="Y71" s="134"/>
      <c r="AA71" s="13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0"/>
      <c r="U72" s="134"/>
      <c r="W72" s="134"/>
      <c r="Y72" s="134"/>
      <c r="AA72" s="13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0"/>
      <c r="U73" s="134"/>
      <c r="W73" s="134"/>
      <c r="Y73" s="134"/>
      <c r="AA73" s="13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0"/>
      <c r="U74" s="134"/>
      <c r="W74" s="134"/>
      <c r="Y74" s="134"/>
      <c r="AA74" s="13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0"/>
      <c r="U75" s="134"/>
      <c r="W75" s="134"/>
      <c r="Y75" s="134"/>
      <c r="AA75" s="13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0"/>
      <c r="U76" s="134"/>
      <c r="W76" s="134"/>
      <c r="Y76" s="134"/>
      <c r="AA76" s="13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0"/>
      <c r="U77" s="134"/>
      <c r="W77" s="134"/>
      <c r="Y77" s="134"/>
      <c r="AA77" s="13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0"/>
      <c r="U78" s="134"/>
      <c r="W78" s="134"/>
      <c r="Y78" s="134"/>
      <c r="AA78" s="13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0"/>
      <c r="U79" s="134"/>
      <c r="W79" s="134"/>
      <c r="Y79" s="134"/>
      <c r="AA79" s="13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0"/>
      <c r="U80" s="134"/>
      <c r="W80" s="134"/>
      <c r="Y80" s="134"/>
      <c r="AA80" s="13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0"/>
      <c r="U81" s="134"/>
      <c r="W81" s="134"/>
      <c r="Y81" s="134"/>
      <c r="AA81" s="13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0"/>
      <c r="U82" s="134"/>
      <c r="W82" s="134"/>
      <c r="Y82" s="134"/>
      <c r="AA82" s="13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0"/>
      <c r="U83" s="134"/>
      <c r="W83" s="134"/>
      <c r="Y83" s="134"/>
      <c r="AA83" s="13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0"/>
      <c r="U84" s="134"/>
      <c r="W84" s="134"/>
      <c r="Y84" s="134"/>
      <c r="AA84" s="13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0"/>
      <c r="U85" s="134"/>
      <c r="W85" s="134"/>
      <c r="Y85" s="134"/>
      <c r="AA85" s="13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0"/>
      <c r="U86" s="134"/>
      <c r="W86" s="134"/>
      <c r="Y86" s="134"/>
      <c r="AA86" s="13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0"/>
      <c r="U87" s="134"/>
      <c r="W87" s="134"/>
      <c r="Y87" s="134"/>
      <c r="AA87" s="13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0"/>
      <c r="U88" s="134"/>
      <c r="W88" s="134"/>
      <c r="Y88" s="134"/>
      <c r="AA88" s="13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0"/>
      <c r="U89" s="134"/>
      <c r="W89" s="134"/>
      <c r="Y89" s="134"/>
      <c r="AA89" s="13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0"/>
      <c r="U90" s="134"/>
      <c r="W90" s="134"/>
      <c r="Y90" s="134"/>
      <c r="AA90" s="13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0"/>
      <c r="U91" s="134"/>
      <c r="W91" s="134"/>
      <c r="Y91" s="134"/>
      <c r="AA91" s="13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0"/>
      <c r="U92" s="134"/>
      <c r="W92" s="134"/>
      <c r="Y92" s="134"/>
      <c r="AA92" s="13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0"/>
      <c r="U93" s="134"/>
      <c r="W93" s="134"/>
      <c r="Y93" s="134"/>
      <c r="AA93" s="13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0"/>
      <c r="U94" s="134"/>
      <c r="W94" s="134"/>
      <c r="Y94" s="134"/>
      <c r="AA94" s="13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0"/>
      <c r="U95" s="134"/>
      <c r="W95" s="134"/>
      <c r="Y95" s="134"/>
      <c r="AA95" s="13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0"/>
      <c r="U96" s="134"/>
      <c r="W96" s="134"/>
      <c r="Y96" s="134"/>
      <c r="AA96" s="13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0"/>
      <c r="U97" s="134"/>
      <c r="W97" s="134"/>
      <c r="Y97" s="134"/>
      <c r="AA97" s="13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0"/>
      <c r="U98" s="134"/>
      <c r="W98" s="134"/>
      <c r="Y98" s="134"/>
      <c r="AA98" s="13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0"/>
      <c r="U99" s="134"/>
      <c r="W99" s="134"/>
      <c r="Y99" s="134"/>
      <c r="AA99" s="13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0"/>
      <c r="U100" s="134"/>
      <c r="W100" s="134"/>
      <c r="Y100" s="134"/>
      <c r="AA100" s="13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0"/>
      <c r="U101" s="134"/>
      <c r="W101" s="134"/>
      <c r="Y101" s="134"/>
      <c r="AA101" s="13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0"/>
      <c r="U102" s="134"/>
      <c r="W102" s="134"/>
      <c r="Y102" s="134"/>
      <c r="AA102" s="13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0"/>
      <c r="U103" s="134"/>
      <c r="W103" s="134"/>
      <c r="Y103" s="134"/>
      <c r="AA103" s="13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0"/>
      <c r="U104" s="134"/>
      <c r="W104" s="134"/>
      <c r="Y104" s="134"/>
      <c r="AA104" s="13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0"/>
      <c r="U105" s="134"/>
      <c r="W105" s="134"/>
      <c r="Y105" s="134"/>
      <c r="AA105" s="13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0"/>
      <c r="U106" s="134"/>
      <c r="W106" s="134"/>
      <c r="Y106" s="134"/>
      <c r="AA106" s="13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0"/>
      <c r="U107" s="134"/>
      <c r="W107" s="134"/>
      <c r="Y107" s="134"/>
      <c r="AA107" s="13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0"/>
      <c r="U108" s="134"/>
      <c r="W108" s="134"/>
      <c r="Y108" s="134"/>
      <c r="AA108" s="13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0"/>
      <c r="U109" s="134"/>
      <c r="W109" s="134"/>
      <c r="Y109" s="134"/>
      <c r="AA109" s="13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0"/>
      <c r="U110" s="134"/>
      <c r="W110" s="134"/>
      <c r="Y110" s="134"/>
      <c r="AA110" s="13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0"/>
      <c r="U111" s="134"/>
      <c r="W111" s="134"/>
      <c r="Y111" s="134"/>
      <c r="AA111" s="13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0"/>
      <c r="U112" s="134"/>
      <c r="W112" s="134"/>
      <c r="Y112" s="134"/>
      <c r="AA112" s="13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0"/>
      <c r="U113" s="134"/>
      <c r="W113" s="134"/>
      <c r="Y113" s="134"/>
      <c r="AA113" s="13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0"/>
      <c r="U114" s="134"/>
      <c r="W114" s="134"/>
      <c r="Y114" s="134"/>
      <c r="AA114" s="13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0"/>
      <c r="U115" s="134"/>
      <c r="W115" s="134"/>
      <c r="Y115" s="134"/>
      <c r="AA115" s="13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0"/>
      <c r="U116" s="134"/>
      <c r="W116" s="134"/>
      <c r="Y116" s="134"/>
      <c r="AA116" s="13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0"/>
      <c r="U117" s="134"/>
      <c r="W117" s="134"/>
      <c r="Y117" s="134"/>
      <c r="AA117" s="13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0"/>
      <c r="U118" s="134"/>
      <c r="W118" s="134"/>
      <c r="Y118" s="134"/>
      <c r="AA118" s="13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0"/>
      <c r="U119" s="134"/>
      <c r="W119" s="134"/>
      <c r="Y119" s="134"/>
      <c r="AA119" s="13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0"/>
      <c r="U120" s="134"/>
      <c r="W120" s="134"/>
      <c r="Y120" s="134"/>
      <c r="AA120" s="13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0"/>
      <c r="U121" s="134"/>
      <c r="W121" s="134"/>
      <c r="Y121" s="134"/>
      <c r="AA121" s="13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0"/>
      <c r="U122" s="134"/>
      <c r="W122" s="134"/>
      <c r="Y122" s="134"/>
      <c r="AA122" s="13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0"/>
      <c r="U123" s="134"/>
      <c r="W123" s="134"/>
      <c r="Y123" s="134"/>
      <c r="AA123" s="13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0"/>
      <c r="U124" s="134"/>
      <c r="W124" s="134"/>
      <c r="Y124" s="134"/>
      <c r="AA124" s="13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0"/>
      <c r="U125" s="134"/>
      <c r="W125" s="134"/>
      <c r="Y125" s="134"/>
      <c r="AA125" s="13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0"/>
      <c r="U126" s="134"/>
      <c r="W126" s="134"/>
      <c r="Y126" s="134"/>
      <c r="AA126" s="13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0"/>
      <c r="U127" s="134"/>
      <c r="W127" s="134"/>
      <c r="Y127" s="134"/>
      <c r="AA127" s="13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0"/>
      <c r="U128" s="134"/>
      <c r="W128" s="134"/>
      <c r="Y128" s="134"/>
      <c r="AA128" s="13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0"/>
      <c r="U129" s="134"/>
      <c r="W129" s="134"/>
      <c r="Y129" s="134"/>
      <c r="AA129" s="13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0"/>
      <c r="U130" s="134"/>
      <c r="W130" s="134"/>
      <c r="Y130" s="134"/>
      <c r="AA130" s="13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0"/>
      <c r="U131" s="134"/>
      <c r="W131" s="134"/>
      <c r="Y131" s="134"/>
      <c r="AA131" s="13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0"/>
      <c r="U132" s="134"/>
      <c r="W132" s="134"/>
      <c r="Y132" s="134"/>
      <c r="AA132" s="13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0"/>
      <c r="U133" s="134"/>
      <c r="W133" s="134"/>
      <c r="Y133" s="134"/>
      <c r="AA133" s="13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0"/>
      <c r="U134" s="134"/>
      <c r="W134" s="134"/>
      <c r="Y134" s="134"/>
      <c r="AA134" s="13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0"/>
      <c r="U135" s="134"/>
      <c r="W135" s="134"/>
      <c r="Y135" s="134"/>
      <c r="AA135" s="13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0"/>
      <c r="U136" s="134"/>
      <c r="W136" s="134"/>
      <c r="Y136" s="134"/>
      <c r="AA136" s="13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0"/>
      <c r="U137" s="134"/>
      <c r="W137" s="134"/>
      <c r="Y137" s="134"/>
      <c r="AA137" s="13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0"/>
      <c r="U138" s="134"/>
      <c r="W138" s="134"/>
      <c r="Y138" s="134"/>
      <c r="AA138" s="13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0"/>
      <c r="U139" s="134"/>
      <c r="W139" s="134"/>
      <c r="Y139" s="134"/>
      <c r="AA139" s="13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0"/>
      <c r="U140" s="134"/>
      <c r="W140" s="134"/>
      <c r="Y140" s="134"/>
      <c r="AA140" s="13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0"/>
      <c r="U141" s="134"/>
      <c r="W141" s="134"/>
      <c r="Y141" s="134"/>
      <c r="AA141" s="13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0"/>
      <c r="U142" s="134"/>
      <c r="W142" s="134"/>
      <c r="Y142" s="134"/>
      <c r="AA142" s="13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0"/>
      <c r="U143" s="134"/>
      <c r="W143" s="134"/>
      <c r="Y143" s="134"/>
      <c r="AA143" s="13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0"/>
      <c r="U144" s="134"/>
      <c r="W144" s="134"/>
      <c r="Y144" s="134"/>
      <c r="AA144" s="13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0"/>
      <c r="U145" s="134"/>
      <c r="W145" s="134"/>
      <c r="Y145" s="134"/>
      <c r="AA145" s="13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0"/>
      <c r="U146" s="134"/>
      <c r="W146" s="134"/>
      <c r="Y146" s="134"/>
      <c r="AA146" s="13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0"/>
      <c r="U147" s="134"/>
      <c r="W147" s="134"/>
      <c r="Y147" s="134"/>
      <c r="AA147" s="13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0"/>
      <c r="U148" s="134"/>
      <c r="W148" s="134"/>
      <c r="Y148" s="134"/>
      <c r="AA148" s="13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0"/>
      <c r="U149" s="134"/>
      <c r="W149" s="134"/>
      <c r="Y149" s="134"/>
      <c r="AA149" s="13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0"/>
      <c r="U150" s="134"/>
      <c r="W150" s="134"/>
      <c r="Y150" s="134"/>
      <c r="AA150" s="13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0"/>
      <c r="U151" s="134"/>
      <c r="W151" s="134"/>
      <c r="Y151" s="134"/>
      <c r="AA151" s="13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0"/>
      <c r="U152" s="134"/>
      <c r="W152" s="134"/>
      <c r="Y152" s="134"/>
      <c r="AA152" s="13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0"/>
      <c r="U153" s="134"/>
      <c r="W153" s="134"/>
      <c r="Y153" s="134"/>
      <c r="AA153" s="13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0"/>
      <c r="U154" s="134"/>
      <c r="W154" s="134"/>
      <c r="Y154" s="134"/>
      <c r="AA154" s="13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0"/>
      <c r="U155" s="134"/>
      <c r="W155" s="134"/>
      <c r="Y155" s="134"/>
      <c r="AA155" s="13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0"/>
      <c r="U156" s="134"/>
      <c r="W156" s="134"/>
      <c r="Y156" s="134"/>
      <c r="AA156" s="13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0"/>
      <c r="U157" s="134"/>
      <c r="W157" s="134"/>
      <c r="Y157" s="134"/>
      <c r="AA157" s="13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0"/>
      <c r="U158" s="134"/>
      <c r="W158" s="134"/>
      <c r="Y158" s="134"/>
      <c r="AA158" s="13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0"/>
      <c r="U159" s="134"/>
      <c r="W159" s="134"/>
      <c r="Y159" s="134"/>
      <c r="AA159" s="13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0"/>
      <c r="U160" s="134"/>
      <c r="W160" s="134"/>
      <c r="Y160" s="134"/>
      <c r="AA160" s="13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0"/>
      <c r="U161" s="134"/>
      <c r="W161" s="134"/>
      <c r="Y161" s="134"/>
      <c r="AA161" s="13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0"/>
      <c r="U162" s="134"/>
      <c r="W162" s="134"/>
      <c r="Y162" s="134"/>
      <c r="AA162" s="13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0"/>
      <c r="U163" s="134"/>
      <c r="W163" s="134"/>
      <c r="Y163" s="134"/>
      <c r="AA163" s="13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0"/>
      <c r="U164" s="134"/>
      <c r="W164" s="134"/>
      <c r="Y164" s="134"/>
      <c r="AA164" s="13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0"/>
      <c r="U165" s="134"/>
      <c r="W165" s="134"/>
      <c r="Y165" s="134"/>
      <c r="AA165" s="13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0"/>
      <c r="U166" s="134"/>
      <c r="W166" s="134"/>
      <c r="Y166" s="134"/>
      <c r="AA166" s="13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0"/>
      <c r="U167" s="134"/>
      <c r="W167" s="134"/>
      <c r="Y167" s="134"/>
      <c r="AA167" s="13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0"/>
      <c r="U168" s="134"/>
      <c r="W168" s="134"/>
      <c r="Y168" s="134"/>
      <c r="AA168" s="13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0"/>
      <c r="U169" s="134"/>
      <c r="W169" s="134"/>
      <c r="Y169" s="134"/>
      <c r="AA169" s="13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0"/>
      <c r="U170" s="134"/>
      <c r="W170" s="134"/>
      <c r="Y170" s="134"/>
      <c r="AA170" s="13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0"/>
      <c r="U171" s="134"/>
      <c r="W171" s="134"/>
      <c r="Y171" s="134"/>
      <c r="AA171" s="13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0"/>
      <c r="U172" s="134"/>
      <c r="W172" s="134"/>
      <c r="Y172" s="134"/>
      <c r="AA172" s="13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0"/>
      <c r="U173" s="134"/>
      <c r="W173" s="134"/>
      <c r="Y173" s="134"/>
      <c r="AA173" s="13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0"/>
      <c r="U174" s="134"/>
      <c r="W174" s="134"/>
      <c r="Y174" s="134"/>
      <c r="AA174" s="13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0"/>
      <c r="U175" s="134"/>
      <c r="W175" s="134"/>
      <c r="Y175" s="134"/>
      <c r="AA175" s="13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0"/>
      <c r="U176" s="134"/>
      <c r="W176" s="134"/>
      <c r="Y176" s="134"/>
      <c r="AA176" s="13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0"/>
      <c r="U177" s="134"/>
      <c r="W177" s="134"/>
      <c r="Y177" s="134"/>
      <c r="AA177" s="13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0"/>
      <c r="U178" s="134"/>
      <c r="W178" s="134"/>
      <c r="Y178" s="134"/>
      <c r="AA178" s="13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0"/>
      <c r="U179" s="134"/>
      <c r="W179" s="134"/>
      <c r="Y179" s="134"/>
      <c r="AA179" s="13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0"/>
      <c r="U180" s="134"/>
      <c r="W180" s="134"/>
      <c r="Y180" s="134"/>
      <c r="AA180" s="13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0"/>
      <c r="U181" s="134"/>
      <c r="W181" s="134"/>
      <c r="Y181" s="134"/>
      <c r="AA181" s="13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0"/>
      <c r="U182" s="134"/>
      <c r="W182" s="134"/>
      <c r="Y182" s="134"/>
      <c r="AA182" s="13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0"/>
      <c r="U183" s="134"/>
      <c r="W183" s="134"/>
      <c r="Y183" s="134"/>
      <c r="AA183" s="13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0"/>
      <c r="U184" s="134"/>
      <c r="W184" s="134"/>
      <c r="Y184" s="134"/>
      <c r="AA184" s="13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0"/>
      <c r="U185" s="134"/>
      <c r="W185" s="134"/>
      <c r="Y185" s="134"/>
      <c r="AA185" s="13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0"/>
      <c r="U186" s="134"/>
      <c r="W186" s="134"/>
      <c r="Y186" s="134"/>
      <c r="AA186" s="13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0"/>
      <c r="U187" s="134"/>
      <c r="W187" s="134"/>
      <c r="Y187" s="134"/>
      <c r="AA187" s="13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0"/>
      <c r="U188" s="134"/>
      <c r="W188" s="134"/>
      <c r="Y188" s="134"/>
      <c r="AA188" s="13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0"/>
      <c r="U189" s="134"/>
      <c r="W189" s="134"/>
      <c r="Y189" s="134"/>
      <c r="AA189" s="13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0"/>
      <c r="U190" s="134"/>
      <c r="W190" s="134"/>
      <c r="Y190" s="134"/>
      <c r="AA190" s="13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0"/>
      <c r="U191" s="134"/>
      <c r="W191" s="134"/>
      <c r="Y191" s="134"/>
      <c r="AA191" s="13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0"/>
      <c r="U192" s="134"/>
      <c r="W192" s="134"/>
      <c r="Y192" s="134"/>
      <c r="AA192" s="13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0"/>
      <c r="U193" s="134"/>
      <c r="W193" s="134"/>
      <c r="Y193" s="134"/>
      <c r="AA193" s="13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0"/>
      <c r="U194" s="134"/>
      <c r="W194" s="134"/>
      <c r="Y194" s="134"/>
      <c r="AA194" s="13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0"/>
      <c r="U195" s="134"/>
      <c r="W195" s="134"/>
      <c r="Y195" s="134"/>
      <c r="AA195" s="13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0"/>
      <c r="U196" s="134"/>
      <c r="W196" s="134"/>
      <c r="Y196" s="134"/>
      <c r="AA196" s="13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0"/>
      <c r="U197" s="134"/>
      <c r="W197" s="134"/>
      <c r="Y197" s="134"/>
      <c r="AA197" s="13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0"/>
      <c r="U198" s="134"/>
      <c r="W198" s="134"/>
      <c r="Y198" s="134"/>
      <c r="AA198" s="13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0"/>
      <c r="U199" s="134"/>
      <c r="W199" s="134"/>
      <c r="Y199" s="134"/>
      <c r="AA199" s="13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0"/>
      <c r="U200" s="134"/>
      <c r="W200" s="134"/>
      <c r="Y200" s="134"/>
      <c r="AA200" s="13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1"/>
      <c r="U201" s="135"/>
      <c r="W201" s="135"/>
      <c r="Y201" s="135"/>
      <c r="AA201" s="135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36" t="s">
        <v>24</v>
      </c>
      <c r="B1" s="136"/>
      <c r="D1" s="1" t="s">
        <v>1</v>
      </c>
      <c r="E1" s="1" t="s">
        <v>11</v>
      </c>
      <c r="F1" s="1" t="str">
        <f>Moderator_effect_size_measure</f>
        <v>Log Odds Ratio</v>
      </c>
      <c r="G1" s="1" t="s">
        <v>28</v>
      </c>
    </row>
    <row r="2" spans="1:7" x14ac:dyDescent="0.3">
      <c r="A2" s="3" t="s">
        <v>37</v>
      </c>
      <c r="B2" s="5" t="s">
        <v>72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78</v>
      </c>
      <c r="B3" s="5" t="s">
        <v>91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44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29</v>
      </c>
      <c r="B6" s="5" t="s">
        <v>92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36" t="s">
        <v>61</v>
      </c>
      <c r="B9" s="136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38" t="s">
        <v>72</v>
      </c>
      <c r="B10" s="138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39" t="s">
        <v>62</v>
      </c>
      <c r="B11" s="13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39" t="s">
        <v>63</v>
      </c>
      <c r="B12" s="13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36" t="s">
        <v>90</v>
      </c>
      <c r="B14" s="136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38" t="str">
        <f>IF(Moderator_weighting_method="Peto","Log Peto Odds Ratio","Log Odds Ratio")</f>
        <v>Log Odds Ratio</v>
      </c>
      <c r="B15" s="138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39" t="str">
        <f>IF(Moderator_weighting_method="Inverse variance","Log Risk Ratio","")</f>
        <v>Log Risk Ratio</v>
      </c>
      <c r="B16" s="13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39" t="str">
        <f>IF(Moderator_weighting_method="Inverse Variance","Risk Difference","")</f>
        <v>Risk Difference</v>
      </c>
      <c r="B17" s="13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93</v>
      </c>
      <c r="K28" s="1" t="s">
        <v>94</v>
      </c>
      <c r="L28" s="1" t="s">
        <v>95</v>
      </c>
      <c r="M28" s="1" t="s">
        <v>96</v>
      </c>
      <c r="N28" s="25" t="s">
        <v>97</v>
      </c>
      <c r="O28" s="1" t="s">
        <v>52</v>
      </c>
      <c r="P28" s="1" t="s">
        <v>98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99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84</v>
      </c>
      <c r="J32" s="1" t="str">
        <f>IF(Moderator_model="Fixed effect","Sum of squares (Q)","Sum of squares (Q*)")</f>
        <v>Sum of squares (Q)</v>
      </c>
      <c r="K32" s="1" t="s">
        <v>85</v>
      </c>
      <c r="L32" s="1" t="s">
        <v>86</v>
      </c>
      <c r="N32" s="1" t="s">
        <v>100</v>
      </c>
      <c r="O32" s="1" t="s">
        <v>101</v>
      </c>
      <c r="P32" s="1" t="s">
        <v>98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29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102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103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104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105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9" zoomScaleNormal="100" workbookViewId="0">
      <pane ySplit="1" topLeftCell="A2" activePane="bottomLeft" state="frozen"/>
      <selection pane="bottomLeft" activeCell="D2" sqref="D2:F4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24</v>
      </c>
      <c r="B1" s="1"/>
      <c r="D1" s="1" t="s">
        <v>1</v>
      </c>
      <c r="E1" s="1" t="str">
        <f>Additional_effect_size_measure</f>
        <v>Log Odds Ratio</v>
      </c>
      <c r="F1" s="1" t="s">
        <v>106</v>
      </c>
      <c r="M1" s="85"/>
      <c r="O1" s="136" t="s">
        <v>107</v>
      </c>
      <c r="P1" s="136"/>
      <c r="Q1" s="136"/>
      <c r="R1" s="136"/>
      <c r="S1" s="28"/>
      <c r="T1" s="85"/>
      <c r="V1" s="1" t="s">
        <v>1</v>
      </c>
      <c r="W1" s="1" t="s">
        <v>108</v>
      </c>
      <c r="AE1" s="85"/>
      <c r="AG1" s="1" t="s">
        <v>1</v>
      </c>
      <c r="AH1" s="1" t="s">
        <v>109</v>
      </c>
      <c r="AI1" s="1" t="s">
        <v>110</v>
      </c>
      <c r="AR1" s="85"/>
      <c r="AT1" s="1" t="s">
        <v>1</v>
      </c>
      <c r="AU1" s="1" t="s">
        <v>111</v>
      </c>
      <c r="AV1" s="1" t="s">
        <v>112</v>
      </c>
      <c r="BC1" s="85"/>
      <c r="BE1" s="1" t="s">
        <v>1</v>
      </c>
      <c r="BF1" s="75" t="s">
        <v>113</v>
      </c>
      <c r="BG1" s="1" t="s">
        <v>114</v>
      </c>
      <c r="BP1" s="85"/>
      <c r="BR1" s="1" t="s">
        <v>115</v>
      </c>
      <c r="BS1" s="1"/>
      <c r="BT1" s="85"/>
    </row>
    <row r="2" spans="1:72" x14ac:dyDescent="0.3">
      <c r="A2" s="3" t="s">
        <v>37</v>
      </c>
      <c r="B2" s="5" t="s">
        <v>72</v>
      </c>
      <c r="D2" s="43" t="str">
        <f t="shared" ref="D2:D33" si="0">IF(AND(Include_study?="Yes",Sufficient_data="Yes"),Study_name,"")</f>
        <v>Mustaqeem et al. (B)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-0.27411650683119987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0.16510530938094906</v>
      </c>
      <c r="M2" s="134" t="s">
        <v>116</v>
      </c>
      <c r="O2" s="3"/>
      <c r="P2" s="3" t="s">
        <v>117</v>
      </c>
      <c r="Q2" s="3" t="s">
        <v>94</v>
      </c>
      <c r="R2" s="3" t="s">
        <v>95</v>
      </c>
      <c r="S2" s="3" t="s">
        <v>96</v>
      </c>
      <c r="T2" s="134" t="s">
        <v>118</v>
      </c>
      <c r="V2" s="77" t="str">
        <f t="shared" ref="V2:V33" si="3">IF(AND(Include_study?="Yes",Sufficient_data="Yes"),Study_name,"")</f>
        <v>Mustaqeem et al. (B)</v>
      </c>
      <c r="W2" s="34">
        <f>IF(AND(Include_study?="Yes",Sufficient_data="Yes"),((E:E-I$29)*SQRT(Calculations!FU:FU))/SQRT(1-Calculations!FU:FU/SUM(Calculations!FU:FU)),"")</f>
        <v>0.54564143317725999</v>
      </c>
      <c r="AE2" s="134" t="s">
        <v>119</v>
      </c>
      <c r="AG2" s="77" t="str">
        <f t="shared" ref="AG2:AG33" si="4">IF(AND(Include_study?="Yes",Sufficient_data="Yes"),Study_name,"")</f>
        <v>Mustaqeem et al. (B)</v>
      </c>
      <c r="AH2" s="74">
        <f t="shared" ref="AH2:AH65" si="5">IF(AND(Sufficient_data="Yes",Include_study?="Yes"),c_/(c_+d_),"")</f>
        <v>3.2007315957933241E-2</v>
      </c>
      <c r="AI2" s="34">
        <f t="shared" ref="AI2:AI65" si="6">IF(AND(Sufficient_data="Yes",Include_study?="Yes"),a_/(a_+b_),"")</f>
        <v>2.4521531100478468E-2</v>
      </c>
      <c r="AR2" s="134" t="s">
        <v>120</v>
      </c>
      <c r="AT2" s="77" t="str">
        <f t="shared" ref="AT2:AT33" si="7">IF(AND(Include_study?="Yes",Sufficient_data="Yes"),Study_name,"")</f>
        <v>Mustaqeem et al. (B)</v>
      </c>
      <c r="AU2" s="74">
        <f t="shared" ref="AU2:AU33" si="8">IF(AND(Include_study?="Yes",Sufficient_data="Yes"),IF(AND(Additional_valid_options="No",Additional_model="Random effects"),NA(),Inverse_standard_error),"")</f>
        <v>6.0567404146446346</v>
      </c>
      <c r="AV2" s="34">
        <f t="shared" ref="AV2:AV33" si="9">IF(AND(Include_study?="Yes",Sufficient_data="Yes"),IF(AND(Additional_valid_options="No",Additional_model="Random effects"),NA(),Z_score),"")</f>
        <v>-1.6602525252457403</v>
      </c>
      <c r="BC2" s="134" t="s">
        <v>121</v>
      </c>
      <c r="BE2" s="74" t="str">
        <f t="shared" ref="BE2:BE33" si="10">IF(AND(Include_study?="Yes",Sufficient_data="Yes"),Study_name,"")</f>
        <v>Mustaqeem et al. (B)</v>
      </c>
      <c r="BF2" s="74">
        <f>IF(AND(Include_study?="Yes",Sufficient_data="Yes"),NORMSINV(Calculations!IW2),"")</f>
        <v>-0.27188000539926105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-1.6602525252457403</v>
      </c>
      <c r="BP2" s="134" t="s">
        <v>122</v>
      </c>
      <c r="BR2" s="150" t="s">
        <v>123</v>
      </c>
      <c r="BS2" s="150"/>
      <c r="BT2" s="134" t="s">
        <v>124</v>
      </c>
    </row>
    <row r="3" spans="1:72" x14ac:dyDescent="0.3">
      <c r="A3" s="3" t="s">
        <v>78</v>
      </c>
      <c r="B3" s="5" t="s">
        <v>91</v>
      </c>
      <c r="D3" s="44" t="str">
        <f t="shared" si="0"/>
        <v>Zou et al.</v>
      </c>
      <c r="E3" s="3">
        <f t="shared" si="1"/>
        <v>3.167387877011834E-2</v>
      </c>
      <c r="F3" s="3">
        <f t="shared" si="2"/>
        <v>0.17615188949333238</v>
      </c>
      <c r="M3" s="134"/>
      <c r="O3" s="3" t="s">
        <v>99</v>
      </c>
      <c r="P3" s="4">
        <f>IF(Additional_valid_options="Yes",INTERCEPT(Z_score,Inverse_standard_error),NA())</f>
        <v>7.6901851825200724</v>
      </c>
      <c r="Q3" s="4">
        <f>IF(Additional_valid_options="Yes",Q4*SQRT(1/k_*SUMPRODUCT(Inverse_standard_error,Inverse_standard_error)),NA())</f>
        <v>7.3917538417334629</v>
      </c>
      <c r="R3" s="4">
        <f>P3-ABS(TINV((1-Additional_confidence_level),k_-1))*Q3</f>
        <v>-9.3552297429285751</v>
      </c>
      <c r="S3" s="4">
        <f>P3+ABS(TINV((1-Additional_confidence_level),k_-1))*Q3</f>
        <v>24.735600107968718</v>
      </c>
      <c r="T3" s="134"/>
      <c r="V3" s="76" t="str">
        <f t="shared" si="3"/>
        <v>Zou et al.</v>
      </c>
      <c r="W3" s="35">
        <f>IF(AND(Include_study?="Yes",Sufficient_data="Yes"),((E:E-I$29)*SQRT(Calculations!FU:FU))/SQRT(1-Calculations!FU:FU/SUM(Calculations!FU:FU)),"")</f>
        <v>2.3507028502595513</v>
      </c>
      <c r="AE3" s="134"/>
      <c r="AG3" s="76" t="str">
        <f t="shared" si="4"/>
        <v>Zou et al.</v>
      </c>
      <c r="AH3" s="3">
        <f t="shared" si="5"/>
        <v>1.749256689791873E-2</v>
      </c>
      <c r="AI3" s="35">
        <f t="shared" si="6"/>
        <v>1.8045334118339709E-2</v>
      </c>
      <c r="AR3" s="134"/>
      <c r="AT3" s="76" t="str">
        <f t="shared" si="7"/>
        <v>Zou et al.</v>
      </c>
      <c r="AU3" s="3">
        <f t="shared" si="8"/>
        <v>5.6769189525943267</v>
      </c>
      <c r="AV3" s="35">
        <f t="shared" si="9"/>
        <v>0.17981004269225989</v>
      </c>
      <c r="BC3" s="134"/>
      <c r="BE3" s="76" t="str">
        <f t="shared" si="10"/>
        <v>Zou et al.</v>
      </c>
      <c r="BF3" s="3">
        <f>IF(AND(Include_study?="Yes",Sufficient_data="Yes"),NORMSINV(Calculations!IW3),"")</f>
        <v>1.4652337926855223</v>
      </c>
      <c r="BG3" s="35">
        <f t="shared" si="11"/>
        <v>0.17981004269225989</v>
      </c>
      <c r="BP3" s="134"/>
      <c r="BR3" s="3" t="s">
        <v>125</v>
      </c>
      <c r="BS3" s="4">
        <f>SUM(Calculations!JH:JH)/SQRT(k_)</f>
        <v>-5.9003218989897164</v>
      </c>
      <c r="BT3" s="134"/>
    </row>
    <row r="4" spans="1:72" x14ac:dyDescent="0.3">
      <c r="A4" s="3" t="s">
        <v>44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Wang et al.</v>
      </c>
      <c r="E4" s="3">
        <f t="shared" si="1"/>
        <v>-0.211245995328425</v>
      </c>
      <c r="F4" s="3">
        <f t="shared" si="2"/>
        <v>0.20397645305706039</v>
      </c>
      <c r="M4" s="134"/>
      <c r="O4" s="3" t="s">
        <v>126</v>
      </c>
      <c r="P4" s="4">
        <f>IF(Additional_valid_options="Yes",SLOPE(Z_score,Inverse_standard_error),NA())</f>
        <v>-1.7244093396517122</v>
      </c>
      <c r="Q4" s="4">
        <f>IF(Additional_valid_options="Yes",SQRT(((1/(k_-2))*SUMPRODUCT(Calculations!HM:HM,Calculations!HM:HM))/SUMPRODUCT(Calculations!HL:HL,Calculations!HL:HL)),NA())</f>
        <v>1.3165613111212391</v>
      </c>
      <c r="R4" s="4">
        <f>P4-ABS(TINV((1-Additional_confidence_level),k_-1))*Q4</f>
        <v>-4.7604051673471082</v>
      </c>
      <c r="S4" s="4">
        <f>P4+ABS(TINV((1-Additional_confidence_level),k_-1))*Q4</f>
        <v>1.3115864880436838</v>
      </c>
      <c r="T4" s="134"/>
      <c r="V4" s="76" t="str">
        <f t="shared" si="3"/>
        <v>Wang et al.</v>
      </c>
      <c r="W4" s="35">
        <f>IF(AND(Include_study?="Yes",Sufficient_data="Yes"),((E:E-I$29)*SQRT(Calculations!FU:FU))/SQRT(1-Calculations!FU:FU/SUM(Calculations!FU:FU)),"")</f>
        <v>0.75294191454335557</v>
      </c>
      <c r="AE4" s="134"/>
      <c r="AG4" s="76" t="str">
        <f t="shared" si="4"/>
        <v>Wang et al.</v>
      </c>
      <c r="AH4" s="3">
        <f t="shared" si="5"/>
        <v>1.4866204162537165E-2</v>
      </c>
      <c r="AI4" s="35">
        <f t="shared" si="6"/>
        <v>1.2069473064468648E-2</v>
      </c>
      <c r="AR4" s="134"/>
      <c r="AT4" s="76" t="str">
        <f t="shared" si="7"/>
        <v>Wang et al.</v>
      </c>
      <c r="AU4" s="3">
        <f t="shared" si="8"/>
        <v>4.9025266642922745</v>
      </c>
      <c r="AV4" s="35">
        <f t="shared" si="9"/>
        <v>-1.0356391248225649</v>
      </c>
      <c r="BC4" s="134"/>
      <c r="BE4" s="76" t="str">
        <f t="shared" si="10"/>
        <v>Wang et al.</v>
      </c>
      <c r="BF4" s="3">
        <f>IF(AND(Include_study?="Yes",Sufficient_data="Yes"),NORMSINV(Calculations!IW4),"")</f>
        <v>0.56594882193286311</v>
      </c>
      <c r="BG4" s="35">
        <f t="shared" si="11"/>
        <v>-1.0356391248225649</v>
      </c>
      <c r="BP4" s="134"/>
      <c r="BR4" s="3" t="s">
        <v>127</v>
      </c>
      <c r="BS4" s="7">
        <f>MAX(0,ROUNDUP(k_*(BS3/NORMSINV((1-Additional_confidence_level)))^2-k_,0))</f>
        <v>107</v>
      </c>
      <c r="BT4" s="134"/>
    </row>
    <row r="5" spans="1:72" x14ac:dyDescent="0.3">
      <c r="D5" s="44" t="str">
        <f t="shared" si="0"/>
        <v>Zou et al.</v>
      </c>
      <c r="E5" s="3">
        <f t="shared" si="1"/>
        <v>-0.28806871480402096</v>
      </c>
      <c r="F5" s="3">
        <f t="shared" si="2"/>
        <v>0.19198246125536622</v>
      </c>
      <c r="M5" s="134"/>
      <c r="T5" s="134"/>
      <c r="V5" s="76" t="str">
        <f t="shared" si="3"/>
        <v>Zou et al.</v>
      </c>
      <c r="W5" s="35">
        <f>IF(AND(Include_study?="Yes",Sufficient_data="Yes"),((E:E-I$29)*SQRT(Calculations!FU:FU))/SQRT(1-Calculations!FU:FU/SUM(Calculations!FU:FU)),"")</f>
        <v>0.38401383752661117</v>
      </c>
      <c r="AE5" s="134"/>
      <c r="AG5" s="76" t="str">
        <f t="shared" si="4"/>
        <v>Zou et al.</v>
      </c>
      <c r="AH5" s="3">
        <f t="shared" si="5"/>
        <v>1.7591674925668981E-2</v>
      </c>
      <c r="AI5" s="35">
        <f t="shared" si="6"/>
        <v>1.3246982631733883E-2</v>
      </c>
      <c r="AR5" s="134"/>
      <c r="AT5" s="76" t="str">
        <f t="shared" si="7"/>
        <v>Zou et al.</v>
      </c>
      <c r="AU5" s="3">
        <f t="shared" si="8"/>
        <v>5.2088091456950645</v>
      </c>
      <c r="AV5" s="35">
        <f t="shared" si="9"/>
        <v>-1.5004949562598078</v>
      </c>
      <c r="BC5" s="134"/>
      <c r="BE5" s="76" t="str">
        <f t="shared" si="10"/>
        <v>Zou et al.</v>
      </c>
      <c r="BF5" s="3">
        <f>IF(AND(Include_study?="Yes",Sufficient_data="Yes"),NORMSINV(Calculations!IW5),"")</f>
        <v>0</v>
      </c>
      <c r="BG5" s="35">
        <f t="shared" si="11"/>
        <v>-1.5004949562598078</v>
      </c>
      <c r="BP5" s="134"/>
      <c r="BR5" s="3" t="s">
        <v>128</v>
      </c>
      <c r="BS5" s="4" t="b">
        <f>BS4&lt;5*k_+10</f>
        <v>0</v>
      </c>
      <c r="BT5" s="134"/>
    </row>
    <row r="6" spans="1:72" x14ac:dyDescent="0.3">
      <c r="A6" s="3" t="s">
        <v>29</v>
      </c>
      <c r="B6" s="5" t="s">
        <v>92</v>
      </c>
      <c r="D6" s="44" t="str">
        <f t="shared" si="0"/>
        <v>Law et al.</v>
      </c>
      <c r="E6" s="3">
        <f t="shared" si="1"/>
        <v>-0.19453338800807651</v>
      </c>
      <c r="F6" s="3">
        <f t="shared" si="2"/>
        <v>0.16721333811474565</v>
      </c>
      <c r="M6" s="134"/>
      <c r="O6" s="3" t="s">
        <v>129</v>
      </c>
      <c r="P6" s="4">
        <f>P3/Q3</f>
        <v>1.0403735496576849</v>
      </c>
      <c r="T6" s="134"/>
      <c r="V6" s="76" t="str">
        <f t="shared" si="3"/>
        <v>Law et al.</v>
      </c>
      <c r="W6" s="35">
        <f>IF(AND(Include_study?="Yes",Sufficient_data="Yes"),((E:E-I$29)*SQRT(Calculations!FU:FU))/SQRT(1-Calculations!FU:FU/SUM(Calculations!FU:FU)),"")</f>
        <v>1.0468724268129954</v>
      </c>
      <c r="AE6" s="134"/>
      <c r="AG6" s="76" t="str">
        <f t="shared" si="4"/>
        <v>Law et al.</v>
      </c>
      <c r="AH6" s="3">
        <f t="shared" si="5"/>
        <v>1.2213740458015267E-2</v>
      </c>
      <c r="AI6" s="35">
        <f t="shared" si="6"/>
        <v>1.0076335877862596E-2</v>
      </c>
      <c r="AR6" s="134"/>
      <c r="AT6" s="76" t="str">
        <f t="shared" si="7"/>
        <v>Law et al.</v>
      </c>
      <c r="AU6" s="3">
        <f t="shared" si="8"/>
        <v>5.9803841683596852</v>
      </c>
      <c r="AV6" s="35">
        <f t="shared" si="9"/>
        <v>-1.1633843938608726</v>
      </c>
      <c r="BC6" s="134"/>
      <c r="BE6" s="76" t="str">
        <f t="shared" si="10"/>
        <v>Law et al.</v>
      </c>
      <c r="BF6" s="3">
        <f>IF(AND(Include_study?="Yes",Sufficient_data="Yes"),NORMSINV(Calculations!IW6),"")</f>
        <v>0.27188000539926077</v>
      </c>
      <c r="BG6" s="35">
        <f t="shared" si="11"/>
        <v>-1.1633843938608726</v>
      </c>
      <c r="BP6" s="134"/>
      <c r="BT6" s="134"/>
    </row>
    <row r="7" spans="1:72" x14ac:dyDescent="0.3">
      <c r="A7" s="3" t="s">
        <v>34</v>
      </c>
      <c r="B7" s="29">
        <v>0.95</v>
      </c>
      <c r="D7" s="44" t="str">
        <f t="shared" si="0"/>
        <v>Mustaqeem et al. (A)</v>
      </c>
      <c r="E7" s="3">
        <f t="shared" si="1"/>
        <v>-0.6721897210239639</v>
      </c>
      <c r="F7" s="3">
        <f t="shared" si="2"/>
        <v>0.16978503879488513</v>
      </c>
      <c r="M7" s="134"/>
      <c r="O7" s="3" t="s">
        <v>98</v>
      </c>
      <c r="P7" s="26">
        <f>TDIST(ABS(P6),k_-2,2)</f>
        <v>0.3327605934272348</v>
      </c>
      <c r="T7" s="134"/>
      <c r="V7" s="76" t="str">
        <f t="shared" si="3"/>
        <v>Mustaqeem et al. (A)</v>
      </c>
      <c r="W7" s="35">
        <f>IF(AND(Include_study?="Yes",Sufficient_data="Yes"),((E:E-I$29)*SQRT(Calculations!FU:FU))/SQRT(1-Calculations!FU:FU/SUM(Calculations!FU:FU)),"")</f>
        <v>-1.9740891784882613</v>
      </c>
      <c r="AE7" s="134"/>
      <c r="AG7" s="76" t="str">
        <f t="shared" si="4"/>
        <v>Mustaqeem et al. (A)</v>
      </c>
      <c r="AH7" s="3">
        <f t="shared" si="5"/>
        <v>3.6808413351623229E-2</v>
      </c>
      <c r="AI7" s="35">
        <f t="shared" si="6"/>
        <v>1.9138755980861243E-2</v>
      </c>
      <c r="AR7" s="134"/>
      <c r="AT7" s="76" t="str">
        <f t="shared" si="7"/>
        <v>Mustaqeem et al. (A)</v>
      </c>
      <c r="AU7" s="3">
        <f t="shared" si="8"/>
        <v>5.8898004623840015</v>
      </c>
      <c r="AV7" s="35">
        <f t="shared" si="9"/>
        <v>-3.9590633296967153</v>
      </c>
      <c r="BC7" s="134"/>
      <c r="BE7" s="76" t="str">
        <f t="shared" si="10"/>
        <v>Mustaqeem et al. (A)</v>
      </c>
      <c r="BF7" s="3">
        <f>IF(AND(Include_study?="Yes",Sufficient_data="Yes"),NORMSINV(Calculations!IW7),"")</f>
        <v>-0.9208229763683794</v>
      </c>
      <c r="BG7" s="35">
        <f t="shared" si="11"/>
        <v>-3.9590633296967153</v>
      </c>
      <c r="BP7" s="134"/>
      <c r="BR7" s="136" t="s">
        <v>130</v>
      </c>
      <c r="BS7" s="136"/>
      <c r="BT7" s="134"/>
    </row>
    <row r="8" spans="1:72" x14ac:dyDescent="0.3">
      <c r="D8" s="44" t="str">
        <f t="shared" si="0"/>
        <v>Liu et al.</v>
      </c>
      <c r="E8" s="3">
        <f t="shared" si="1"/>
        <v>-0.84827448175650988</v>
      </c>
      <c r="F8" s="3">
        <f t="shared" si="2"/>
        <v>0.16644688172280447</v>
      </c>
      <c r="M8" s="134"/>
      <c r="T8" s="134"/>
      <c r="V8" s="76" t="str">
        <f t="shared" si="3"/>
        <v>Liu et al.</v>
      </c>
      <c r="W8" s="35">
        <f>IF(AND(Include_study?="Yes",Sufficient_data="Yes"),((E:E-I$29)*SQRT(Calculations!FU:FU))/SQRT(1-Calculations!FU:FU/SUM(Calculations!FU:FU)),"")</f>
        <v>-3.151778216162505</v>
      </c>
      <c r="AE8" s="134"/>
      <c r="AG8" s="76" t="str">
        <f t="shared" si="4"/>
        <v>Liu et al.</v>
      </c>
      <c r="AH8" s="3">
        <f t="shared" si="5"/>
        <v>8.4726867335562991E-2</v>
      </c>
      <c r="AI8" s="35">
        <f t="shared" si="6"/>
        <v>3.8123167155425221E-2</v>
      </c>
      <c r="AR8" s="134"/>
      <c r="AT8" s="76" t="str">
        <f t="shared" si="7"/>
        <v>Liu et al.</v>
      </c>
      <c r="AU8" s="3">
        <f t="shared" si="8"/>
        <v>6.0079227057276405</v>
      </c>
      <c r="AV8" s="35">
        <f t="shared" si="9"/>
        <v>-5.096367519634283</v>
      </c>
      <c r="BC8" s="134"/>
      <c r="BE8" s="76" t="str">
        <f t="shared" si="10"/>
        <v>Liu et al.</v>
      </c>
      <c r="BF8" s="3">
        <f>IF(AND(Include_study?="Yes",Sufficient_data="Yes"),NORMSINV(Calculations!IW8),"")</f>
        <v>-1.4652337926855223</v>
      </c>
      <c r="BG8" s="35">
        <f t="shared" si="11"/>
        <v>-5.096367519634283</v>
      </c>
      <c r="BP8" s="134"/>
      <c r="BR8" s="3" t="s">
        <v>131</v>
      </c>
      <c r="BS8" s="7">
        <f>MAX(0,ROUNDUP((k_*(1-MAX(Calculations!JI:JI))-1)/MAX(Calculations!JI:JI),0))</f>
        <v>10</v>
      </c>
      <c r="BT8" s="134"/>
    </row>
    <row r="9" spans="1:72" x14ac:dyDescent="0.3">
      <c r="A9" s="136" t="s">
        <v>61</v>
      </c>
      <c r="B9" s="136"/>
      <c r="D9" s="44" t="str">
        <f t="shared" si="0"/>
        <v>Liu et al.</v>
      </c>
      <c r="E9" s="3">
        <f t="shared" si="1"/>
        <v>-0.16895832898178756</v>
      </c>
      <c r="F9" s="3">
        <f t="shared" si="2"/>
        <v>0.19338838463846994</v>
      </c>
      <c r="M9" s="134"/>
      <c r="O9" s="136" t="s">
        <v>132</v>
      </c>
      <c r="P9" s="136"/>
      <c r="T9" s="134"/>
      <c r="V9" s="76" t="str">
        <f t="shared" si="3"/>
        <v>Liu et al.</v>
      </c>
      <c r="W9" s="35">
        <f>IF(AND(Include_study?="Yes",Sufficient_data="Yes"),((E:E-I$29)*SQRT(Calculations!FU:FU))/SQRT(1-Calculations!FU:FU/SUM(Calculations!FU:FU)),"")</f>
        <v>1.0280956723198742</v>
      </c>
      <c r="AE9" s="134"/>
      <c r="AG9" s="76" t="str">
        <f t="shared" si="4"/>
        <v>Liu et al.</v>
      </c>
      <c r="AH9" s="3">
        <f t="shared" si="5"/>
        <v>2.7538726333907058E-2</v>
      </c>
      <c r="AI9" s="35">
        <f t="shared" si="6"/>
        <v>2.3357664233576641E-2</v>
      </c>
      <c r="AR9" s="134"/>
      <c r="AT9" s="76" t="str">
        <f t="shared" si="7"/>
        <v>Liu et al.</v>
      </c>
      <c r="AU9" s="3">
        <f t="shared" si="8"/>
        <v>5.1709413772158586</v>
      </c>
      <c r="AV9" s="35">
        <f t="shared" si="9"/>
        <v>-0.87367361435717472</v>
      </c>
      <c r="BC9" s="134"/>
      <c r="BE9" s="76" t="str">
        <f t="shared" si="10"/>
        <v>Liu et al.</v>
      </c>
      <c r="BF9" s="3">
        <f>IF(AND(Include_study?="Yes",Sufficient_data="Yes"),NORMSINV(Calculations!IW9),"")</f>
        <v>0.9208229763683794</v>
      </c>
      <c r="BG9" s="35">
        <f t="shared" si="11"/>
        <v>-0.87367361435717472</v>
      </c>
      <c r="BP9" s="134"/>
      <c r="BT9" s="134"/>
    </row>
    <row r="10" spans="1:72" ht="13" x14ac:dyDescent="0.35">
      <c r="A10" s="138" t="s">
        <v>72</v>
      </c>
      <c r="B10" s="138"/>
      <c r="D10" s="44" t="str">
        <f t="shared" si="0"/>
        <v>Fan et al.</v>
      </c>
      <c r="E10" s="3">
        <f t="shared" si="1"/>
        <v>-0.47062576853612209</v>
      </c>
      <c r="F10" s="3">
        <f t="shared" si="2"/>
        <v>0.18157556945115166</v>
      </c>
      <c r="M10" s="134"/>
      <c r="O10" s="3" t="s">
        <v>133</v>
      </c>
      <c r="P10" s="4">
        <f>IF(Additional_valid_options="Yes",SUM(Calculations!HT:HT)/2-SUM(Calculations!HU:HU)/2,NA())</f>
        <v>8</v>
      </c>
      <c r="T10" s="134"/>
      <c r="V10" s="76" t="str">
        <f t="shared" si="3"/>
        <v>Fan et al.</v>
      </c>
      <c r="W10" s="35">
        <f>IF(AND(Include_study?="Yes",Sufficient_data="Yes"),((E:E-I$29)*SQRT(Calculations!FU:FU))/SQRT(1-Calculations!FU:FU/SUM(Calculations!FU:FU)),"")</f>
        <v>-0.65530531158471794</v>
      </c>
      <c r="AE10" s="134"/>
      <c r="AG10" s="76" t="str">
        <f t="shared" si="4"/>
        <v>Fan et al.</v>
      </c>
      <c r="AH10" s="3">
        <f t="shared" si="5"/>
        <v>3.5665294924554183E-2</v>
      </c>
      <c r="AI10" s="35">
        <f t="shared" si="6"/>
        <v>2.2579244463742945E-2</v>
      </c>
      <c r="AR10" s="134"/>
      <c r="AT10" s="76" t="str">
        <f t="shared" si="7"/>
        <v>Fan et al.</v>
      </c>
      <c r="AU10" s="3">
        <f t="shared" si="8"/>
        <v>5.5073488301465847</v>
      </c>
      <c r="AV10" s="35">
        <f t="shared" si="9"/>
        <v>-2.5919002757842491</v>
      </c>
      <c r="BC10" s="134"/>
      <c r="BE10" s="76" t="str">
        <f t="shared" si="10"/>
        <v>Fan et al.</v>
      </c>
      <c r="BF10" s="3">
        <f>IF(AND(Include_study?="Yes",Sufficient_data="Yes"),NORMSINV(Calculations!IW10),"")</f>
        <v>-0.56594882193286311</v>
      </c>
      <c r="BG10" s="35">
        <f t="shared" si="11"/>
        <v>-2.5919002757842491</v>
      </c>
      <c r="BP10" s="134"/>
      <c r="BR10" s="136" t="s">
        <v>134</v>
      </c>
      <c r="BS10" s="136"/>
      <c r="BT10" s="134"/>
    </row>
    <row r="11" spans="1:72" x14ac:dyDescent="0.3">
      <c r="A11" s="139" t="s">
        <v>62</v>
      </c>
      <c r="B11" s="139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34"/>
      <c r="O11" s="3" t="s">
        <v>135</v>
      </c>
      <c r="P11" s="4">
        <f>IF(Additional_valid_options="Yes",(SUM(Calculations!HT:HT)/2-SUM(Calculations!HU:HU)/2)/(1/2*k_*(k_-1)),NA())</f>
        <v>0.22222222222222221</v>
      </c>
      <c r="T11" s="134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34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34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34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34"/>
      <c r="BR11" s="3" t="s">
        <v>103</v>
      </c>
      <c r="BS11" s="4">
        <f>I29</f>
        <v>-0.35817872875448148</v>
      </c>
      <c r="BT11" s="134"/>
    </row>
    <row r="12" spans="1:72" ht="13" x14ac:dyDescent="0.35">
      <c r="A12" s="139" t="s">
        <v>63</v>
      </c>
      <c r="B12" s="139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34"/>
      <c r="O12" s="3" t="s">
        <v>136</v>
      </c>
      <c r="P12" s="4">
        <f>P10/SQRT((k_*(k_-1)*(2*k_+5)/18))</f>
        <v>0.83405765622829908</v>
      </c>
      <c r="T12" s="13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3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3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3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34"/>
      <c r="BR12" s="3" t="s">
        <v>137</v>
      </c>
      <c r="BS12" s="5">
        <v>0</v>
      </c>
      <c r="BT12" s="134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34"/>
      <c r="O13" s="3" t="s">
        <v>86</v>
      </c>
      <c r="P13" s="26">
        <f>2*(1-NORMSDIST(ABS(P12)))</f>
        <v>0.40424849473947111</v>
      </c>
      <c r="T13" s="13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4"/>
      <c r="BR13" s="3" t="s">
        <v>138</v>
      </c>
      <c r="BS13" s="5">
        <v>-0.69</v>
      </c>
      <c r="BT13" s="134"/>
    </row>
    <row r="14" spans="1:72" x14ac:dyDescent="0.3">
      <c r="A14" s="136" t="s">
        <v>90</v>
      </c>
      <c r="B14" s="136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4"/>
      <c r="T14" s="13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4"/>
      <c r="BR14" s="3" t="s">
        <v>127</v>
      </c>
      <c r="BS14" s="7">
        <f>MAX(0,ROUNDUP(k_*(BS11-BS12)/(BS12-BS13),0))</f>
        <v>0</v>
      </c>
      <c r="BT14" s="134"/>
    </row>
    <row r="15" spans="1:72" x14ac:dyDescent="0.3">
      <c r="A15" s="138" t="str">
        <f>IF(Additional_weighting_method="Peto","Log Peto Odds Ratio","Log Odds Ratio")</f>
        <v>Log Odds Ratio</v>
      </c>
      <c r="B15" s="138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4"/>
      <c r="T15" s="13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4"/>
      <c r="BT15" s="134"/>
    </row>
    <row r="16" spans="1:72" x14ac:dyDescent="0.3">
      <c r="A16" s="139" t="str">
        <f>IF(Additional_weighting_method="Inverse variance","Log Risk Ratio","")</f>
        <v>Log Risk Ratio</v>
      </c>
      <c r="B16" s="139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4"/>
      <c r="T16" s="13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4"/>
      <c r="BR16" s="136" t="s">
        <v>139</v>
      </c>
      <c r="BS16" s="136"/>
      <c r="BT16" s="134"/>
    </row>
    <row r="17" spans="1:72" x14ac:dyDescent="0.3">
      <c r="A17" s="139" t="str">
        <f>IF(Additional_weighting_method="Inverse Variance","Risk Difference","")</f>
        <v>Risk Difference</v>
      </c>
      <c r="B17" s="139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4"/>
      <c r="T17" s="13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4"/>
      <c r="BR17" s="3" t="s">
        <v>127</v>
      </c>
      <c r="BS17" s="7">
        <f>MAX(0,ROUNDUP(-2*SUM(Calculations!JJ:JJ),0))</f>
        <v>87</v>
      </c>
      <c r="BT17" s="13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4"/>
      <c r="T18" s="13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4"/>
      <c r="BR18" s="3" t="s">
        <v>140</v>
      </c>
      <c r="BS18" s="26">
        <f>CHIDIST(BS17,k_*2)</f>
        <v>4.9689711028129369E-11</v>
      </c>
      <c r="BT18" s="13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4"/>
      <c r="T19" s="13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4"/>
      <c r="BT19" s="13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4"/>
      <c r="T20" s="13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4"/>
      <c r="BT20" s="13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4"/>
      <c r="T21" s="13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4"/>
      <c r="BT21" s="13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4"/>
      <c r="T22" s="13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4"/>
      <c r="BT22" s="13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4"/>
      <c r="T23" s="13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4"/>
      <c r="BT23" s="13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4"/>
      <c r="T24" s="13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4"/>
      <c r="BT24" s="13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4"/>
      <c r="T25" s="13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4"/>
      <c r="BT25" s="13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4"/>
      <c r="T26" s="13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4"/>
      <c r="BT26" s="13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4"/>
      <c r="T27" s="13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4"/>
      <c r="BT27" s="13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103</v>
      </c>
      <c r="I28" s="28" t="s">
        <v>141</v>
      </c>
      <c r="K28" s="136" t="s">
        <v>57</v>
      </c>
      <c r="L28" s="136"/>
      <c r="M28" s="134"/>
      <c r="T28" s="13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51" t="s">
        <v>142</v>
      </c>
      <c r="AY28" s="151"/>
      <c r="AZ28" s="151"/>
      <c r="BA28" s="151"/>
      <c r="BB28" s="152"/>
      <c r="BC28" s="13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51" t="s">
        <v>142</v>
      </c>
      <c r="BJ28" s="151"/>
      <c r="BK28" s="151"/>
      <c r="BL28" s="151"/>
      <c r="BM28" s="151"/>
      <c r="BP28" s="134"/>
      <c r="BT28" s="13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-0.35817872875448148</v>
      </c>
      <c r="K29" s="3" t="s">
        <v>58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20.198559181520956</v>
      </c>
      <c r="M29" s="134"/>
      <c r="T29" s="13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143</v>
      </c>
      <c r="Z29" s="1" t="s">
        <v>144</v>
      </c>
      <c r="AA29" s="1" t="s">
        <v>145</v>
      </c>
      <c r="AE29" s="13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117</v>
      </c>
      <c r="AZ29" s="3" t="s">
        <v>94</v>
      </c>
      <c r="BA29" s="3" t="s">
        <v>95</v>
      </c>
      <c r="BB29" s="3" t="s">
        <v>96</v>
      </c>
      <c r="BC29" s="13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117</v>
      </c>
      <c r="BK29" s="3" t="s">
        <v>94</v>
      </c>
      <c r="BL29" s="3" t="s">
        <v>95</v>
      </c>
      <c r="BM29" s="3" t="s">
        <v>96</v>
      </c>
      <c r="BP29" s="134"/>
      <c r="BT29" s="13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5.9370723074678215E-2</v>
      </c>
      <c r="K30" s="3" t="s">
        <v>59</v>
      </c>
      <c r="L30" s="26">
        <f>IF(Additional_valid_options="Yes",CHIDIST(L29,k_-1+IF(Trim_and_fill="On",L39,0)),"")</f>
        <v>9.6103800058974301E-3</v>
      </c>
      <c r="M30" s="134"/>
      <c r="T30" s="13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99</v>
      </c>
      <c r="AY30" s="4">
        <v>0</v>
      </c>
      <c r="AZ30" s="4"/>
      <c r="BA30" s="4"/>
      <c r="BB30" s="4"/>
      <c r="BC30" s="13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99</v>
      </c>
      <c r="BJ30" s="4">
        <f>INTERCEPT(BG:BG,BF:BF)</f>
        <v>-1.9667739663299055</v>
      </c>
      <c r="BK30" s="4">
        <f>BK31*SQRT(1/k_*SUMPRODUCT(BF:BF,BF:BF))</f>
        <v>0.17685242164172593</v>
      </c>
      <c r="BL30" s="4">
        <f>BJ30-ABS(TINV((1-Additional_confidence_level),k_-1))*BK30</f>
        <v>-2.3745963819565965</v>
      </c>
      <c r="BM30" s="4">
        <f>BJ30+ABS(TINV((1-Additional_confidence_level),k_-1))*BK30</f>
        <v>-1.5589515507032148</v>
      </c>
      <c r="BP30" s="134"/>
      <c r="BT30" s="13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26</v>
      </c>
      <c r="I31" s="4">
        <f>IF(Additional_valid_options="Yes",I29-ABS(TINV((1-Additional_confidence_level),k_-1))*I30,"")</f>
        <v>-0.49508786167475083</v>
      </c>
      <c r="K31" s="3" t="s">
        <v>60</v>
      </c>
      <c r="L31" s="8">
        <f>IF(Additional_valid_options="Yes",IF(L29-(k_-1+IF(Trim_and_fill="On",L39,0))&lt;=0,0,(L29-(k_-1+IF(Trim_and_fill="On",L39,0)))/L29),"")</f>
        <v>0.60393214545129759</v>
      </c>
      <c r="M31" s="134"/>
      <c r="T31" s="13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-2.8</v>
      </c>
      <c r="Z31" s="4">
        <f t="array" ref="Z31:Z39">FREQUENCY(W:W,Calculations!HZ2:HZ10)/k_</f>
        <v>0.1111111111111111</v>
      </c>
      <c r="AA31" s="4">
        <f>NORMSDIST(Calculations!HZ2)</f>
        <v>2.5551303304279312E-3</v>
      </c>
      <c r="AE31" s="13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126</v>
      </c>
      <c r="AY31" s="4">
        <f>I29</f>
        <v>-0.35817872875448148</v>
      </c>
      <c r="AZ31" s="4">
        <f>I30</f>
        <v>5.9370723074678215E-2</v>
      </c>
      <c r="BA31" s="4">
        <f>AY31-ABS(TINV((1-Additional_confidence_level),k_-1))*AZ31</f>
        <v>-0.49508786167475083</v>
      </c>
      <c r="BB31" s="4">
        <f>AY31+ABS(TINV((1-Additional_confidence_level),k_-1))*AZ31</f>
        <v>-0.2212695958342121</v>
      </c>
      <c r="BC31" s="13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126</v>
      </c>
      <c r="BJ31" s="4">
        <f>SLOPE(BG:BG,BF:BF)</f>
        <v>1.7095959074576896</v>
      </c>
      <c r="BK31" s="4">
        <f>SQRT(((1/(k_-2))*SUMPRODUCT(Calculations!JA:JA,Calculations!JA:JA))/SUMPRODUCT(Calculations!IZ:IZ,Calculations!IZ:IZ))</f>
        <v>0.20378809211474391</v>
      </c>
      <c r="BL31" s="4">
        <f>BJ31-ABS(TINV((1-Additional_confidence_level),k_-1))*BK31</f>
        <v>1.2396597243357226</v>
      </c>
      <c r="BM31" s="4">
        <f>BJ31+ABS(TINV((1-Additional_confidence_level),k_-1))*BK31</f>
        <v>2.1795320905796567</v>
      </c>
      <c r="BP31" s="134"/>
      <c r="BT31" s="13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27</v>
      </c>
      <c r="I32" s="4">
        <f>IF(Additional_valid_options="Yes",I29+ABS(TINV((1-Additional_confidence_level),k_-1))*I30,"")</f>
        <v>-0.2212695958342121</v>
      </c>
      <c r="K32" s="3" t="s">
        <v>146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4.8492415226654886E-2</v>
      </c>
      <c r="M32" s="134"/>
      <c r="T32" s="13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-2.8; -2</v>
      </c>
      <c r="Z32" s="4">
        <v>0</v>
      </c>
      <c r="AA32" s="4">
        <f>NORMSDIST(Calculations!HZ3)-(SUM(AA$31:AA31))</f>
        <v>2.019500161775126E-2</v>
      </c>
      <c r="AE32" s="13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51" t="s">
        <v>103</v>
      </c>
      <c r="AL32" s="151"/>
      <c r="AM32" s="151"/>
      <c r="AR32" s="13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4"/>
      <c r="BT32" s="13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50</v>
      </c>
      <c r="I33" s="4">
        <f>IF(Additional_valid_options="Yes",I29-ABS(TINV((1-Additional_confidence_level),k_-1))*SQRT(I30^2+Calculations!GH12),"")</f>
        <v>-0.88411603342120904</v>
      </c>
      <c r="K33" s="3" t="s">
        <v>70</v>
      </c>
      <c r="L33" s="4">
        <f>IF(Additional_valid_options="Yes",SQRT(L32),"")</f>
        <v>0.22020993444133008</v>
      </c>
      <c r="M33" s="134"/>
      <c r="T33" s="13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-2; -1.2</v>
      </c>
      <c r="Z33" s="4">
        <v>0.1111111111111111</v>
      </c>
      <c r="AA33" s="4">
        <f>NORMSDIST(Calculations!HZ4)-(SUM(AA$31:AA32))</f>
        <v>9.2319538273529012E-2</v>
      </c>
      <c r="AE33" s="13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49" t="s">
        <v>147</v>
      </c>
      <c r="AL33" s="149"/>
      <c r="AM33" s="149"/>
      <c r="AR33" s="13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148</v>
      </c>
      <c r="BJ33" s="5" t="s">
        <v>149</v>
      </c>
      <c r="BP33" s="134"/>
      <c r="BT33" s="13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51</v>
      </c>
      <c r="I34" s="4">
        <f>IF(Additional_valid_options="Yes",I29+ABS(TINV((1-Additional_confidence_level),k_-1))*SQRT(I30^2+Calculations!GH12),"")</f>
        <v>0.16775857591224613</v>
      </c>
      <c r="M34" s="134"/>
      <c r="T34" s="13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-1.2; -0.4</v>
      </c>
      <c r="Z34" s="4">
        <v>0.1111111111111111</v>
      </c>
      <c r="AA34" s="4">
        <f>NORMSDIST(Calculations!HZ5)-(SUM(AA$31:AA33))</f>
        <v>0.22950858816796754</v>
      </c>
      <c r="AE34" s="13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150</v>
      </c>
      <c r="AL34" s="3"/>
      <c r="AM34" s="4">
        <f>EXP(SUMPRODUCT(LogRiskRatio,Calculations!IE:IE)/SUM(Calculations!IE:IE))</f>
        <v>0.70310352242975049</v>
      </c>
      <c r="AR34" s="13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4"/>
      <c r="BT34" s="13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4"/>
      <c r="T35" s="13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-0.4; 0.4</v>
      </c>
      <c r="Z35" s="4">
        <v>0.1111111111111111</v>
      </c>
      <c r="AA35" s="4">
        <f>NORMSDIST(Calculations!HZ6)-(SUM(AA$31:AA34))</f>
        <v>0.31084348322064853</v>
      </c>
      <c r="AE35" s="13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4"/>
      <c r="BT35" s="13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103</v>
      </c>
      <c r="I36" s="90" t="s">
        <v>151</v>
      </c>
      <c r="K36" s="1" t="s">
        <v>152</v>
      </c>
      <c r="L36" s="5" t="s">
        <v>153</v>
      </c>
      <c r="M36" s="134"/>
      <c r="T36" s="13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0.4; 1.2</v>
      </c>
      <c r="Z36" s="4">
        <v>0.44444444444444442</v>
      </c>
      <c r="AA36" s="4">
        <f>NORMSDIST(Calculations!HZ7)-(SUM(AA$31:AA35))</f>
        <v>0.22950858816796749</v>
      </c>
      <c r="AE36" s="13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4"/>
      <c r="BT36" s="13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-0.35817872875448148</v>
      </c>
      <c r="K37" s="3" t="s">
        <v>154</v>
      </c>
      <c r="L37" s="5" t="s">
        <v>155</v>
      </c>
      <c r="M37" s="134"/>
      <c r="T37" s="13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1.2; 2</v>
      </c>
      <c r="Z37" s="4">
        <v>0</v>
      </c>
      <c r="AA37" s="4">
        <f>NORMSDIST(Calculations!HZ8)-(SUM(AA$31:AA36))</f>
        <v>9.2319538273529012E-2</v>
      </c>
      <c r="AE37" s="13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4"/>
      <c r="BT37" s="13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5.9370723074678215E-2</v>
      </c>
      <c r="K38" s="3" t="s">
        <v>156</v>
      </c>
      <c r="L38" s="91" t="str">
        <f>IF(Trim_and_fill="Off","",IF(I29&gt;0,"Left",IF(I29&lt;0,"Right","NA")))</f>
        <v>Right</v>
      </c>
      <c r="M38" s="134"/>
      <c r="T38" s="13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2; 2.8</v>
      </c>
      <c r="Z38" s="4">
        <v>0.1111111111111111</v>
      </c>
      <c r="AA38" s="4">
        <f>NORMSDIST(Calculations!HZ9)-(SUM(AA$31:AA37))</f>
        <v>2.0195001617751229E-2</v>
      </c>
      <c r="AE38" s="13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4"/>
      <c r="BT38" s="13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26</v>
      </c>
      <c r="I39" s="4">
        <f>IF(AND(Trim_and_fill="On",Additional_valid_options="Yes",L38&lt;&gt;""),I37-ABS(TINV((1-Additional_confidence_level),k_+L39-1))*I38,"")</f>
        <v>-0.49508786167475083</v>
      </c>
      <c r="K39" s="3" t="s">
        <v>157</v>
      </c>
      <c r="L39" s="7">
        <f>IF(L38&lt;&gt;"",Calculations!GW21,"")</f>
        <v>0</v>
      </c>
      <c r="M39" s="134"/>
      <c r="T39" s="13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2.8; ∞</v>
      </c>
      <c r="Z39" s="4">
        <v>0</v>
      </c>
      <c r="AA39" s="4">
        <f>1-(SUM(AA31:AA38))</f>
        <v>2.5551303304279793E-3</v>
      </c>
      <c r="AE39" s="13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4"/>
      <c r="BT39" s="13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27</v>
      </c>
      <c r="I40" s="4">
        <f>IF(AND(Trim_and_fill="On",Additional_valid_options="Yes",L38&lt;&gt;""),I37+ABS(TINV((1-Additional_confidence_level),k_+L39-1))*I38,"")</f>
        <v>-0.2212695958342121</v>
      </c>
      <c r="M40" s="134"/>
      <c r="T40" s="13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4"/>
      <c r="BT40" s="13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50</v>
      </c>
      <c r="I41" s="4">
        <f>IF(AND(Trim_and_fill="On",Additional_valid_options="Yes",L38&lt;&gt;""),I37-ABS(TINV((1-Additional_confidence_level),k_+L39-1))*SQRT(I38^2+L32),"")</f>
        <v>-0.88411603342120904</v>
      </c>
      <c r="M41" s="134"/>
      <c r="T41" s="13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158</v>
      </c>
      <c r="AE41" s="13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4"/>
      <c r="BT41" s="13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51</v>
      </c>
      <c r="I42" s="4">
        <f>IF(AND(Trim_and_fill="On",Additional_valid_options="Yes",L38&lt;&gt;""),I37+ABS(TINV((1-Additional_confidence_level),k_+L39-1))*SQRT(I38^2+L32),"")</f>
        <v>0.16775857591224613</v>
      </c>
      <c r="M42" s="134"/>
      <c r="T42" s="13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4"/>
      <c r="BT42" s="13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4"/>
      <c r="T43" s="13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4"/>
      <c r="BT43" s="13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4"/>
      <c r="T44" s="13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4"/>
      <c r="BT44" s="13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4"/>
      <c r="T45" s="13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4"/>
      <c r="BT45" s="13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4"/>
      <c r="T46" s="13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4"/>
      <c r="BT46" s="13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4"/>
      <c r="T47" s="13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4"/>
      <c r="BT47" s="13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4"/>
      <c r="T48" s="13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4"/>
      <c r="BT48" s="13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4"/>
      <c r="T49" s="13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4"/>
      <c r="BT49" s="13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4"/>
      <c r="T50" s="13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4"/>
      <c r="BT50" s="13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4"/>
      <c r="T51" s="13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4"/>
      <c r="BT51" s="13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4"/>
      <c r="T52" s="13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4"/>
      <c r="BT52" s="13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4"/>
      <c r="T53" s="13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4"/>
      <c r="BT53" s="13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4"/>
      <c r="T54" s="13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4"/>
      <c r="BT54" s="13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4"/>
      <c r="T55" s="13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4"/>
      <c r="BT55" s="13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4"/>
      <c r="T56" s="13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4"/>
      <c r="BT56" s="13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4"/>
      <c r="T57" s="13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4"/>
      <c r="BT57" s="13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4"/>
      <c r="T58" s="13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4"/>
      <c r="BT58" s="13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4"/>
      <c r="T59" s="13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4"/>
      <c r="BT59" s="13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4"/>
      <c r="T60" s="13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4"/>
      <c r="BT60" s="13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4"/>
      <c r="T61" s="13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4"/>
      <c r="BT61" s="13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4"/>
      <c r="T62" s="13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4"/>
      <c r="BT62" s="13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4"/>
      <c r="T63" s="13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4"/>
      <c r="BT63" s="13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4"/>
      <c r="T64" s="13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4"/>
      <c r="BT64" s="13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4"/>
      <c r="T65" s="13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4"/>
      <c r="BT65" s="13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4"/>
      <c r="T66" s="13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4"/>
      <c r="BT66" s="13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4"/>
      <c r="T67" s="13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4"/>
      <c r="BT67" s="13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4"/>
      <c r="T68" s="13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4"/>
      <c r="BT68" s="13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4"/>
      <c r="T69" s="13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4"/>
      <c r="BT69" s="13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4"/>
      <c r="T70" s="13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4"/>
      <c r="BT70" s="13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4"/>
      <c r="T71" s="13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4"/>
      <c r="BT71" s="13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4"/>
      <c r="T72" s="13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4"/>
      <c r="BT72" s="13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4"/>
      <c r="T73" s="13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4"/>
      <c r="BT73" s="13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4"/>
      <c r="T74" s="13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4"/>
      <c r="BT74" s="13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4"/>
      <c r="T75" s="13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4"/>
      <c r="BT75" s="13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4"/>
      <c r="T76" s="13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4"/>
      <c r="BT76" s="13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4"/>
      <c r="T77" s="13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4"/>
      <c r="BT77" s="13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4"/>
      <c r="T78" s="13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4"/>
      <c r="BT78" s="13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4"/>
      <c r="T79" s="13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4"/>
      <c r="BT79" s="13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4"/>
      <c r="T80" s="13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4"/>
      <c r="BT80" s="13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4"/>
      <c r="T81" s="13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4"/>
      <c r="BT81" s="13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4"/>
      <c r="T82" s="13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4"/>
      <c r="BT82" s="13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4"/>
      <c r="T83" s="13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4"/>
      <c r="BT83" s="13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4"/>
      <c r="T84" s="13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4"/>
      <c r="BT84" s="13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4"/>
      <c r="T85" s="13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4"/>
      <c r="BT85" s="13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4"/>
      <c r="T86" s="13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4"/>
      <c r="BT86" s="13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4"/>
      <c r="T87" s="13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4"/>
      <c r="BT87" s="13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4"/>
      <c r="T88" s="13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4"/>
      <c r="BT88" s="13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4"/>
      <c r="T89" s="13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4"/>
      <c r="BT89" s="13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4"/>
      <c r="T90" s="13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4"/>
      <c r="BT90" s="13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4"/>
      <c r="T91" s="13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4"/>
      <c r="BT91" s="13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4"/>
      <c r="T92" s="13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4"/>
      <c r="BT92" s="13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4"/>
      <c r="T93" s="13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4"/>
      <c r="BT93" s="13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4"/>
      <c r="T94" s="13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4"/>
      <c r="BT94" s="13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4"/>
      <c r="T95" s="13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4"/>
      <c r="BT95" s="13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4"/>
      <c r="T96" s="13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4"/>
      <c r="BT96" s="13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4"/>
      <c r="T97" s="13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4"/>
      <c r="BT97" s="13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4"/>
      <c r="T98" s="13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4"/>
      <c r="BT98" s="13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4"/>
      <c r="T99" s="13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4"/>
      <c r="BT99" s="13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4"/>
      <c r="T100" s="13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4"/>
      <c r="BT100" s="13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4"/>
      <c r="T101" s="13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4"/>
      <c r="BT101" s="13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4"/>
      <c r="T102" s="13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4"/>
      <c r="BT102" s="13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4"/>
      <c r="T103" s="13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4"/>
      <c r="BT103" s="13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4"/>
      <c r="T104" s="13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4"/>
      <c r="BT104" s="13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4"/>
      <c r="T105" s="13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4"/>
      <c r="BT105" s="13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4"/>
      <c r="T106" s="13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4"/>
      <c r="BT106" s="13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4"/>
      <c r="T107" s="13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4"/>
      <c r="BT107" s="13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4"/>
      <c r="T108" s="13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4"/>
      <c r="BT108" s="13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4"/>
      <c r="T109" s="13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4"/>
      <c r="BT109" s="13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4"/>
      <c r="T110" s="13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4"/>
      <c r="BT110" s="13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4"/>
      <c r="T111" s="13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4"/>
      <c r="BT111" s="13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4"/>
      <c r="T112" s="13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4"/>
      <c r="BT112" s="13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4"/>
      <c r="T113" s="13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4"/>
      <c r="BT113" s="13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4"/>
      <c r="T114" s="13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4"/>
      <c r="BT114" s="13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4"/>
      <c r="T115" s="13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4"/>
      <c r="BT115" s="13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4"/>
      <c r="T116" s="13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4"/>
      <c r="BT116" s="13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4"/>
      <c r="T117" s="13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4"/>
      <c r="BT117" s="13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4"/>
      <c r="T118" s="13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4"/>
      <c r="BT118" s="13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4"/>
      <c r="T119" s="13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4"/>
      <c r="BT119" s="13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4"/>
      <c r="T120" s="13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4"/>
      <c r="BT120" s="13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4"/>
      <c r="T121" s="13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4"/>
      <c r="BT121" s="13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4"/>
      <c r="T122" s="13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4"/>
      <c r="BT122" s="13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4"/>
      <c r="T123" s="13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4"/>
      <c r="BT123" s="13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4"/>
      <c r="T124" s="13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4"/>
      <c r="BT124" s="13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4"/>
      <c r="T125" s="13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4"/>
      <c r="BT125" s="13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4"/>
      <c r="T126" s="13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4"/>
      <c r="BT126" s="13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4"/>
      <c r="T127" s="13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4"/>
      <c r="BT127" s="13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4"/>
      <c r="T128" s="13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4"/>
      <c r="BT128" s="13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4"/>
      <c r="T129" s="13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4"/>
      <c r="BT129" s="13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4"/>
      <c r="T130" s="13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4"/>
      <c r="BT130" s="13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4"/>
      <c r="T131" s="13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4"/>
      <c r="BT131" s="13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4"/>
      <c r="T132" s="13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4"/>
      <c r="BT132" s="13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4"/>
      <c r="T133" s="13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4"/>
      <c r="BT133" s="13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4"/>
      <c r="T134" s="13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4"/>
      <c r="BT134" s="13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4"/>
      <c r="T135" s="13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4"/>
      <c r="BT135" s="13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4"/>
      <c r="T136" s="13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4"/>
      <c r="BT136" s="13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4"/>
      <c r="T137" s="13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4"/>
      <c r="BT137" s="13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4"/>
      <c r="T138" s="13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4"/>
      <c r="BT138" s="13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4"/>
      <c r="T139" s="13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4"/>
      <c r="BT139" s="13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4"/>
      <c r="T140" s="13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4"/>
      <c r="BT140" s="13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4"/>
      <c r="T141" s="13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4"/>
      <c r="BT141" s="13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4"/>
      <c r="T142" s="13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4"/>
      <c r="BT142" s="13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4"/>
      <c r="T143" s="13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4"/>
      <c r="BT143" s="13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4"/>
      <c r="T144" s="13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4"/>
      <c r="BT144" s="13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4"/>
      <c r="T145" s="13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4"/>
      <c r="BT145" s="13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4"/>
      <c r="T146" s="13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4"/>
      <c r="BT146" s="13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4"/>
      <c r="T147" s="13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4"/>
      <c r="BT147" s="13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4"/>
      <c r="T148" s="13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4"/>
      <c r="BT148" s="13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4"/>
      <c r="T149" s="13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4"/>
      <c r="BT149" s="13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4"/>
      <c r="T150" s="13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4"/>
      <c r="BT150" s="13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4"/>
      <c r="T151" s="13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4"/>
      <c r="BT151" s="13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4"/>
      <c r="T152" s="13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4"/>
      <c r="BT152" s="13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4"/>
      <c r="T153" s="13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4"/>
      <c r="BT153" s="13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4"/>
      <c r="T154" s="13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4"/>
      <c r="BT154" s="13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4"/>
      <c r="T155" s="13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4"/>
      <c r="BT155" s="13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4"/>
      <c r="T156" s="13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4"/>
      <c r="BT156" s="13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4"/>
      <c r="T157" s="13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4"/>
      <c r="BT157" s="13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4"/>
      <c r="T158" s="13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4"/>
      <c r="BT158" s="13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4"/>
      <c r="T159" s="13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4"/>
      <c r="BT159" s="13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4"/>
      <c r="T160" s="13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4"/>
      <c r="BT160" s="13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4"/>
      <c r="T161" s="13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4"/>
      <c r="BT161" s="13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4"/>
      <c r="T162" s="13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4"/>
      <c r="BT162" s="13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4"/>
      <c r="T163" s="13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4"/>
      <c r="BT163" s="13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4"/>
      <c r="T164" s="13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4"/>
      <c r="BT164" s="13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4"/>
      <c r="T165" s="13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4"/>
      <c r="BT165" s="13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4"/>
      <c r="T166" s="13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4"/>
      <c r="BT166" s="13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4"/>
      <c r="T167" s="13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4"/>
      <c r="BT167" s="13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4"/>
      <c r="T168" s="13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4"/>
      <c r="BT168" s="13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4"/>
      <c r="T169" s="13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4"/>
      <c r="BT169" s="13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4"/>
      <c r="T170" s="13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4"/>
      <c r="BT170" s="13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4"/>
      <c r="T171" s="13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4"/>
      <c r="BT171" s="13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4"/>
      <c r="T172" s="13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4"/>
      <c r="BT172" s="13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4"/>
      <c r="T173" s="13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4"/>
      <c r="BT173" s="13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4"/>
      <c r="T174" s="13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4"/>
      <c r="BT174" s="13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4"/>
      <c r="T175" s="13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4"/>
      <c r="BT175" s="13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4"/>
      <c r="T176" s="13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4"/>
      <c r="BT176" s="13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4"/>
      <c r="T177" s="13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4"/>
      <c r="BT177" s="13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4"/>
      <c r="T178" s="13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4"/>
      <c r="BT178" s="13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4"/>
      <c r="T179" s="13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4"/>
      <c r="BT179" s="13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4"/>
      <c r="T180" s="13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4"/>
      <c r="BT180" s="13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4"/>
      <c r="T181" s="13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4"/>
      <c r="BT181" s="13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4"/>
      <c r="T182" s="13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4"/>
      <c r="BT182" s="13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4"/>
      <c r="T183" s="13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4"/>
      <c r="BT183" s="13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4"/>
      <c r="T184" s="13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4"/>
      <c r="BT184" s="13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4"/>
      <c r="T185" s="13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4"/>
      <c r="BT185" s="13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4"/>
      <c r="T186" s="13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4"/>
      <c r="BT186" s="13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4"/>
      <c r="T187" s="13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4"/>
      <c r="BT187" s="13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4"/>
      <c r="T188" s="13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4"/>
      <c r="BT188" s="13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4"/>
      <c r="T189" s="13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4"/>
      <c r="BT189" s="13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4"/>
      <c r="T190" s="13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4"/>
      <c r="BT190" s="13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4"/>
      <c r="T191" s="13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4"/>
      <c r="BT191" s="13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4"/>
      <c r="T192" s="13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4"/>
      <c r="BT192" s="13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4"/>
      <c r="T193" s="13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4"/>
      <c r="BT193" s="13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4"/>
      <c r="T194" s="13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4"/>
      <c r="BT194" s="13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4"/>
      <c r="T195" s="13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4"/>
      <c r="BT195" s="13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4"/>
      <c r="T196" s="13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4"/>
      <c r="BT196" s="13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4"/>
      <c r="T197" s="13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4"/>
      <c r="BT197" s="13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4"/>
      <c r="T198" s="13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4"/>
      <c r="BT198" s="13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4"/>
      <c r="T199" s="13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4"/>
      <c r="BT199" s="13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4"/>
      <c r="T200" s="13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4"/>
      <c r="BT200" s="13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5"/>
      <c r="T201" s="13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5"/>
      <c r="BT201" s="135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18"/>
  <sheetViews>
    <sheetView showGridLines="0" tabSelected="1" workbookViewId="0">
      <selection activeCell="J16" sqref="C4:J16"/>
    </sheetView>
  </sheetViews>
  <sheetFormatPr defaultRowHeight="12" x14ac:dyDescent="0.3"/>
  <cols>
    <col min="3" max="3" width="19.21875" customWidth="1"/>
    <col min="4" max="4" width="10.6640625" style="118" customWidth="1"/>
    <col min="5" max="5" width="10.77734375" customWidth="1"/>
    <col min="6" max="6" width="10.5546875" style="119" customWidth="1"/>
    <col min="7" max="7" width="7.88671875" style="114" customWidth="1"/>
    <col min="8" max="8" width="6.44140625" style="119" customWidth="1"/>
    <col min="9" max="9" width="5.88671875" style="15" customWidth="1"/>
    <col min="10" max="10" width="7.44140625" customWidth="1"/>
    <col min="13" max="13" width="19.6640625" customWidth="1"/>
    <col min="14" max="15" width="9.44140625" customWidth="1"/>
  </cols>
  <sheetData>
    <row r="1" spans="2:15" x14ac:dyDescent="0.3">
      <c r="B1" s="117"/>
    </row>
    <row r="4" spans="2:15" ht="24" x14ac:dyDescent="0.3">
      <c r="B4" s="117"/>
      <c r="C4" s="127" t="s">
        <v>1</v>
      </c>
      <c r="D4" s="113" t="s">
        <v>41</v>
      </c>
      <c r="E4" s="112" t="s">
        <v>26</v>
      </c>
      <c r="F4" s="112" t="s">
        <v>347</v>
      </c>
      <c r="G4" s="126" t="s">
        <v>28</v>
      </c>
      <c r="H4" s="112" t="s">
        <v>58</v>
      </c>
      <c r="I4" s="112" t="s">
        <v>348</v>
      </c>
      <c r="J4" s="113" t="s">
        <v>343</v>
      </c>
      <c r="M4" s="97" t="s">
        <v>1</v>
      </c>
      <c r="N4" s="115" t="s">
        <v>159</v>
      </c>
      <c r="O4" s="115" t="s">
        <v>160</v>
      </c>
    </row>
    <row r="5" spans="2:15" x14ac:dyDescent="0.3">
      <c r="C5" s="15" t="s">
        <v>12</v>
      </c>
      <c r="D5" s="119">
        <v>0.76024349654024703</v>
      </c>
      <c r="E5" s="128">
        <f>SUM(D5)</f>
        <v>0.76024349654024703</v>
      </c>
      <c r="F5" s="114">
        <v>1.0508031701133609</v>
      </c>
      <c r="G5" s="130">
        <v>0.39500000000000002</v>
      </c>
      <c r="H5" s="114" t="s">
        <v>342</v>
      </c>
      <c r="I5" s="15" t="s">
        <v>342</v>
      </c>
      <c r="J5" s="15" t="s">
        <v>342</v>
      </c>
      <c r="M5" s="111" t="s">
        <v>12</v>
      </c>
      <c r="N5" s="114">
        <v>-0.27411650683119987</v>
      </c>
      <c r="O5" s="114">
        <v>0.16510530938094906</v>
      </c>
    </row>
    <row r="6" spans="2:15" x14ac:dyDescent="0.3">
      <c r="C6" s="15" t="s">
        <v>17</v>
      </c>
      <c r="D6" s="119">
        <v>1.0321808343271746</v>
      </c>
      <c r="E6" s="128">
        <v>0.73078665417653665</v>
      </c>
      <c r="F6" s="114">
        <v>1.457877300664242</v>
      </c>
      <c r="G6" s="130">
        <v>0.34699999999999998</v>
      </c>
      <c r="H6" s="119" t="s">
        <v>342</v>
      </c>
      <c r="I6" s="119" t="s">
        <v>342</v>
      </c>
      <c r="J6" s="119" t="s">
        <v>342</v>
      </c>
      <c r="M6" s="111" t="s">
        <v>17</v>
      </c>
      <c r="N6" s="114">
        <v>3.167387877011834E-2</v>
      </c>
      <c r="O6" s="114">
        <v>0.17615188949333238</v>
      </c>
    </row>
    <row r="7" spans="2:15" x14ac:dyDescent="0.3">
      <c r="C7" s="15" t="s">
        <v>20</v>
      </c>
      <c r="D7" s="119">
        <v>0.80957489074294797</v>
      </c>
      <c r="E7" s="128">
        <v>0.54275480560406808</v>
      </c>
      <c r="F7" s="114">
        <v>1.2075646257834693</v>
      </c>
      <c r="G7" s="130">
        <v>0.25900000000000001</v>
      </c>
      <c r="H7" s="119" t="s">
        <v>342</v>
      </c>
      <c r="I7" s="119" t="s">
        <v>342</v>
      </c>
      <c r="J7" s="119" t="s">
        <v>342</v>
      </c>
      <c r="M7" s="111" t="s">
        <v>20</v>
      </c>
      <c r="N7" s="114">
        <v>-0.211245995328425</v>
      </c>
      <c r="O7" s="114">
        <v>0.20397645305706039</v>
      </c>
    </row>
    <row r="8" spans="2:15" x14ac:dyDescent="0.3">
      <c r="C8" s="121" t="s">
        <v>344</v>
      </c>
      <c r="D8" s="122">
        <v>0.85913278567741413</v>
      </c>
      <c r="E8" s="129">
        <v>0.56805150458811637</v>
      </c>
      <c r="F8" s="120">
        <v>1.2993701054643327</v>
      </c>
      <c r="G8" s="131">
        <v>0.32200000000000001</v>
      </c>
      <c r="H8" s="122">
        <v>1.7186379550435746</v>
      </c>
      <c r="I8" s="122">
        <v>0.42345036335952735</v>
      </c>
      <c r="J8" s="132">
        <v>0</v>
      </c>
      <c r="M8" s="111"/>
      <c r="N8" s="114"/>
      <c r="O8" s="114"/>
    </row>
    <row r="9" spans="2:15" x14ac:dyDescent="0.3">
      <c r="C9" s="15" t="s">
        <v>17</v>
      </c>
      <c r="D9" s="119">
        <v>0.74971007428821135</v>
      </c>
      <c r="E9" s="128">
        <v>0.51457770008223069</v>
      </c>
      <c r="F9" s="114">
        <v>1.0922844021406604</v>
      </c>
      <c r="G9" s="130">
        <v>0.43099999999999999</v>
      </c>
      <c r="H9" s="119" t="s">
        <v>342</v>
      </c>
      <c r="I9" s="119" t="s">
        <v>342</v>
      </c>
      <c r="J9" s="119" t="s">
        <v>342</v>
      </c>
      <c r="M9" s="111"/>
      <c r="N9" s="114"/>
      <c r="O9" s="114"/>
    </row>
    <row r="10" spans="2:15" x14ac:dyDescent="0.3">
      <c r="C10" s="15" t="s">
        <v>336</v>
      </c>
      <c r="D10" s="119">
        <v>0.82321869216533006</v>
      </c>
      <c r="E10" s="128">
        <v>0.59315721678176314</v>
      </c>
      <c r="F10" s="114">
        <v>1.1425116241647864</v>
      </c>
      <c r="G10" s="130">
        <v>0.56899999999999995</v>
      </c>
      <c r="H10" s="119" t="s">
        <v>342</v>
      </c>
      <c r="I10" s="119" t="s">
        <v>342</v>
      </c>
      <c r="J10" s="119" t="s">
        <v>342</v>
      </c>
      <c r="M10" s="111"/>
      <c r="N10" s="114"/>
      <c r="O10" s="114"/>
    </row>
    <row r="11" spans="2:15" x14ac:dyDescent="0.3">
      <c r="C11" s="121" t="s">
        <v>345</v>
      </c>
      <c r="D11" s="122">
        <v>0.79066442276603632</v>
      </c>
      <c r="E11" s="129">
        <v>0.43889434270594163</v>
      </c>
      <c r="F11" s="120">
        <v>1.4243752279276904</v>
      </c>
      <c r="G11" s="131">
        <v>0.46400000000000002</v>
      </c>
      <c r="H11" s="122">
        <v>0.13497664160895306</v>
      </c>
      <c r="I11" s="122">
        <v>0.71332688174927505</v>
      </c>
      <c r="J11" s="132">
        <v>0</v>
      </c>
      <c r="M11" s="111"/>
      <c r="N11" s="114"/>
      <c r="O11" s="114"/>
    </row>
    <row r="12" spans="2:15" x14ac:dyDescent="0.3">
      <c r="C12" s="15" t="s">
        <v>338</v>
      </c>
      <c r="D12" s="119">
        <v>0.51058930465081054</v>
      </c>
      <c r="E12" s="114">
        <v>0.36603177493094186</v>
      </c>
      <c r="F12" s="114">
        <v>0.71223717687619892</v>
      </c>
      <c r="G12" s="130">
        <v>0.25900000000000001</v>
      </c>
      <c r="H12" s="119" t="s">
        <v>342</v>
      </c>
      <c r="I12" s="119" t="s">
        <v>342</v>
      </c>
      <c r="J12" s="119" t="s">
        <v>342</v>
      </c>
      <c r="M12" s="96"/>
      <c r="N12" s="98"/>
      <c r="O12" s="98"/>
    </row>
    <row r="13" spans="2:15" x14ac:dyDescent="0.3">
      <c r="C13" s="15" t="s">
        <v>339</v>
      </c>
      <c r="D13" s="119">
        <v>0.42815308087291398</v>
      </c>
      <c r="E13" s="114">
        <v>0.30893059362407876</v>
      </c>
      <c r="F13" s="114">
        <v>0.59338590752858356</v>
      </c>
      <c r="G13" s="130">
        <v>0.26200000000000001</v>
      </c>
      <c r="H13" s="119" t="s">
        <v>342</v>
      </c>
      <c r="I13" s="119" t="s">
        <v>342</v>
      </c>
      <c r="J13" s="119" t="s">
        <v>342</v>
      </c>
    </row>
    <row r="14" spans="2:15" x14ac:dyDescent="0.3">
      <c r="C14" s="15" t="s">
        <v>339</v>
      </c>
      <c r="D14" s="119">
        <v>0.84454409566517186</v>
      </c>
      <c r="E14" s="114">
        <v>0.57804855064838467</v>
      </c>
      <c r="F14" s="114">
        <v>1.2339010775528465</v>
      </c>
      <c r="G14" s="130">
        <v>0.23300000000000001</v>
      </c>
      <c r="H14" s="119" t="s">
        <v>342</v>
      </c>
      <c r="I14" s="119" t="s">
        <v>342</v>
      </c>
      <c r="J14" s="119" t="s">
        <v>342</v>
      </c>
    </row>
    <row r="15" spans="2:15" x14ac:dyDescent="0.3">
      <c r="C15" s="15" t="s">
        <v>340</v>
      </c>
      <c r="D15" s="119">
        <v>0.6246112838738338</v>
      </c>
      <c r="E15" s="114">
        <v>0.43753292163070195</v>
      </c>
      <c r="F15" s="114">
        <v>0.89167977232080053</v>
      </c>
      <c r="G15" s="130">
        <v>0.246</v>
      </c>
      <c r="H15" s="119" t="s">
        <v>342</v>
      </c>
      <c r="I15" s="119" t="s">
        <v>342</v>
      </c>
      <c r="J15" s="119" t="s">
        <v>342</v>
      </c>
    </row>
    <row r="16" spans="2:15" x14ac:dyDescent="0.3">
      <c r="C16" s="121" t="s">
        <v>346</v>
      </c>
      <c r="D16" s="122">
        <v>0.57608761893845239</v>
      </c>
      <c r="E16" s="120">
        <v>0.36375646530473121</v>
      </c>
      <c r="F16" s="120">
        <v>0.91236026393689207</v>
      </c>
      <c r="G16" s="131">
        <v>0.214</v>
      </c>
      <c r="H16" s="122">
        <v>7.7571897139372581</v>
      </c>
      <c r="I16" s="122">
        <v>5.1305670875493502E-2</v>
      </c>
      <c r="J16" s="132">
        <v>0.61319999999999997</v>
      </c>
    </row>
    <row r="17" spans="3:10" x14ac:dyDescent="0.3">
      <c r="C17" s="124" t="s">
        <v>103</v>
      </c>
      <c r="D17" s="125">
        <v>0.75881765377339183</v>
      </c>
      <c r="E17" s="123">
        <v>0.59577707080657516</v>
      </c>
      <c r="F17" s="123">
        <v>0.96647598555382408</v>
      </c>
      <c r="G17" s="123" t="s">
        <v>342</v>
      </c>
      <c r="H17" s="125">
        <v>20.198559181520956</v>
      </c>
      <c r="I17" s="125">
        <v>9.6103800058974301E-3</v>
      </c>
      <c r="J17" s="125">
        <v>0.60393214545129759</v>
      </c>
    </row>
    <row r="18" spans="3:10" x14ac:dyDescent="0.3">
      <c r="C18" t="s">
        <v>342</v>
      </c>
      <c r="D18" s="118" t="s">
        <v>342</v>
      </c>
      <c r="E18" t="s">
        <v>342</v>
      </c>
      <c r="F18" s="114" t="s">
        <v>342</v>
      </c>
      <c r="G18" s="114" t="s">
        <v>342</v>
      </c>
      <c r="H18" s="119" t="s">
        <v>342</v>
      </c>
      <c r="I18" s="15" t="s">
        <v>342</v>
      </c>
      <c r="J18" t="s">
        <v>342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161</v>
      </c>
      <c r="H1" s="87"/>
      <c r="I1" s="88"/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P1" s="85"/>
      <c r="Q1" s="1" t="s">
        <v>167</v>
      </c>
      <c r="R1" s="1" t="s">
        <v>168</v>
      </c>
      <c r="S1" s="1" t="s">
        <v>169</v>
      </c>
      <c r="T1" s="1" t="s">
        <v>170</v>
      </c>
      <c r="V1" s="85"/>
      <c r="W1" s="1" t="s">
        <v>171</v>
      </c>
      <c r="X1" s="1" t="s">
        <v>172</v>
      </c>
      <c r="Y1" s="1" t="s">
        <v>173</v>
      </c>
      <c r="Z1" s="1" t="s">
        <v>174</v>
      </c>
      <c r="AB1" s="85"/>
      <c r="AC1" s="1" t="s">
        <v>150</v>
      </c>
      <c r="AD1" s="1" t="s">
        <v>175</v>
      </c>
      <c r="AE1" s="1" t="s">
        <v>176</v>
      </c>
      <c r="AF1" s="1" t="s">
        <v>177</v>
      </c>
      <c r="AG1" s="1" t="s">
        <v>178</v>
      </c>
      <c r="AI1" s="87"/>
      <c r="AJ1" s="136" t="s">
        <v>179</v>
      </c>
      <c r="AK1" s="136"/>
      <c r="AL1" s="1" t="s">
        <v>31</v>
      </c>
      <c r="AM1" s="1" t="s">
        <v>1</v>
      </c>
      <c r="AN1" s="1" t="s">
        <v>35</v>
      </c>
      <c r="AO1" s="1" t="str">
        <f>Present_Effect_size_measure</f>
        <v>Odds Ratio</v>
      </c>
      <c r="AP1" s="1" t="s">
        <v>39</v>
      </c>
      <c r="AQ1" s="1" t="s">
        <v>42</v>
      </c>
      <c r="AR1" s="1" t="str">
        <f>IF(Present_Effect_size_measure="Risk Difference","Standard error","Standard error log")</f>
        <v>Standard error log</v>
      </c>
      <c r="AS1" s="1" t="s">
        <v>26</v>
      </c>
      <c r="AT1" s="1" t="s">
        <v>27</v>
      </c>
      <c r="AU1" s="1" t="s">
        <v>28</v>
      </c>
      <c r="AW1" s="1" t="str">
        <f>Present_Effect_size_measure</f>
        <v>Odds Ratio</v>
      </c>
      <c r="AX1" s="1" t="s">
        <v>180</v>
      </c>
      <c r="AY1" s="1" t="s">
        <v>181</v>
      </c>
      <c r="BA1" s="136" t="s">
        <v>182</v>
      </c>
      <c r="BB1" s="136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94</v>
      </c>
      <c r="BH1" s="1" t="s">
        <v>39</v>
      </c>
      <c r="BI1" s="1" t="s">
        <v>42</v>
      </c>
      <c r="BJ1" s="1" t="s">
        <v>102</v>
      </c>
      <c r="BL1" s="136" t="s">
        <v>49</v>
      </c>
      <c r="BM1" s="136"/>
      <c r="BO1" s="85"/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39</v>
      </c>
      <c r="BW1" s="1" t="s">
        <v>189</v>
      </c>
      <c r="BX1" s="1" t="s">
        <v>42</v>
      </c>
      <c r="BY1" s="1" t="s">
        <v>102</v>
      </c>
      <c r="BZ1" s="11"/>
      <c r="CA1" s="136" t="s">
        <v>49</v>
      </c>
      <c r="CB1" s="136"/>
      <c r="CD1" s="85"/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39</v>
      </c>
      <c r="CJ1" s="1" t="s">
        <v>42</v>
      </c>
      <c r="CK1" s="1" t="s">
        <v>102</v>
      </c>
      <c r="CM1" s="136" t="s">
        <v>49</v>
      </c>
      <c r="CN1" s="136"/>
      <c r="CP1" s="85"/>
      <c r="CQ1" s="1" t="s">
        <v>194</v>
      </c>
      <c r="CS1" s="136" t="s">
        <v>41</v>
      </c>
      <c r="CT1" s="136"/>
      <c r="CU1" s="136"/>
      <c r="CV1" s="136"/>
      <c r="CX1" s="87"/>
      <c r="CY1" s="1" t="s">
        <v>195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39</v>
      </c>
      <c r="DE1" s="1" t="s">
        <v>196</v>
      </c>
      <c r="DF1" s="1" t="s">
        <v>197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198</v>
      </c>
      <c r="DI1" s="1" t="s">
        <v>199</v>
      </c>
      <c r="DJ1" s="1" t="s">
        <v>102</v>
      </c>
      <c r="DL1" s="1" t="str">
        <f>Subgroup_effect_size_measure</f>
        <v>Odds Ratio</v>
      </c>
      <c r="DM1" s="1" t="s">
        <v>180</v>
      </c>
      <c r="DN1" s="1" t="s">
        <v>181</v>
      </c>
      <c r="DP1" s="1" t="s">
        <v>200</v>
      </c>
      <c r="DQ1" s="1" t="s">
        <v>10</v>
      </c>
      <c r="DR1" s="1" t="s">
        <v>25</v>
      </c>
      <c r="DS1" s="1" t="s">
        <v>201</v>
      </c>
      <c r="DT1" s="1" t="s">
        <v>58</v>
      </c>
      <c r="DU1" s="1" t="s">
        <v>67</v>
      </c>
      <c r="DV1" s="1" t="s">
        <v>68</v>
      </c>
      <c r="DW1" s="1" t="s">
        <v>202</v>
      </c>
      <c r="DX1" s="1" t="s">
        <v>69</v>
      </c>
      <c r="DY1" s="1" t="s">
        <v>70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203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204</v>
      </c>
      <c r="EI1" s="1" t="s">
        <v>205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206</v>
      </c>
      <c r="EO1" s="1" t="s">
        <v>207</v>
      </c>
      <c r="EP1" s="1" t="str">
        <f>IF(Within_subgroup_weighting=EX38,"Sum of squares (Q)","Sum of squares (Q*)")</f>
        <v>Sum of squares (Q*)</v>
      </c>
      <c r="EQ1" s="1" t="s">
        <v>182</v>
      </c>
      <c r="ER1" s="18" t="s">
        <v>208</v>
      </c>
      <c r="ES1" s="1" t="s">
        <v>39</v>
      </c>
      <c r="ET1" s="1" t="s">
        <v>209</v>
      </c>
      <c r="EU1" s="1" t="s">
        <v>210</v>
      </c>
      <c r="EV1" s="1" t="s">
        <v>102</v>
      </c>
      <c r="EX1" s="1" t="s">
        <v>103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211</v>
      </c>
      <c r="FE1" s="1" t="s">
        <v>39</v>
      </c>
      <c r="FF1" s="1" t="s">
        <v>212</v>
      </c>
      <c r="FG1" s="1" t="s">
        <v>213</v>
      </c>
      <c r="FH1" s="1" t="s">
        <v>214</v>
      </c>
      <c r="FJ1" s="1" t="s">
        <v>28</v>
      </c>
      <c r="FK1" s="1" t="s">
        <v>215</v>
      </c>
      <c r="FL1" s="1" t="s">
        <v>213</v>
      </c>
      <c r="FM1" s="1" t="s">
        <v>216</v>
      </c>
      <c r="FO1" s="1" t="s">
        <v>147</v>
      </c>
      <c r="FP1" s="1"/>
      <c r="FR1" s="87"/>
      <c r="FS1" s="88"/>
      <c r="FT1" s="1" t="s">
        <v>39</v>
      </c>
      <c r="FU1" s="1" t="s">
        <v>28</v>
      </c>
      <c r="FV1" s="1" t="s">
        <v>217</v>
      </c>
      <c r="FW1" s="1" t="s">
        <v>218</v>
      </c>
      <c r="FX1" s="1" t="s">
        <v>219</v>
      </c>
      <c r="FY1" s="1" t="s">
        <v>52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36" t="s">
        <v>224</v>
      </c>
      <c r="GH1" s="136"/>
      <c r="GI1" s="136"/>
      <c r="GK1" s="85"/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V1" s="136" t="s">
        <v>234</v>
      </c>
      <c r="GW1" s="136"/>
      <c r="GY1" s="1" t="s">
        <v>235</v>
      </c>
      <c r="GZ1" s="1" t="s">
        <v>236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237</v>
      </c>
      <c r="HD1" s="1" t="s">
        <v>28</v>
      </c>
      <c r="HE1" s="1" t="s">
        <v>102</v>
      </c>
      <c r="HG1" s="1" t="s">
        <v>238</v>
      </c>
      <c r="HH1" s="1" t="str">
        <f>HA1</f>
        <v>Log Odds Ratio</v>
      </c>
      <c r="HI1" s="1" t="str">
        <f>HB1</f>
        <v>SE Log Odds Ratio</v>
      </c>
      <c r="HK1" s="85"/>
      <c r="HL1" s="1" t="s">
        <v>239</v>
      </c>
      <c r="HM1" s="1" t="s">
        <v>240</v>
      </c>
      <c r="HO1" s="85"/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W1" s="85"/>
      <c r="HX1" s="1" t="s">
        <v>247</v>
      </c>
      <c r="HY1" s="1" t="s">
        <v>248</v>
      </c>
      <c r="HZ1" s="1" t="s">
        <v>249</v>
      </c>
      <c r="IB1" s="85"/>
      <c r="IC1" s="1" t="s">
        <v>110</v>
      </c>
      <c r="ID1" s="1" t="s">
        <v>109</v>
      </c>
      <c r="IE1" s="1" t="s">
        <v>39</v>
      </c>
      <c r="IF1" s="1" t="s">
        <v>250</v>
      </c>
      <c r="IH1" s="136" t="s">
        <v>251</v>
      </c>
      <c r="II1" s="136"/>
      <c r="IK1" s="85"/>
      <c r="IL1" s="1" t="s">
        <v>252</v>
      </c>
      <c r="IM1" s="1" t="s">
        <v>253</v>
      </c>
      <c r="IN1" s="1" t="s">
        <v>239</v>
      </c>
      <c r="IO1" s="1" t="s">
        <v>240</v>
      </c>
      <c r="IQ1" s="136" t="s">
        <v>254</v>
      </c>
      <c r="IR1" s="136"/>
      <c r="IS1" s="136"/>
      <c r="IU1" s="85"/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240</v>
      </c>
      <c r="JC1" s="136" t="s">
        <v>254</v>
      </c>
      <c r="JD1" s="136"/>
      <c r="JE1" s="136"/>
      <c r="JG1" s="85"/>
      <c r="JH1" s="1" t="s">
        <v>112</v>
      </c>
      <c r="JI1" s="1" t="s">
        <v>98</v>
      </c>
      <c r="JJ1" s="1" t="s">
        <v>260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82</v>
      </c>
      <c r="C2" s="6">
        <f>IF(AND(Include_study?="Yes",Sufficient_data="Yes"),IF(Input!b_&lt;&gt;"",Input!b_,Input!n1_-Input!a_),"")</f>
        <v>3262</v>
      </c>
      <c r="D2" s="6">
        <f>IF(AND(Include_study?="Yes",Sufficient_data="Yes"),IF(Input!c_&lt;&gt;"",Input!c_,Input!n2_-Input!d_),"")</f>
        <v>70</v>
      </c>
      <c r="E2" s="6">
        <f>IF(AND(Include_study?="Yes",Sufficient_data="Yes"),IF(Input!d_&lt;&gt;"",Input!d_,Input!n2_-Input!c_),"")</f>
        <v>2117</v>
      </c>
      <c r="F2" s="35" t="str">
        <f t="shared" ref="F2:F33" si="1">IF(AND(Include_study?="Yes",Sufficient_data="Yes"),IF(OR(a_=0,b_=0,c_=0,d_=0),"Yes","No"),"")</f>
        <v>No</v>
      </c>
      <c r="H2" s="153" t="s">
        <v>261</v>
      </c>
      <c r="I2" s="140" t="s">
        <v>41</v>
      </c>
      <c r="J2" s="77">
        <f t="shared" ref="J2:J65" si="2">IF(AND(Include_study?="Yes",Sufficient_data="Yes"),IF(Add_0_5="Yes",((a_+0.5)*(d_+0.5))/((b_+0.5)*(c_+0.5)),(a_*d_)/(b_*c_)),"")</f>
        <v>0.76024349654024703</v>
      </c>
      <c r="K2" s="74">
        <f t="shared" ref="K2:K33" si="3">IF(AND(Include_study?="Yes",Sufficient_data="Yes"),LN(OddsRatio),"")</f>
        <v>-0.27411650683119987</v>
      </c>
      <c r="L2" s="74">
        <f t="shared" ref="L2:L33" si="4">IF(AND(Include_study?="Yes",Sufficient_data="Yes"),SQRT(IF(Add_0_5="Yes",1/(a_+0.5)+1/(b_+0.5)+1/(c_+0.5)+1/(d_+0.5),1/a_+1/b_+1/c_+1/d_)),"")</f>
        <v>0.16510530938094906</v>
      </c>
      <c r="M2" s="74">
        <f t="shared" ref="M2:M33" si="5">IF(AND(Include_study?="Yes",Sufficient_data="Yes"),EXP(LogOddsRatio-ABS(TINV((1-Confidence_level),Number_of_subjects-2))*SELogOddsRatio),"")</f>
        <v>0.55002704889284826</v>
      </c>
      <c r="N2" s="34">
        <f t="shared" ref="N2:N33" si="6">IF(AND(Include_study?="Yes",Sufficient_data="Yes"),EXP(LogOddsRatio+ABS(TINV((1-Confidence_level),Number_of_subjects-2))*SELogOddsRatio),"")</f>
        <v>1.0508031835800424</v>
      </c>
      <c r="P2" s="134" t="s">
        <v>262</v>
      </c>
      <c r="Q2" s="77">
        <f t="shared" ref="Q2:Q33" si="7">IF(AND(Include_study?="Yes",Sufficient_data="Yes"),EXP(LogPetoOddsRatio),"")</f>
        <v>0.75575305757964839</v>
      </c>
      <c r="R2" s="74">
        <f t="shared" ref="R2:R33" si="8">IF(AND(Include_study?="Yes",Sufficient_data="Yes"),SQRT(VarLogPetoOddsRatio),"")</f>
        <v>0.16820392746467216</v>
      </c>
      <c r="S2" s="74">
        <f t="shared" ref="S2:S33" si="9">IF(AND(Include_study?="Yes",Sufficient_data="Yes"),EXP(LogPetoOddsRatio-ABS(TINV((1-Confidence_level),Number_of_subjects-2))*SELogPetoOddsRatio),"")</f>
        <v>0.54346692788593876</v>
      </c>
      <c r="T2" s="34">
        <f t="shared" ref="T2:T33" si="10">IF(AND(Include_study?="Yes",Sufficient_data="Yes"),EXP(LogPetoOddsRatio+ABS(TINV((1-Confidence_level),Number_of_subjects-2))*SELogPetoOddsRatio),"")</f>
        <v>1.0509612540045146</v>
      </c>
      <c r="V2" s="134" t="s">
        <v>171</v>
      </c>
      <c r="W2" s="77">
        <f t="shared" ref="W2:W33" si="11">IF(AND(Include_study?="Yes",Sufficient_data="Yes"),a_/(a_+b_)-c_/(c_+d_),"")</f>
        <v>-7.4857848574547727E-3</v>
      </c>
      <c r="X2" s="74">
        <f t="shared" ref="X2:X33" si="12">IF(AND(Include_study?="Yes",Sufficient_data="Yes"),SQRT(a_*b_/(a_+b_)^3+c_*d_/(c_+d_)^3),"")</f>
        <v>4.6173588943995243E-3</v>
      </c>
      <c r="Y2" s="74">
        <f t="shared" ref="Y2:Y33" si="13">IF(AND(Include_study?="Yes",Sufficient_data="Yes"),Risk_Difference-SERiskDifference*ABS(TINV((1-Confidence_level),Number_of_subjects-2)),"")</f>
        <v>-1.6537623543307609E-2</v>
      </c>
      <c r="Z2" s="34">
        <f t="shared" ref="Z2:Z33" si="14">IF(AND(Include_study?="Yes",Sufficient_data="Yes"),Risk_Difference+SERiskDifference*ABS(TINV((1-Confidence_level),Number_of_subjects-2)),"")</f>
        <v>1.566053828398065E-3</v>
      </c>
      <c r="AB2" s="134" t="s">
        <v>150</v>
      </c>
      <c r="AC2" s="77">
        <f t="shared" ref="AC2:AC33" si="15">IF(AND(Include_study?="Yes",Sufficient_data="Yes"),IF(Add_0_5="Yes",((a_+0.5)/(a_+0.5+b_+0.5))/((c_+0.5)/(c_+0.5+d_+0.5)),(a_/(a_+b_))/(c_/(c_+d_))),"")</f>
        <v>0.76612269309637726</v>
      </c>
      <c r="AD2" s="74">
        <f t="shared" ref="AD2:AD33" si="16">IF(AND(Include_study?="Yes",Sufficient_data="Yes"),LN(Risk_Ratio),"")</f>
        <v>-0.26641294831293033</v>
      </c>
      <c r="AE2" s="74">
        <f t="shared" ref="AE2:AE33" si="17">IF(AND(Include_study?="Yes",Sufficient_data="Yes"),IF(Add_0_5="Yes",SQRT(1/(a_+0.5)-1/(a_+0.5+b_+0.5)+1/(c_+0.5)-1/(c_+0.5+d_+0.5)),SQRT(1/a_-1/(a_+b_)+1/c_-1/(c_+d_))),"")</f>
        <v>0.16038873340701093</v>
      </c>
      <c r="AF2" s="74">
        <f t="shared" ref="AF2:AF33" si="18">IF(AND(Include_study?="Yes",Sufficient_data="Yes"),EXP(LN(Risk_Ratio)-ABS(TINV((1-Confidence_level),Number_of_subjects-2))*SELogRiskRatio),"")</f>
        <v>0.55942941276121994</v>
      </c>
      <c r="AG2" s="34">
        <f t="shared" ref="AG2:AG33" si="19">IF(AND(Include_study?="Yes",Sufficient_data="Yes"),EXP(LN(Risk_Ratio)+ABS(TINV((1-Confidence_level),Number_of_subjects-2))*SELogRiskRatio),"")</f>
        <v>1.0491832704687802</v>
      </c>
      <c r="AI2" s="153" t="s">
        <v>263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(B)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0.76024349654024703</v>
      </c>
      <c r="AP2" s="3">
        <f t="shared" ref="AP2:AP33" si="23">IF(AND(Include_study?="Yes",Sufficient_data="Yes"),IF(Weighting_method="Inverse variance",Weightf,IF(Weighting_method="Mantel-Haenszel",Weightf_MH,Weightf_Peto)),"")</f>
        <v>36.684104450389654</v>
      </c>
      <c r="AQ2" s="3">
        <f t="shared" ref="AQ2:AQ33" si="24">IF(AND(Include_study?="Yes",Sufficient_data="Yes"),IF(Weighting_method="Inverse variance",Weight,IF(Weighting_method="Mantel-Haenszel",Weight_MH,Weight_Peto)),"")</f>
        <v>13.200940500423448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0.16510530938094906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0.55002704889284826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1.0508031835800424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0.1182382046366353</v>
      </c>
      <c r="AW2" s="43">
        <f t="shared" ref="AW2:AW33" si="29">IF(Effect_size_lookup&lt;&gt;"",Effect_size_lookup,NA())</f>
        <v>0.76024349654024703</v>
      </c>
      <c r="AX2" s="3">
        <f t="shared" ref="AX2:AX33" si="30">IF(Effect_size_lookup&lt;&gt;"",Effect_size_lookup-AS2,NA())</f>
        <v>0.21021644764739877</v>
      </c>
      <c r="AY2" s="34">
        <f t="shared" ref="AY2:AY33" si="31">IF(Effect_size_lookup&lt;&gt;"",AT2-Effect_size_lookup,NA())</f>
        <v>0.2905596870397954</v>
      </c>
      <c r="BA2" s="2" t="s">
        <v>264</v>
      </c>
      <c r="BB2" s="3">
        <f>'Forest Plot'!$B$16</f>
        <v>0.70482205290029998</v>
      </c>
      <c r="BD2" s="153" t="s">
        <v>265</v>
      </c>
      <c r="BE2" s="140" t="s">
        <v>266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-0.27411650683119987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0.16510530938094906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36.684104450389654</v>
      </c>
      <c r="BI2" s="74">
        <f>IF(Weightf&lt;&gt;"",1/(IF(Model_effect_size_measure="Odds Ratio",SELogOddsRatio,IF(Model_effect_size_measure="Risk Ratio",SELogRiskRatio,SERiskDifference))^2+T2_),"")</f>
        <v>13.200940500423448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7.5693408432352616E-2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-0.34980991526355248</v>
      </c>
      <c r="BO2" s="134" t="s">
        <v>267</v>
      </c>
      <c r="BP2" s="3">
        <f t="shared" ref="BP2:BP33" si="36">IF(AND(Sufficient_data="Yes",Include_study?="Yes"),IF(Add_0_5="Yes",(a_+0.5)*(d_+0.5)/(Number_of_subjects+2),a_*d_/Number_of_subjects),"")</f>
        <v>31.385644548906164</v>
      </c>
      <c r="BQ2" s="3">
        <f t="shared" ref="BQ2:BQ33" si="37">IF(AND(Sufficient_data="Yes",Include_study?="Yes"),IF(Add_0_5="Yes",(b_+0.5)*(c_+0.5)/(Number_of_subjects+2),b_*c_/Number_of_subjects),"")</f>
        <v>41.283673838365573</v>
      </c>
      <c r="BR2" s="3">
        <f t="shared" ref="BR2:BR33" si="38">IF(AND(Sufficient_data="Yes",Include_study?="Yes"),IF(Add_0_5="Yes",(a_+d_+1)*(a_+0.5)*(d_+0.5)/(Number_of_subjects+2)^2,(a_+d_)*a_*d_/Number_of_subjects^2),"")</f>
        <v>12.478219555784607</v>
      </c>
      <c r="BS2" s="3">
        <f>IF(AND(Sufficient_data="Yes",Include_study?="Yes"),IF(Add_0_5="Yes",(a_+d_+1)*(ab_+0.5)*(c_+0.5)/(Number_of_subjects+2)^2,(a_+d_)*b_*c_/Number_of_subjects^2),"")</f>
        <v>16.413451233152397</v>
      </c>
      <c r="BT2" s="3">
        <f t="shared" ref="BT2:BT33" si="39">IF(AND(Sufficient_data="Yes",Include_study?="Yes"),IF(Add_0_5="Yes",(b_+c_+1)*(a_+0.5)*(d_+0.5)/(Number_of_subjects+2)^2,(b_+c_)*a_*d_/Number_of_subjects^2),"")</f>
        <v>18.907424993121559</v>
      </c>
      <c r="BU2" s="3">
        <f t="shared" ref="BU2:BU33" si="40">IF(AND(Sufficient_data="Yes",Include_study?="Yes"),IF(Add_0_5="Yes",(b_+c_+1)*(b_+0.5)*(c_+0.5)/(Number_of_subjects+2)^2,(b_+c_)*b_*c_/Number_of_subjects^2),"")</f>
        <v>24.870222605213179</v>
      </c>
      <c r="BV2" s="3">
        <f t="shared" ref="BV2:BV33" si="41">IF(AND(Sufficient_data="Yes",Include_study?="Yes"),IF(Add_0_5="Yes",(b_+0.5)*(c_+0.5)/(Number_of_subjects+2),b_*c_/Number_of_subjects),"")</f>
        <v>41.283673838365573</v>
      </c>
      <c r="BW2" s="3">
        <f t="shared" ref="BW2:BW33" si="42">IF(AND(Sufficient_data="Yes",Include_study?="Yes"),1/(SELogOddsRatio^2)*(LogOddsRatio-LN(SUMPRODUCT(Weightf_MH,OddsRatio)/SUM(Weightf_MH)))^2,"")</f>
        <v>0.22798127073365823</v>
      </c>
      <c r="BX2" s="74">
        <f t="shared" ref="BX2:BX33" si="43">IF(Weithf_MH&lt;&gt;"",1/(SELogOddsRatio^2+T2_MH),"")</f>
        <v>14.700709920094962</v>
      </c>
      <c r="BY2" s="34">
        <f t="shared" ref="BY2:BY33" si="44">IF(Weithf_MH&lt;&gt;"",LogOddsRatio-lnCES_OddsRatio_MH,"")</f>
        <v>7.6292838079480063E-2</v>
      </c>
      <c r="CA2" s="3" t="s">
        <v>268</v>
      </c>
      <c r="CB2" s="3">
        <f>LN(CES_OddsRatio_MH)</f>
        <v>-0.35040934491067993</v>
      </c>
      <c r="CD2" s="134" t="s">
        <v>269</v>
      </c>
      <c r="CE2" s="77">
        <f t="shared" ref="CE2:CE33" si="45">IF(AND(Include_study?="Yes",Sufficient_data="Yes"),((a_+b_)*(a_+c_))/(Number_of_subjects),"")</f>
        <v>91.898029289459416</v>
      </c>
      <c r="CF2" s="74">
        <f t="shared" ref="CF2:CF33" si="46">IF(AND(Include_study?="Yes",Sufficient_data="Yes"),((a_+b_)*(c_+d_)*(a_+c_)*(b_+d_))/((Number_of_subjects)^2*(Number_of_subjects-1)),"")</f>
        <v>35.344979636769665</v>
      </c>
      <c r="CG2" s="74">
        <f t="shared" ref="CG2:CG33" si="47">IF(AND(Include_study?="Yes",Sufficient_data="Yes"),(a_-Expected)/VarExpected,"")</f>
        <v>-0.28004059957534722</v>
      </c>
      <c r="CH2" s="74">
        <f t="shared" ref="CH2:CH33" si="48">IF(AND(Include_study?="Yes",Sufficient_data="Yes"),1/VarExpected,"")</f>
        <v>2.8292561214540692E-2</v>
      </c>
      <c r="CI2" s="74">
        <f t="shared" ref="CI2:CI33" si="49">IF(AND(Sufficient_data="Yes",Include_study?="Yes"),VarExpected,"")</f>
        <v>35.344979636769665</v>
      </c>
      <c r="CJ2" s="74">
        <f t="shared" ref="CJ2:CJ65" si="50">IF(Weightf_Peto&lt;&gt;"",1/(VarLogPetoOddsRatio+T2_Peto),"")</f>
        <v>11.596939725168943</v>
      </c>
      <c r="CK2" s="34">
        <f t="shared" ref="CK2:CK33" si="51">IF(Weightf_Peto&lt;&gt;"",LogPetoOddsRatio-lnCES_PetoOddsRatio,"")</f>
        <v>7.7414641476558743E-2</v>
      </c>
      <c r="CM2" s="3" t="s">
        <v>270</v>
      </c>
      <c r="CN2" s="3">
        <f>IF(Meta_analysis_model="Fixed effect model",SUMPRODUCT(Weightf_Peto,LogPetoOddsRatio)/SUM(Weightf_Peto),SUMPRODUCT(Weight_Peto,LogPetoOddsRatio)/SUM(Weight_Peto))</f>
        <v>-0.35745524105190596</v>
      </c>
      <c r="CP2" s="134" t="s">
        <v>271</v>
      </c>
      <c r="CQ2" s="51">
        <f t="shared" ref="CQ2:CQ33" si="52">IF(AND(Sufficient_data="Yes",Include_study?="Yes"),c_/(c_+d_),"")</f>
        <v>3.2007315957933241E-2</v>
      </c>
      <c r="CS2" s="2"/>
      <c r="CT2" s="2" t="s">
        <v>38</v>
      </c>
      <c r="CU2" s="2" t="s">
        <v>62</v>
      </c>
      <c r="CV2" s="2" t="s">
        <v>63</v>
      </c>
      <c r="CX2" s="153" t="s">
        <v>272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Mustaqeem et al. (B)</v>
      </c>
      <c r="DA2" s="78" t="str">
        <f t="shared" ref="DA2:DA33" si="55">IF(AND(Include_study?="Yes",Sufficient_data="Yes",Subgroup&lt;&gt;""),Subgroup,"")</f>
        <v>Deep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-0.27411650683119987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0.16510530938094906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36.684104450389654</v>
      </c>
      <c r="DE2" s="74">
        <f t="shared" ref="DE2:DE33" si="59">IF(AND(Include_study?="Yes",Sufficient_data="Yes",Subgroup&lt;&gt;""),1/(DC2^2+IF(Within_subgroup_weighting=EX$42,0,INDEX(DQ:DX,MATCH(Subgroup,DQ:DQ,0),8))),"")</f>
        <v>36.684104450389654</v>
      </c>
      <c r="DF2" s="79">
        <f t="shared" ref="DF2:DF33" si="60">IF(AND(Include_study?="Yes",Sufficient_data="Yes",Subgroup_valid_options="Yes",Subgroup&lt;&gt;""),DE2/SUMIF(Subgroup,Subgroup,DE:DE),"")</f>
        <v>0.39468071320185211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0.76024349654024703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0.55002705594177925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1.0508031701133609</v>
      </c>
      <c r="DJ2" s="34">
        <f t="shared" ref="DJ2:DJ33" si="64">IF(AND(Include_study?="Yes",Sufficient_data="Yes",Subgroup&lt;&gt;""),Subgroup_effect_size-VLOOKUP(DA:DA,DQ:DZ,10,FALSE),"")</f>
        <v>-0.12228471958343934</v>
      </c>
      <c r="DL2" s="43">
        <f t="shared" ref="DL2:DL33" si="65">IF(Subgroup_effect_size&lt;&gt;"",IF(Subgroup_effect_size_measure="Risk Difference",Subgroup_effect_size,DG:DG),NA())</f>
        <v>0.76024349654024703</v>
      </c>
      <c r="DM2" s="74">
        <f>IF(AND(Include_study?="Yes",Sufficient_data="Yes",Subgroup&lt;&gt;""),IF(Subgroup_effect_size_measure="Risk Difference",DB2-DH2,DG2-DH2),NA())</f>
        <v>0.21021644059846778</v>
      </c>
      <c r="DN2" s="34">
        <f>IF(AND(Include_study?="Yes",Sufficient_data="Yes",Subgroup&lt;&gt;""),IF(Subgroup_effect_size_measure="Risk Difference",DI2-DB2,DI2-DG2),NA())</f>
        <v>0.29055967357311385</v>
      </c>
      <c r="DP2" s="47">
        <f>IF(DQ2&lt;&gt;"",SUMIFS(DS:DS,DS:DS,"&gt;="&amp;0,DQ:DQ,"&lt;"&amp;DQ2)+DS2+DR2,"")</f>
        <v>4</v>
      </c>
      <c r="DQ2" s="17" t="str">
        <f>IF(AND(Sufficient_data="Yes",Subgroup&lt;&gt;""),Subgroup,"")</f>
        <v>Deep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3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1.7186379550435746</v>
      </c>
      <c r="DU2" s="10">
        <f>IF(DT2&lt;&gt;"",CHIDIST(DT2,DS2-1),"")</f>
        <v>0.42345036335952735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61.078416779912956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-0.15183178724776053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9.6152635598941258E-2</v>
      </c>
      <c r="EB2" s="6">
        <f t="shared" ref="EB2:EB33" si="72">IF(DT2&lt;&gt;"",SUMIFS(Number_of_subjects,Subgroup,DQ2,Include_study?,"Yes",Sufficient_data,"Yes"),"")</f>
        <v>20397</v>
      </c>
      <c r="EC2" s="3">
        <f>IF(DT2&lt;&gt;"",DZ2-ABS(TINV((1-Subgroup_confidence_level),DS2-1))*EA2,"")</f>
        <v>-0.56554318728015041</v>
      </c>
      <c r="ED2" s="3">
        <f>IF(DT2&lt;&gt;"",DZ2+ABS(TINV((1-Subgroup_confidence_level),DS2-1))*EA2,"")</f>
        <v>0.26187961278462935</v>
      </c>
      <c r="EE2" s="3">
        <f>IF(AND(EE$1&lt;&gt;"",DT2&lt;&gt;""),EXP(DZ2),"")</f>
        <v>0.85913278567741413</v>
      </c>
      <c r="EF2" s="3">
        <f>IF(AND(EF$1&lt;&gt;"",DT2&lt;&gt;""),EXP(EC2),"")</f>
        <v>0.56805150458811637</v>
      </c>
      <c r="EG2" s="3">
        <f>IF(AND(EG$1&lt;&gt;"",DT2&lt;&gt;""),EXP(ED2),"")</f>
        <v>1.2993701054643327</v>
      </c>
      <c r="EH2" s="3">
        <f>IF(AND(EE$1&lt;&gt;"",DT2&lt;&gt;""),EE2-EF2,IF(DT2&lt;&gt;"",DZ2-EC2,""))</f>
        <v>0.29108128108929776</v>
      </c>
      <c r="EI2" s="3">
        <f>IF(AND(EE$1&lt;&gt;"",DT2&lt;&gt;""),EG2-EE2,IF(DT2&lt;&gt;"",ED2-DZ2,""))</f>
        <v>0.4402373197869186</v>
      </c>
      <c r="EJ2" s="3">
        <f>IF(DT2&lt;&gt;"",DZ2-ABS(TINV((1-Subgroup_confidence_level),DS2-1))*SQRT(DX2+EA2^2),"")</f>
        <v>-0.56554318728015041</v>
      </c>
      <c r="EK2" s="3">
        <f t="shared" ref="EK2:EK33" si="73">IF(DT2&lt;&gt;"",DZ2+ABS(TINV((1-Subgroup_confidence_level),DS2-1))*SQRT(DX2+EA2^2),"")</f>
        <v>0.26187961278462935</v>
      </c>
      <c r="EL2" s="3">
        <f>IF(AND(EL$1&lt;&gt;"",DT2&lt;&gt;""),EXP(EJ2),"")</f>
        <v>0.56805150458811637</v>
      </c>
      <c r="EM2" s="3">
        <f>IF(AND(EM$1&lt;&gt;"",DT2&lt;&gt;""),EXP(EK2),"")</f>
        <v>1.2993701054643327</v>
      </c>
      <c r="EN2" s="3">
        <f>IF(AND(EE$1&lt;&gt;"",DT2&lt;&gt;""),EE2-EL2,IF(DT2&lt;&gt;"",DZ2-EJ2,""))</f>
        <v>0.29108128108929776</v>
      </c>
      <c r="EO2" s="3">
        <f>IF(AND(EE$1&lt;&gt;"",DT2&lt;&gt;""),EM2-EE2,IF(DT2&lt;&gt;"",EK2-DZ2,""))</f>
        <v>0.4402373197869186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1.7186379550435746</v>
      </c>
      <c r="EQ2" s="3">
        <f>IF(DT2&lt;&gt;"",IF(EE2&lt;&gt;"",EE2,DZ2),NA())</f>
        <v>0.85913278567741413</v>
      </c>
      <c r="ER2" s="9">
        <f>IF(DT2&lt;&gt;"",(ET2/SUM(ET:ET)),"")</f>
        <v>0.32178424384836735</v>
      </c>
      <c r="ES2" s="3">
        <f>IF(DT2&lt;&gt;"",1/(EA2^2),"")</f>
        <v>108.16272347069679</v>
      </c>
      <c r="ET2" s="3">
        <f>IF(EA2&lt;&gt;"",1/(EA2^2+IF(Between_subgroup_weighting=EX$38,0,EY$35)),"")</f>
        <v>43.164681773830438</v>
      </c>
      <c r="EU2" s="74">
        <f t="shared" ref="EU2:EU33" si="75">IF(ES2&lt;&gt;"",IF(Subgroup_effect_size_measure="Risk Difference",(EY$9-DZ2)^2*ET2,(EY$2-DZ2)^2*ET2),"")</f>
        <v>0.66543534140135485</v>
      </c>
      <c r="EV2" s="34">
        <f t="shared" ref="EV2:EV33" si="76">IF(DT2&lt;&gt;"",IF(Subgroup_effect_size_measure="Risk Difference",EE:EE-EY$9,DZ:DZ-EY$2),"")</f>
        <v>0.12416198856013555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-0.27599377580789608</v>
      </c>
      <c r="FA2" s="153" t="s">
        <v>273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103</v>
      </c>
      <c r="FP2" s="3" t="e">
        <f>SUMPRODUCT('Moderator Analysis'!F:F,Calculations!FE:FE)/SUM(Calculations!FE:FE)</f>
        <v>#DIV/0!</v>
      </c>
      <c r="FR2" s="153" t="s">
        <v>274</v>
      </c>
      <c r="FS2" s="140" t="s">
        <v>116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36.684104450389654</v>
      </c>
      <c r="FU2" s="74">
        <f>IF(AND(Include_study?="Yes",Sufficient_data="Yes"),1/('Publication Bias Analysis'!F:F^2+IF(Additional_model="Fixed effect",0,Calculations!GH$12)),"")</f>
        <v>36.684104450389654</v>
      </c>
      <c r="FV2" s="74">
        <f>IF(AND(Include_study?="Yes",Sufficient_data="Yes"),1/('Publication Bias Analysis'!F:F^2+IF(Additional_model="Fixed effect",0,'Publication Bias Analysis'!L$32)),"")</f>
        <v>36.684104450389654</v>
      </c>
      <c r="FW2" s="74">
        <f>IF(AND(Include_study?="Yes",Sufficient_data="Yes"),'Publication Bias Analysis'!E:E-'Publication Bias Analysis'!I$37,"")</f>
        <v>8.406222192328161E-2</v>
      </c>
      <c r="FX2" s="74">
        <f>IF(AND(Include_study?="Yes",Sufficient_data="Yes"),IF(Additional_model="Fixed effect",1/'Publication Bias Analysis'!F:F,1/SQRT('Publication Bias Analysis'!F:F^2+GH$12)),"")</f>
        <v>6.0567404146446346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-1.6602525252457403</v>
      </c>
      <c r="FZ2" s="37">
        <f t="shared" ref="FZ2:FZ33" si="80">IF(AND(Include_study?="Yes",Sufficient_data="Yes"),RANK(GM:GM,GM:GM,1)*IF(GL:GL&gt;0,1,-1),"")</f>
        <v>-2</v>
      </c>
      <c r="GA2" s="82">
        <f>IF(AND(Include_study?="Yes",Sufficient_data="Yes"),FZ:FZ,"")</f>
        <v>-2</v>
      </c>
      <c r="GB2" s="82">
        <f>IF(AND(Include_study?="Yes",Sufficient_data="Yes"),RANK(GP:GP,GP:GP,1)*IF(GO:GO&lt;0,-1,1),"")</f>
        <v>-2</v>
      </c>
      <c r="GC2" s="82">
        <f>IF(AND(Include_study?="Yes",Sufficient_data="Yes"),RANK(GS:GS,GS:GS,1)*IF(GR:GR&lt;0,-1,1),"")</f>
        <v>-2</v>
      </c>
      <c r="GD2" s="74">
        <f>IF(AND(Include_study?="Yes",Sufficient_data="Yes"),'Publication Bias Analysis'!E2,NA())</f>
        <v>-0.27411650683119987</v>
      </c>
      <c r="GE2" s="34">
        <f>IF(AND(Include_study?="Yes",Sufficient_data="Yes"),'Publication Bias Analysis'!F2,NA())</f>
        <v>0.16510530938094906</v>
      </c>
      <c r="GG2" s="24" t="s">
        <v>275</v>
      </c>
      <c r="GH2" s="2" t="s">
        <v>245</v>
      </c>
      <c r="GI2" s="2" t="s">
        <v>246</v>
      </c>
      <c r="GK2" s="134" t="s">
        <v>276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-8.406222192328161E-2</v>
      </c>
      <c r="GM2" s="74">
        <f t="shared" ref="GM2:GM33" si="81">IF(AND(Include_study?="Yes",Sufficient_data="Yes"),ABS(GL2),"")</f>
        <v>8.406222192328161E-2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36.684104450389654</v>
      </c>
      <c r="GO2" s="74">
        <f>IF(AND(Include_study?="Yes",Sufficient_data="Yes"),IF('Publication Bias Analysis'!L$38="Left",'Publication Bias Analysis'!E:E-GW$3,GW$3-'Publication Bias Analysis'!E:E),"")</f>
        <v>-8.406222192328161E-2</v>
      </c>
      <c r="GP2" s="74">
        <f t="shared" ref="GP2:GP33" si="82">IF(GO2&lt;&gt;"",ABS(GO2),"")</f>
        <v>8.406222192328161E-2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36.684104450389654</v>
      </c>
      <c r="GR2" s="74">
        <f>IF(AND(Include_study?="Yes",Sufficient_data="Yes"),IF('Publication Bias Analysis'!L$38="Left",'Publication Bias Analysis'!E:E-GW$10,GW$10-'Publication Bias Analysis'!E:E),"")</f>
        <v>-8.406222192328161E-2</v>
      </c>
      <c r="GS2" s="74">
        <f t="shared" ref="GS2:GS33" si="83">IF(GR2&lt;&gt;"",ABS(GR2),"")</f>
        <v>8.406222192328161E-2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36.684104450389654</v>
      </c>
      <c r="GV2" s="150" t="s">
        <v>103</v>
      </c>
      <c r="GW2" s="150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4" t="s">
        <v>107</v>
      </c>
      <c r="HL2" s="3">
        <f t="shared" ref="HL2:HL65" si="89">IF(AND(Include_study?="Yes",Sufficient_data="Yes"),Inverse_standard_error-AVERAGE(Inverse_standard_error),"")</f>
        <v>0.45658566786018273</v>
      </c>
      <c r="HM2" s="34">
        <f>IF(AND(Include_study?="Yes",Sufficient_data="Yes"),Z_score-('Publication Bias Analysis'!P$3+'Publication Bias Analysis'!P$4*Inverse_standard_error),"")</f>
        <v>1.0938620310933789</v>
      </c>
      <c r="HO2" s="134" t="s">
        <v>277</v>
      </c>
      <c r="HP2" s="3">
        <f>IF(AND(Include_study?="Yes",Sufficient_data="Yes"),(GD:GD-SUMPRODUCT(Calculations!FT:FT,'Publication Bias Analysis'!E:E)/SUM(Calculations!FT:FT))/SQRT(Calculations!HQ:HQ),"")</f>
        <v>0.54564143317725999</v>
      </c>
      <c r="HQ2" s="3">
        <f>IF(AND(Include_study?="Yes",Sufficient_data="Yes"),GE:GE^2-1/SUM(Calculations!FT:FT),"")</f>
        <v>2.3734880427368776E-2</v>
      </c>
      <c r="HR2" s="6">
        <f t="shared" ref="HR2:HR33" si="90">IF(AND(Include_study?="Yes",Sufficient_data="Yes"),RANK(HP:HP,HP:HP,0),"")</f>
        <v>5</v>
      </c>
      <c r="HS2" s="6">
        <f t="shared" ref="HS2:HS33" si="91">IF(AND(Include_study?="Yes",Sufficient_data="Yes"),RANK(HQ:HQ,HQ:HQ,0),"")</f>
        <v>9</v>
      </c>
      <c r="HT2" s="6">
        <f>IF(AND(Include_study?="Yes",Sufficient_data="Yes"),COUNTIFS(HR3:HR201,"&lt;"&amp;HR2,HS3:HS201,"&lt;"&amp;HS2)+COUNTIFS(HR3:HR201,"&gt;"&amp;HR2,HS3:HS201,"&gt;"&amp;HS2),"")</f>
        <v>4</v>
      </c>
      <c r="HU2" s="56">
        <f>IF(AND(Include_study?="Yes",Sufficient_data="Yes"),COUNTIFS(HR3:HR201,"&lt;"&amp;HR2,HS3:HS201,"&gt;"&amp;HS2)+COUNTIFS(HR3:HR201,"&gt;"&amp;HR2,HS3:HS201,"&lt;"&amp;HS2),"")</f>
        <v>4</v>
      </c>
      <c r="HW2" s="134" t="s">
        <v>119</v>
      </c>
      <c r="HX2" s="20">
        <v>1</v>
      </c>
      <c r="HY2" s="3"/>
      <c r="HZ2" s="34">
        <f>HZ3-HY14</f>
        <v>-2.8</v>
      </c>
      <c r="IB2" s="134" t="s">
        <v>278</v>
      </c>
      <c r="IC2" s="77">
        <f t="shared" ref="IC2:IC33" si="92">IF(AND(Include_study?="Yes",Sufficient_data="Yes"),a_/(a_+b_),NA())</f>
        <v>2.4521531100478468E-2</v>
      </c>
      <c r="ID2" s="74">
        <f t="shared" ref="ID2:ID33" si="93">IF(AND(Include_study?="Yes",Sufficient_data="Yes"),c_/(c_+d_),NA())</f>
        <v>3.2007315957933241E-2</v>
      </c>
      <c r="IE2" s="74">
        <f t="shared" ref="IE2:IE33" si="94">IF(AND(Include_study?="Yes",Sufficient_data="Yes"),1/SELogRiskRatio^2,"")</f>
        <v>38.873378275475353</v>
      </c>
      <c r="IF2" s="74">
        <f t="shared" ref="IF2:IF33" si="95">IF(AND(Include_study?="Yes",Sufficient_data="Yes"),IF(Additional_model="Fixed effect",Weightf,Weightr),"")</f>
        <v>36.684104450389654</v>
      </c>
      <c r="IH2" s="2" t="s">
        <v>245</v>
      </c>
      <c r="II2" s="2" t="s">
        <v>246</v>
      </c>
      <c r="IK2" s="134" t="s">
        <v>121</v>
      </c>
      <c r="IL2" s="3">
        <f>IF(AND(Include_study?="Yes",Sufficient_data="Yes"),'Publication Bias Analysis'!AV:AV,NA())</f>
        <v>-1.6602525252457403</v>
      </c>
      <c r="IM2" s="3">
        <f>IF(AND(Sufficient_data="Yes",Include_study?="Yes"),'Publication Bias Analysis'!AU:AU,NA())</f>
        <v>6.0567404146446346</v>
      </c>
      <c r="IN2" s="3">
        <f t="shared" ref="IN2:IN33" si="96">IF(AND(Include_study?="Yes",Sufficient_data="Yes"),Inverse_standard_error-AVERAGE(Inverse_standard_error),"")</f>
        <v>0.45658566786018273</v>
      </c>
      <c r="IO2" s="34">
        <f>IF(AND(Include_study?="Yes",Sufficient_data="Yes"),Z_score-('Publication Bias Analysis'!AY$30+'Publication Bias Analysis'!AY$31*Inverse_standard_error),"")</f>
        <v>0.50914305686756589</v>
      </c>
      <c r="IQ2" s="24" t="s">
        <v>279</v>
      </c>
      <c r="IR2" s="2" t="s">
        <v>245</v>
      </c>
      <c r="IS2" s="2" t="s">
        <v>246</v>
      </c>
      <c r="IU2" s="134" t="s">
        <v>122</v>
      </c>
      <c r="IV2" s="6">
        <f>IF('Publication Bias Analysis'!BG:BG&lt;&gt;"",RANK('Publication Bias Analysis'!BG:BG,'Publication Bias Analysis'!BG:BG,1),"")</f>
        <v>4</v>
      </c>
      <c r="IW2" s="3">
        <f t="shared" ref="IW2:IW33" si="97">IF(IV:IV&lt;&gt;"",(IV:IV-1/3)/(k_+1/3),"")</f>
        <v>0.39285714285714279</v>
      </c>
      <c r="IX2" s="3">
        <f>IF('Publication Bias Analysis'!BF2&lt;&gt;"",'Publication Bias Analysis'!BF2,NA())</f>
        <v>-0.27188000539926105</v>
      </c>
      <c r="IY2" s="3">
        <f>IF('Publication Bias Analysis'!BG2&lt;&gt;"",'Publication Bias Analysis'!BG2,NA())</f>
        <v>-1.6602525252457403</v>
      </c>
      <c r="IZ2" s="3">
        <f>IF(AND(Include_study?="Yes",Sufficient_data="Yes"),'Publication Bias Analysis'!BF:BF-AVERAGE('Publication Bias Analysis'!BF:BF),"")</f>
        <v>-0.27188000539926105</v>
      </c>
      <c r="JA2" s="34">
        <f>IF(AND(Include_study?="Yes",Sufficient_data="Yes"),'Publication Bias Analysis'!BG:BG-('Publication Bias Analysis'!BJ$30+'Publication Bias Analysis'!BJ$31*'Publication Bias Analysis'!BF:BF),"")</f>
        <v>0.77132638563431644</v>
      </c>
      <c r="JC2" s="24" t="s">
        <v>280</v>
      </c>
      <c r="JD2" s="2" t="s">
        <v>245</v>
      </c>
      <c r="JE2" s="2" t="s">
        <v>246</v>
      </c>
      <c r="JG2" s="134" t="s">
        <v>124</v>
      </c>
      <c r="JH2" s="74">
        <f t="shared" ref="JH2:JH33" si="98">IF(AND(Include_study?="Yes",Sufficient_data="Yes"),IF(AND(Additional_valid_options="No",Additional_model="Random effects"),NA(),Z_score),"")</f>
        <v>-1.6602525252457403</v>
      </c>
      <c r="JI2" s="84">
        <f>IF(JH2&lt;&gt;"",1-NORMSDIST(ABS(JH2)),"")</f>
        <v>4.8431830992705982E-2</v>
      </c>
      <c r="JJ2" s="34">
        <f>IF(JI2&lt;&gt;"",LN(MAX(10^-306,JI2)),"")</f>
        <v>-3.0275980162879432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61.3</v>
      </c>
      <c r="C3" s="6">
        <f>IF(AND(Include_study?="Yes",Sufficient_data="Yes"),IF(Input!b_&lt;&gt;"",Input!b_,Input!n1_-Input!a_),"")</f>
        <v>3335.7</v>
      </c>
      <c r="D3" s="6">
        <f>IF(AND(Include_study?="Yes",Sufficient_data="Yes"),IF(Input!c_&lt;&gt;"",Input!c_,Input!n2_-Input!d_),"")</f>
        <v>70.599999999999994</v>
      </c>
      <c r="E3" s="6">
        <f>IF(AND(Include_study?="Yes",Sufficient_data="Yes"),IF(Input!d_&lt;&gt;"",Input!d_,Input!n2_-Input!c_),"")</f>
        <v>3965.4</v>
      </c>
      <c r="F3" s="35" t="str">
        <f t="shared" si="1"/>
        <v>No</v>
      </c>
      <c r="H3" s="153"/>
      <c r="I3" s="140"/>
      <c r="J3" s="76">
        <f t="shared" si="2"/>
        <v>1.0321808343271746</v>
      </c>
      <c r="K3" s="3">
        <f t="shared" si="3"/>
        <v>3.167387877011834E-2</v>
      </c>
      <c r="L3" s="3">
        <f t="shared" si="4"/>
        <v>0.17615188949333238</v>
      </c>
      <c r="M3" s="3">
        <f t="shared" si="5"/>
        <v>0.73078664864516729</v>
      </c>
      <c r="N3" s="35">
        <f t="shared" si="6"/>
        <v>1.4578773116990056</v>
      </c>
      <c r="P3" s="134"/>
      <c r="Q3" s="76">
        <f t="shared" si="7"/>
        <v>1.0322168208780582</v>
      </c>
      <c r="R3" s="3">
        <f t="shared" si="8"/>
        <v>0.17635065818095036</v>
      </c>
      <c r="S3" s="3">
        <f t="shared" si="9"/>
        <v>0.73052742690232808</v>
      </c>
      <c r="T3" s="35">
        <f t="shared" si="10"/>
        <v>1.4584963220635647</v>
      </c>
      <c r="V3" s="134"/>
      <c r="W3" s="76">
        <f t="shared" si="11"/>
        <v>5.5276722042097923E-4</v>
      </c>
      <c r="X3" s="3">
        <f t="shared" si="12"/>
        <v>3.0780835687107631E-3</v>
      </c>
      <c r="Y3" s="3">
        <f t="shared" si="13"/>
        <v>-5.4811485199067703E-3</v>
      </c>
      <c r="Z3" s="35">
        <f t="shared" si="14"/>
        <v>6.5866829607487288E-3</v>
      </c>
      <c r="AB3" s="134"/>
      <c r="AC3" s="76">
        <f t="shared" si="15"/>
        <v>1.0316001204195335</v>
      </c>
      <c r="AD3" s="3">
        <f t="shared" si="16"/>
        <v>3.1111111755884862E-2</v>
      </c>
      <c r="AE3" s="3">
        <f t="shared" si="17"/>
        <v>0.17301841575657803</v>
      </c>
      <c r="AF3" s="3">
        <f t="shared" si="18"/>
        <v>0.73487563732421246</v>
      </c>
      <c r="AG3" s="35">
        <f t="shared" si="19"/>
        <v>1.448134561004766</v>
      </c>
      <c r="AI3" s="153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Zou et al.</v>
      </c>
      <c r="AN3" s="6">
        <f t="shared" si="21"/>
        <v>7433</v>
      </c>
      <c r="AO3" s="3">
        <f t="shared" si="22"/>
        <v>1.0321808343271746</v>
      </c>
      <c r="AP3" s="3">
        <f t="shared" si="23"/>
        <v>32.227408794324667</v>
      </c>
      <c r="AQ3" s="3">
        <f t="shared" si="24"/>
        <v>12.575151716200242</v>
      </c>
      <c r="AR3" s="3">
        <f t="shared" si="25"/>
        <v>0.17615188949333238</v>
      </c>
      <c r="AS3" s="3">
        <f t="shared" si="26"/>
        <v>0.73078664864516729</v>
      </c>
      <c r="AT3" s="3">
        <f t="shared" si="27"/>
        <v>1.4578773116990056</v>
      </c>
      <c r="AU3" s="80">
        <f t="shared" si="28"/>
        <v>0.11263313866986413</v>
      </c>
      <c r="AW3" s="44">
        <f t="shared" si="29"/>
        <v>1.0321808343271746</v>
      </c>
      <c r="AX3" s="3">
        <f t="shared" si="30"/>
        <v>0.30139418568200727</v>
      </c>
      <c r="AY3" s="35">
        <f t="shared" si="31"/>
        <v>0.42569647737183103</v>
      </c>
      <c r="BA3" s="2" t="s">
        <v>281</v>
      </c>
      <c r="BB3" s="6">
        <f>IF(BB2&lt;&gt;"",MAX(Entry_number)+1,"")</f>
        <v>10</v>
      </c>
      <c r="BD3" s="153"/>
      <c r="BE3" s="140"/>
      <c r="BF3" s="3">
        <f t="shared" si="32"/>
        <v>3.167387877011834E-2</v>
      </c>
      <c r="BG3" s="3">
        <f t="shared" si="33"/>
        <v>0.17615188949333238</v>
      </c>
      <c r="BH3" s="3">
        <f t="shared" si="34"/>
        <v>32.227408794324667</v>
      </c>
      <c r="BI3" s="3">
        <f t="shared" ref="BI3:BI33" si="99">IF(Weightf&lt;&gt;"",1/(IF(Model_effect_size_measure="Odds Ratio",SELogOddsRatio,IF(Model_effect_size_measure="Risk Ratio",SELogRiskRatio,SERiskDifference))^2+T2_),"")</f>
        <v>12.575151716200242</v>
      </c>
      <c r="BJ3" s="35">
        <f t="shared" si="35"/>
        <v>0.38148379403367083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9.2509480688868551E-2</v>
      </c>
      <c r="BO3" s="134"/>
      <c r="BP3" s="3">
        <f t="shared" si="36"/>
        <v>32.702679940804522</v>
      </c>
      <c r="BQ3" s="3">
        <f t="shared" si="37"/>
        <v>31.683091618458221</v>
      </c>
      <c r="BR3" s="3">
        <f t="shared" si="38"/>
        <v>17.716114801242778</v>
      </c>
      <c r="BS3" s="3">
        <f>IF(AND(Sufficient_data="Yes",Include_study?="Yes"),IF(Add_0_5="Yes",(a_+d_+1)*(ab_+0.5)*(c_+0.5)/(Number_of_subjects+2)^2,(a_+d_)*b_*c_/Number_of_subjects^2),"")</f>
        <v>17.163770351142976</v>
      </c>
      <c r="BT3" s="3">
        <f t="shared" si="39"/>
        <v>14.986565139561741</v>
      </c>
      <c r="BU3" s="3">
        <f t="shared" si="40"/>
        <v>14.519321267315247</v>
      </c>
      <c r="BV3" s="3">
        <f t="shared" si="41"/>
        <v>31.683091618458221</v>
      </c>
      <c r="BW3" s="3">
        <f t="shared" si="42"/>
        <v>4.7675780804550065</v>
      </c>
      <c r="BX3" s="3">
        <f t="shared" si="43"/>
        <v>13.928808325208706</v>
      </c>
      <c r="BY3" s="35">
        <f t="shared" si="44"/>
        <v>0.38208322368079828</v>
      </c>
      <c r="CA3" s="3" t="s">
        <v>282</v>
      </c>
      <c r="CB3" s="3">
        <f>IF(Meta_analysis_model="Fixed effect model",0.5*(SUM(BR:BR)/SUM(BP:BP)^2+(SUM(BS:BS)+SUM(BT:BT))/(SUM(BP:BP)*SUM(BQ:BQ))+SUM(BU:BU)/SUM(BQ:BQ)^2),SUMPRODUCT(Weight_MH,BY:BY,BY:BY)/((k_-1)*SUM(Weight_MH)))</f>
        <v>8.5836472134812446E-3</v>
      </c>
      <c r="CD3" s="134"/>
      <c r="CE3" s="76">
        <f t="shared" si="45"/>
        <v>60.280411677653696</v>
      </c>
      <c r="CF3" s="3">
        <f t="shared" si="46"/>
        <v>32.154801300155441</v>
      </c>
      <c r="CG3" s="3">
        <f t="shared" si="47"/>
        <v>3.170874274198586E-2</v>
      </c>
      <c r="CH3" s="3">
        <f t="shared" si="48"/>
        <v>3.1099554640854392E-2</v>
      </c>
      <c r="CI3" s="3">
        <f t="shared" si="49"/>
        <v>32.154801300155441</v>
      </c>
      <c r="CJ3" s="3">
        <f t="shared" si="50"/>
        <v>11.231331431660163</v>
      </c>
      <c r="CK3" s="35">
        <f t="shared" si="51"/>
        <v>0.38916398379389183</v>
      </c>
      <c r="CM3" s="3" t="s">
        <v>282</v>
      </c>
      <c r="CN3" s="3">
        <f>IF(Meta_analysis_model="Fixed effect model",1/SUM(Weightf_Peto),SUMPRODUCT(Weight_Peto,CK:CK,CK:CK)/((k_-1)*SUM(Weight_Peto)))</f>
        <v>9.9466926895989839E-3</v>
      </c>
      <c r="CP3" s="134"/>
      <c r="CQ3" s="52">
        <f t="shared" si="52"/>
        <v>1.749256689791873E-2</v>
      </c>
      <c r="CS3" s="2" t="s">
        <v>283</v>
      </c>
      <c r="CT3" s="3">
        <f>IF(Weighting_method="Inverse variance",IF(Model_effect_size_measure="Odds Ratio",CES_IV,NA()),NA())</f>
        <v>0.70482205290029998</v>
      </c>
      <c r="CU3" s="3">
        <f>IF(Model_effect_size_measure="Odds Ratio",CES_OddsRatio_MH,NA())</f>
        <v>0.7043996882674306</v>
      </c>
      <c r="CV3" s="3" t="e">
        <f>IF(Model_effect_size_measure="Peto Odds Ratio",CES_PetoOddsRatio,NA())</f>
        <v>#N/A</v>
      </c>
      <c r="CX3" s="153"/>
      <c r="CY3" s="48">
        <f t="shared" si="53"/>
        <v>2</v>
      </c>
      <c r="CZ3" s="6" t="str">
        <f t="shared" si="54"/>
        <v>Zou et al.</v>
      </c>
      <c r="DA3" s="17" t="str">
        <f t="shared" si="55"/>
        <v>Deep</v>
      </c>
      <c r="DB3" s="3">
        <f t="shared" si="56"/>
        <v>3.167387877011834E-2</v>
      </c>
      <c r="DC3" s="3">
        <f t="shared" si="57"/>
        <v>0.17615188949333238</v>
      </c>
      <c r="DD3" s="3">
        <f t="shared" si="58"/>
        <v>32.227408794324667</v>
      </c>
      <c r="DE3" s="3">
        <f t="shared" si="59"/>
        <v>32.227408794324667</v>
      </c>
      <c r="DF3" s="80">
        <f t="shared" si="60"/>
        <v>0.3467315579365764</v>
      </c>
      <c r="DG3" s="3">
        <f t="shared" si="61"/>
        <v>1.0321808343271746</v>
      </c>
      <c r="DH3" s="3">
        <f t="shared" si="62"/>
        <v>0.73078665417653665</v>
      </c>
      <c r="DI3" s="3">
        <f t="shared" si="63"/>
        <v>1.457877300664242</v>
      </c>
      <c r="DJ3" s="35">
        <f t="shared" si="64"/>
        <v>0.18350566601787888</v>
      </c>
      <c r="DL3" s="44">
        <f t="shared" si="65"/>
        <v>1.0321808343271746</v>
      </c>
      <c r="DM3" s="3">
        <f t="shared" ref="DM3:DM33" si="100">IF(AND(Include_study?="Yes",Sufficient_data="Yes",Subgroup&lt;&gt;""),IF(Subgroup_effect_size_measure="Risk Difference",DB3-DH3,DG3-DH3),NA())</f>
        <v>0.3013941801506379</v>
      </c>
      <c r="DN3" s="35">
        <f t="shared" ref="DN3:DN33" si="101">IF(AND(Include_study?="Yes",Sufficient_data="Yes",Subgroup&lt;&gt;""),IF(Subgroup_effect_size_measure="Risk Difference",DI3-DB3,DI3-DG3),NA())</f>
        <v>0.42569646633706748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0.10489788142967943</v>
      </c>
      <c r="FA3" s="15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284</v>
      </c>
      <c r="FP3" s="3" t="str">
        <f>IF(SUM(Moderator)&lt;&gt;0,SUMPRODUCT(Moderator,FE:FE)/SUM(Calculations!FE:FE),"")</f>
        <v/>
      </c>
      <c r="FR3" s="153"/>
      <c r="FS3" s="140"/>
      <c r="FT3" s="76">
        <f>IF(AND(Include_study?="Yes",Sufficient_data="Yes"),IF(Additional_weighting_method="Inverse Variance",1/'Publication Bias Analysis'!F:F^2,IF(Additional_weighting_method="Mantel-Haenszel",Weightf_MH,Weightf_Peto)),"")</f>
        <v>32.227408794324667</v>
      </c>
      <c r="FU3" s="3">
        <f>IF(AND(Include_study?="Yes",Sufficient_data="Yes"),1/('Publication Bias Analysis'!F:F^2+IF(Additional_model="Fixed effect",0,Calculations!GH$12)),"")</f>
        <v>32.227408794324667</v>
      </c>
      <c r="FV3" s="3">
        <f>IF(AND(Include_study?="Yes",Sufficient_data="Yes"),1/('Publication Bias Analysis'!F:F^2+IF(Additional_model="Fixed effect",0,'Publication Bias Analysis'!L$32)),"")</f>
        <v>32.227408794324667</v>
      </c>
      <c r="FW3" s="3">
        <f>IF(AND(Include_study?="Yes",Sufficient_data="Yes"),'Publication Bias Analysis'!E:E-'Publication Bias Analysis'!I$37,"")</f>
        <v>0.38985260752459983</v>
      </c>
      <c r="FX3" s="3">
        <f>IF(AND(Include_study?="Yes",Sufficient_data="Yes"),IF(Additional_model="Fixed effect",1/'Publication Bias Analysis'!F:F,1/SQRT('Publication Bias Analysis'!F:F^2+GH$12)),"")</f>
        <v>5.6769189525943267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0.17981004269225989</v>
      </c>
      <c r="FZ3" s="6">
        <f t="shared" si="80"/>
        <v>-8</v>
      </c>
      <c r="GA3" s="83">
        <f>IF(AND(Include_study?="Yes",Sufficient_data="Yes"),FZ:FZ+IF(GL:GL&lt;0,-1,1)*COUNTIF(FZ$2:FZ2,FZ:FZ),"")</f>
        <v>-8</v>
      </c>
      <c r="GB3" s="83">
        <f>IF(AND(Include_study?="Yes",Sufficient_data="Yes"),RANK(GP:GP,GP:GP,1)*IF(GO:GO&lt;0,-1,1)+IF(GO:GO&lt;0,-1,1)*COUNTIF(FZ$2:FZ2,FZ:FZ),"")</f>
        <v>-8</v>
      </c>
      <c r="GC3" s="83">
        <f>IF(AND(Include_study?="Yes",Sufficient_data="Yes"),RANK(GS:GS,GS:GS,1)*IF(GR:GR&lt;0,-1,1)+IF(GR:GR&lt;0,-1,1)*COUNTIF(FZ$2:FZ2,FZ:FZ),"")</f>
        <v>-8</v>
      </c>
      <c r="GD3" s="3">
        <f>IF(AND(Include_study?="Yes",Sufficient_data="Yes"),'Publication Bias Analysis'!E3,NA())</f>
        <v>3.167387877011834E-2</v>
      </c>
      <c r="GE3" s="35">
        <f>IF(AND(Include_study?="Yes",Sufficient_data="Yes"),'Publication Bias Analysis'!F3,NA())</f>
        <v>0.17615188949333238</v>
      </c>
      <c r="GG3" s="2" t="s">
        <v>285</v>
      </c>
      <c r="GH3" s="3">
        <f>IF(Additional_valid_options="Yes",IF(Trim_and_fill="Off",'Publication Bias Analysis'!I29,'Publication Bias Analysis'!I37)-ABS(TINV((1-Additional_confidence_level),k_-1))*GI3,"")</f>
        <v>-0.92262338183511305</v>
      </c>
      <c r="GI3" s="3">
        <f>IF(Trim_and_fill="Off",GH17,GH22)</f>
        <v>0.24477174366847246</v>
      </c>
      <c r="GK3" s="13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-0.38985260752459983</v>
      </c>
      <c r="GM3" s="3">
        <f t="shared" si="81"/>
        <v>0.38985260752459983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32.227408794324667</v>
      </c>
      <c r="GO3" s="3">
        <f>IF(AND(Include_study?="Yes",Sufficient_data="Yes"),IF('Publication Bias Analysis'!L$38="Left",'Publication Bias Analysis'!E:E-GW$3,GW$3-'Publication Bias Analysis'!E:E),"")</f>
        <v>-0.38985260752459983</v>
      </c>
      <c r="GP3" s="3">
        <f t="shared" si="82"/>
        <v>0.38985260752459983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32.227408794324667</v>
      </c>
      <c r="GR3" s="3">
        <f>IF(AND(Include_study?="Yes",Sufficient_data="Yes"),IF('Publication Bias Analysis'!L$38="Left",'Publication Bias Analysis'!E:E-GW$10,GW$10-'Publication Bias Analysis'!E:E),"")</f>
        <v>-0.38985260752459983</v>
      </c>
      <c r="GS3" s="3">
        <f t="shared" si="83"/>
        <v>0.38985260752459983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32.227408794324667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-0.35817872875448148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4"/>
      <c r="HL3" s="3">
        <f t="shared" si="89"/>
        <v>7.6764205809874753E-2</v>
      </c>
      <c r="HM3" s="35">
        <f>IF(AND(Include_study?="Yes",Sufficient_data="Yes"),Z_score-('Publication Bias Analysis'!P$3+'Publication Bias Analysis'!P$4*Inverse_standard_error),"")</f>
        <v>2.2789569224716595</v>
      </c>
      <c r="HO3" s="134"/>
      <c r="HP3" s="3">
        <f>IF(AND(Include_study?="Yes",Sufficient_data="Yes"),(GD:GD-SUMPRODUCT(Calculations!FT:FT,'Publication Bias Analysis'!E:E)/SUM(Calculations!FT:FT))/SQRT(Calculations!HQ:HQ),"")</f>
        <v>2.3507028502595508</v>
      </c>
      <c r="HQ3" s="3">
        <f>IF(AND(Include_study?="Yes",Sufficient_data="Yes"),GE:GE^2-1/SUM(Calculations!FT:FT),"")</f>
        <v>2.7504605413661051E-2</v>
      </c>
      <c r="HR3" s="6">
        <f t="shared" si="90"/>
        <v>1</v>
      </c>
      <c r="HS3" s="6">
        <f t="shared" si="91"/>
        <v>5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4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4</v>
      </c>
      <c r="HW3" s="134"/>
      <c r="HX3" s="20">
        <v>2</v>
      </c>
      <c r="HY3" s="3">
        <f t="shared" ref="HY3:HY10" si="123">HZ2</f>
        <v>-2.8</v>
      </c>
      <c r="HZ3" s="35">
        <f>HZ4-HY14</f>
        <v>-2</v>
      </c>
      <c r="IB3" s="134"/>
      <c r="IC3" s="76">
        <f t="shared" si="92"/>
        <v>1.8045334118339709E-2</v>
      </c>
      <c r="ID3" s="3">
        <f t="shared" si="93"/>
        <v>1.749256689791873E-2</v>
      </c>
      <c r="IE3" s="3">
        <f t="shared" si="94"/>
        <v>33.405297038646829</v>
      </c>
      <c r="IF3" s="35">
        <f t="shared" si="95"/>
        <v>32.227408794324667</v>
      </c>
      <c r="IH3" s="3">
        <v>0</v>
      </c>
      <c r="II3" s="3">
        <v>0</v>
      </c>
      <c r="IK3" s="134"/>
      <c r="IL3" s="3">
        <f>IF(AND(Include_study?="Yes",Sufficient_data="Yes"),'Publication Bias Analysis'!AV:AV,NA())</f>
        <v>0.17981004269225989</v>
      </c>
      <c r="IM3" s="3">
        <f>IF(AND(Sufficient_data="Yes",Include_study?="Yes"),'Publication Bias Analysis'!AU:AU,NA())</f>
        <v>5.6769189525943267</v>
      </c>
      <c r="IN3" s="3">
        <f t="shared" si="96"/>
        <v>7.6764205809874753E-2</v>
      </c>
      <c r="IO3" s="35">
        <f>IF(AND(Include_study?="Yes",Sufficient_data="Yes"),Z_score-('Publication Bias Analysis'!AY$30+'Publication Bias Analysis'!AY$31*Inverse_standard_error),"")</f>
        <v>2.2131616563747181</v>
      </c>
      <c r="IQ3" s="2" t="s">
        <v>99</v>
      </c>
      <c r="IR3" s="3">
        <v>0</v>
      </c>
      <c r="IS3" s="3">
        <v>0</v>
      </c>
      <c r="IU3" s="134"/>
      <c r="IV3" s="6">
        <f>IF('Publication Bias Analysis'!BG:BG&lt;&gt;"",RANK('Publication Bias Analysis'!BG:BG,'Publication Bias Analysis'!BG:BG,1)+COUNTIF('Publication Bias Analysis'!BG$2:BG2,'Publication Bias Analysis'!BG3),"")</f>
        <v>9</v>
      </c>
      <c r="IW3" s="3">
        <f t="shared" si="97"/>
        <v>0.92857142857142849</v>
      </c>
      <c r="IX3" s="3">
        <f>IF('Publication Bias Analysis'!BF3&lt;&gt;"",'Publication Bias Analysis'!BF3,NA())</f>
        <v>1.4652337926855223</v>
      </c>
      <c r="IY3" s="3">
        <f>IF('Publication Bias Analysis'!BG3&lt;&gt;"",'Publication Bias Analysis'!BG3,NA())</f>
        <v>0.17981004269225989</v>
      </c>
      <c r="IZ3" s="3">
        <f>IF(AND(Include_study?="Yes",Sufficient_data="Yes"),'Publication Bias Analysis'!BF:BF-AVERAGE('Publication Bias Analysis'!BF:BF),"")</f>
        <v>1.4652337926855223</v>
      </c>
      <c r="JA3" s="35">
        <f>IF(AND(Include_study?="Yes",Sufficient_data="Yes"),'Publication Bias Analysis'!BG:BG-('Publication Bias Analysis'!BJ$30+'Publication Bias Analysis'!BJ$31*'Publication Bias Analysis'!BF:BF),"")</f>
        <v>-0.3583736864217123</v>
      </c>
      <c r="JC3" s="2" t="s">
        <v>248</v>
      </c>
      <c r="JD3" s="3">
        <f>MIN('Publication Bias Analysis'!BF:BF)</f>
        <v>-1.4652337926855223</v>
      </c>
      <c r="JE3" s="3">
        <f>'Publication Bias Analysis'!BJ$30+JD3*'Publication Bias Analysis'!BJ$31</f>
        <v>-4.4717316617737835</v>
      </c>
      <c r="JG3" s="134"/>
      <c r="JH3" s="3">
        <f t="shared" si="98"/>
        <v>0.17981004269225989</v>
      </c>
      <c r="JI3" s="10">
        <f t="shared" ref="JI3:JI66" si="124">IF(JH3&lt;&gt;"",1-NORMSDIST(ABS(JH3)),"")</f>
        <v>0.42865084959716393</v>
      </c>
      <c r="JJ3" s="35">
        <f t="shared" ref="JJ3:JJ66" si="125">IF(JI3&lt;&gt;"",LN(MAX(10^-306,JI3)),"")</f>
        <v>-0.84711256182932604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41</v>
      </c>
      <c r="C4" s="6">
        <f>IF(AND(Include_study?="Yes",Sufficient_data="Yes"),IF(Input!b_&lt;&gt;"",Input!b_,Input!n1_-Input!a_),"")</f>
        <v>3356</v>
      </c>
      <c r="D4" s="6">
        <f>IF(AND(Include_study?="Yes",Sufficient_data="Yes"),IF(Input!c_&lt;&gt;"",Input!c_,Input!n2_-Input!d_),"")</f>
        <v>60</v>
      </c>
      <c r="E4" s="6">
        <f>IF(AND(Include_study?="Yes",Sufficient_data="Yes"),IF(Input!d_&lt;&gt;"",Input!d_,Input!n2_-Input!c_),"")</f>
        <v>3976</v>
      </c>
      <c r="F4" s="35" t="str">
        <f t="shared" si="1"/>
        <v>No</v>
      </c>
      <c r="H4" s="153"/>
      <c r="I4" s="140"/>
      <c r="J4" s="76">
        <f t="shared" si="2"/>
        <v>0.80957489074294797</v>
      </c>
      <c r="K4" s="3">
        <f t="shared" si="3"/>
        <v>-0.211245995328425</v>
      </c>
      <c r="L4" s="3">
        <f t="shared" si="4"/>
        <v>0.20397645305706039</v>
      </c>
      <c r="M4" s="3">
        <f t="shared" si="5"/>
        <v>0.54275480084701</v>
      </c>
      <c r="N4" s="35">
        <f t="shared" si="6"/>
        <v>1.2075646363673556</v>
      </c>
      <c r="P4" s="134"/>
      <c r="Q4" s="76">
        <f t="shared" si="7"/>
        <v>0.81169552411396217</v>
      </c>
      <c r="R4" s="3">
        <f t="shared" si="8"/>
        <v>0.20110446637164009</v>
      </c>
      <c r="S4" s="3">
        <f t="shared" si="9"/>
        <v>0.54724881853261187</v>
      </c>
      <c r="T4" s="35">
        <f t="shared" si="10"/>
        <v>1.2039306464530584</v>
      </c>
      <c r="V4" s="134"/>
      <c r="W4" s="76">
        <f t="shared" si="11"/>
        <v>-2.7967310980685171E-3</v>
      </c>
      <c r="X4" s="3">
        <f t="shared" si="12"/>
        <v>2.671841997328909E-3</v>
      </c>
      <c r="Y4" s="3">
        <f t="shared" si="13"/>
        <v>-8.0342982802045441E-3</v>
      </c>
      <c r="Z4" s="35">
        <f t="shared" si="14"/>
        <v>2.4408360840675099E-3</v>
      </c>
      <c r="AB4" s="134"/>
      <c r="AC4" s="76">
        <f t="shared" si="15"/>
        <v>0.81187322146992447</v>
      </c>
      <c r="AD4" s="3">
        <f t="shared" si="16"/>
        <v>-0.2084110822048772</v>
      </c>
      <c r="AE4" s="3">
        <f t="shared" si="17"/>
        <v>0.20128279386950532</v>
      </c>
      <c r="AF4" s="3">
        <f t="shared" si="18"/>
        <v>0.54717731137018166</v>
      </c>
      <c r="AG4" s="35">
        <f t="shared" si="19"/>
        <v>1.2046152390518741</v>
      </c>
      <c r="AI4" s="153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Wang et al.</v>
      </c>
      <c r="AN4" s="6">
        <f t="shared" si="21"/>
        <v>7433</v>
      </c>
      <c r="AO4" s="3">
        <f t="shared" si="22"/>
        <v>0.80957489074294797</v>
      </c>
      <c r="AP4" s="3">
        <f t="shared" si="23"/>
        <v>24.034767694096736</v>
      </c>
      <c r="AQ4" s="3">
        <f t="shared" si="24"/>
        <v>11.098925892843122</v>
      </c>
      <c r="AR4" s="3">
        <f t="shared" si="25"/>
        <v>0.20397645305706039</v>
      </c>
      <c r="AS4" s="3">
        <f t="shared" si="26"/>
        <v>0.54275480084701</v>
      </c>
      <c r="AT4" s="3">
        <f t="shared" si="27"/>
        <v>1.2075646363673556</v>
      </c>
      <c r="AU4" s="80">
        <f t="shared" si="28"/>
        <v>9.941087689341073E-2</v>
      </c>
      <c r="AW4" s="44">
        <f t="shared" si="29"/>
        <v>0.80957489074294797</v>
      </c>
      <c r="AX4" s="3">
        <f t="shared" si="30"/>
        <v>0.26682008989593797</v>
      </c>
      <c r="AY4" s="35">
        <f t="shared" si="31"/>
        <v>0.39798974562440759</v>
      </c>
      <c r="BA4" s="2" t="s">
        <v>286</v>
      </c>
      <c r="BB4" s="3">
        <f>'Forest Plot'!$B$16-CES_CI_Lower_limit</f>
        <v>0.13540215551847257</v>
      </c>
      <c r="BD4" s="153"/>
      <c r="BE4" s="140"/>
      <c r="BF4" s="3">
        <f t="shared" si="32"/>
        <v>-0.211245995328425</v>
      </c>
      <c r="BG4" s="3">
        <f t="shared" si="33"/>
        <v>0.20397645305706039</v>
      </c>
      <c r="BH4" s="3">
        <f t="shared" si="34"/>
        <v>24.034767694096736</v>
      </c>
      <c r="BI4" s="3">
        <f t="shared" si="99"/>
        <v>11.098925892843122</v>
      </c>
      <c r="BJ4" s="35">
        <f t="shared" si="35"/>
        <v>0.13856391993512748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-0.56313716027767335</v>
      </c>
      <c r="BO4" s="134"/>
      <c r="BP4" s="3">
        <f t="shared" si="36"/>
        <v>21.931387057715593</v>
      </c>
      <c r="BQ4" s="3">
        <f t="shared" si="37"/>
        <v>27.090004036055429</v>
      </c>
      <c r="BR4" s="3">
        <f t="shared" si="38"/>
        <v>11.852331738308022</v>
      </c>
      <c r="BS4" s="3">
        <f>IF(AND(Sufficient_data="Yes",Include_study?="Yes"),IF(Add_0_5="Yes",(a_+d_+1)*(ab_+0.5)*(c_+0.5)/(Number_of_subjects+2)^2,(a_+d_)*b_*c_/Number_of_subjects^2),"")</f>
        <v>14.640191875801783</v>
      </c>
      <c r="BT4" s="3">
        <f t="shared" si="39"/>
        <v>10.079055319407569</v>
      </c>
      <c r="BU4" s="3">
        <f t="shared" si="40"/>
        <v>12.449812160253645</v>
      </c>
      <c r="BV4" s="3">
        <f t="shared" si="41"/>
        <v>27.090004036055429</v>
      </c>
      <c r="BW4" s="3">
        <f t="shared" si="42"/>
        <v>0.48261855352258731</v>
      </c>
      <c r="BX4" s="3">
        <f t="shared" si="43"/>
        <v>12.140260416315487</v>
      </c>
      <c r="BY4" s="35">
        <f t="shared" si="44"/>
        <v>0.13916334958225493</v>
      </c>
      <c r="CA4" s="3" t="s">
        <v>287</v>
      </c>
      <c r="CB4" s="3">
        <f>SQRT(VarlnCES_MH)</f>
        <v>9.2647974686342949E-2</v>
      </c>
      <c r="CD4" s="134"/>
      <c r="CE4" s="76">
        <f t="shared" si="45"/>
        <v>46.158616978339836</v>
      </c>
      <c r="CF4" s="3">
        <f t="shared" si="46"/>
        <v>24.726153892777226</v>
      </c>
      <c r="CG4" s="3">
        <f t="shared" si="47"/>
        <v>-0.20862997944240425</v>
      </c>
      <c r="CH4" s="3">
        <f t="shared" si="48"/>
        <v>4.0443006394622123E-2</v>
      </c>
      <c r="CI4" s="3">
        <f t="shared" si="49"/>
        <v>24.726153892777226</v>
      </c>
      <c r="CJ4" s="3">
        <f t="shared" si="50"/>
        <v>10.164658258619086</v>
      </c>
      <c r="CK4" s="35">
        <f t="shared" si="51"/>
        <v>0.14882526160950171</v>
      </c>
      <c r="CM4" s="3" t="s">
        <v>287</v>
      </c>
      <c r="CN4" s="3">
        <f>SQRT(VarlnCES_Peto)</f>
        <v>9.9733107289400061E-2</v>
      </c>
      <c r="CP4" s="134"/>
      <c r="CQ4" s="52">
        <f t="shared" si="52"/>
        <v>1.4866204162537165E-2</v>
      </c>
      <c r="CS4" s="2" t="s">
        <v>95</v>
      </c>
      <c r="CT4" s="3">
        <f>IF(Weighting_method="Inverse variance",IF(Model_effect_size_measure="Odds Ratio",CICES_LL,""),"")</f>
        <v>0.56941989738182741</v>
      </c>
      <c r="CU4" s="3">
        <f>IF(Model_effect_size_measure="Odds Ratio",CICES_LL_MH,"")</f>
        <v>0.56889695614843505</v>
      </c>
      <c r="CV4" s="3" t="str">
        <f>IF(Model_effect_size_measure="Peto Odds Ratio",CICES_LL_Peto,"")</f>
        <v/>
      </c>
      <c r="CX4" s="153"/>
      <c r="CY4" s="48">
        <f t="shared" si="53"/>
        <v>3</v>
      </c>
      <c r="CZ4" s="6" t="str">
        <f t="shared" si="54"/>
        <v>Wang et al.</v>
      </c>
      <c r="DA4" s="17" t="str">
        <f t="shared" si="55"/>
        <v>Deep</v>
      </c>
      <c r="DB4" s="3">
        <f t="shared" si="56"/>
        <v>-0.211245995328425</v>
      </c>
      <c r="DC4" s="3">
        <f t="shared" si="57"/>
        <v>0.20397645305706039</v>
      </c>
      <c r="DD4" s="3">
        <f t="shared" si="58"/>
        <v>24.034767694096736</v>
      </c>
      <c r="DE4" s="3">
        <f t="shared" si="59"/>
        <v>24.034767694096736</v>
      </c>
      <c r="DF4" s="80">
        <f t="shared" si="60"/>
        <v>0.25858772886157166</v>
      </c>
      <c r="DG4" s="3">
        <f t="shared" si="61"/>
        <v>0.80957489074294797</v>
      </c>
      <c r="DH4" s="3">
        <f t="shared" si="62"/>
        <v>0.54275480560406808</v>
      </c>
      <c r="DI4" s="3">
        <f t="shared" si="63"/>
        <v>1.2075646257834693</v>
      </c>
      <c r="DJ4" s="35">
        <f t="shared" si="64"/>
        <v>-5.9414208080664471E-2</v>
      </c>
      <c r="DL4" s="44">
        <f t="shared" si="65"/>
        <v>0.80957489074294797</v>
      </c>
      <c r="DM4" s="3">
        <f t="shared" si="100"/>
        <v>0.26682008513887989</v>
      </c>
      <c r="DN4" s="35">
        <f t="shared" si="101"/>
        <v>0.39798973504052138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-0.5178887241588932</v>
      </c>
      <c r="FA4" s="15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126</v>
      </c>
      <c r="FP4" s="3" t="str">
        <f>IF(FP3&lt;&gt;"",SUMPRODUCT(FF:FF,FG:FG,FE:FE)/SUMPRODUCT(FG:FG,FG:FG,FE:FE),"")</f>
        <v/>
      </c>
      <c r="FR4" s="153"/>
      <c r="FS4" s="140"/>
      <c r="FT4" s="76">
        <f>IF(AND(Include_study?="Yes",Sufficient_data="Yes"),IF(Additional_weighting_method="Inverse Variance",1/'Publication Bias Analysis'!F:F^2,IF(Additional_weighting_method="Mantel-Haenszel",Weightf_MH,Weightf_Peto)),"")</f>
        <v>24.034767694096736</v>
      </c>
      <c r="FU4" s="3">
        <f>IF(AND(Include_study?="Yes",Sufficient_data="Yes"),1/('Publication Bias Analysis'!F:F^2+IF(Additional_model="Fixed effect",0,Calculations!GH$12)),"")</f>
        <v>24.034767694096736</v>
      </c>
      <c r="FV4" s="3">
        <f>IF(AND(Include_study?="Yes",Sufficient_data="Yes"),1/('Publication Bias Analysis'!F:F^2+IF(Additional_model="Fixed effect",0,'Publication Bias Analysis'!L$32)),"")</f>
        <v>24.034767694096736</v>
      </c>
      <c r="FW4" s="3">
        <f>IF(AND(Include_study?="Yes",Sufficient_data="Yes"),'Publication Bias Analysis'!E:E-'Publication Bias Analysis'!I$37,"")</f>
        <v>0.14693273342605648</v>
      </c>
      <c r="FX4" s="3">
        <f>IF(AND(Include_study?="Yes",Sufficient_data="Yes"),IF(Additional_model="Fixed effect",1/'Publication Bias Analysis'!F:F,1/SQRT('Publication Bias Analysis'!F:F^2+GH$12)),"")</f>
        <v>4.9025266642922745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-1.0356391248225649</v>
      </c>
      <c r="FZ4" s="6">
        <f t="shared" si="80"/>
        <v>-4</v>
      </c>
      <c r="GA4" s="83">
        <f>IF(AND(Include_study?="Yes",Sufficient_data="Yes"),FZ:FZ+IF(GL:GL&lt;0,-1,1)*COUNTIF(FZ$2:FZ3,FZ:FZ),"")</f>
        <v>-4</v>
      </c>
      <c r="GB4" s="83">
        <f>IF(AND(Include_study?="Yes",Sufficient_data="Yes"),RANK(GP:GP,GP:GP,1)*IF(GO:GO&lt;0,-1,1)+IF(GO:GO&lt;0,-1,1)*COUNTIF(FZ$2:FZ3,FZ:FZ),"")</f>
        <v>-4</v>
      </c>
      <c r="GC4" s="83">
        <f>IF(AND(Include_study?="Yes",Sufficient_data="Yes"),RANK(GS:GS,GS:GS,1)*IF(GR:GR&lt;0,-1,1)+IF(GR:GR&lt;0,-1,1)*COUNTIF(FZ$2:FZ3,FZ:FZ),"")</f>
        <v>-4</v>
      </c>
      <c r="GD4" s="3">
        <f>IF(AND(Include_study?="Yes",Sufficient_data="Yes"),'Publication Bias Analysis'!E4,NA())</f>
        <v>-0.211245995328425</v>
      </c>
      <c r="GE4" s="35">
        <f>IF(AND(Include_study?="Yes",Sufficient_data="Yes"),'Publication Bias Analysis'!F4,NA())</f>
        <v>0.20397645305706039</v>
      </c>
      <c r="GG4" s="2" t="s">
        <v>279</v>
      </c>
      <c r="GH4" s="3">
        <f>IF(Trim_and_fill="Off",'Publication Bias Analysis'!I29,'Publication Bias Analysis'!I37)</f>
        <v>-0.35817872875448148</v>
      </c>
      <c r="GI4" s="3">
        <v>0</v>
      </c>
      <c r="GK4" s="134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-0.14693273342605648</v>
      </c>
      <c r="GM4" s="3">
        <f t="shared" si="81"/>
        <v>0.14693273342605648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24.034767694096736</v>
      </c>
      <c r="GO4" s="3">
        <f>IF(AND(Include_study?="Yes",Sufficient_data="Yes"),IF('Publication Bias Analysis'!L$38="Left",'Publication Bias Analysis'!E:E-GW$3,GW$3-'Publication Bias Analysis'!E:E),"")</f>
        <v>-0.14693273342605648</v>
      </c>
      <c r="GP4" s="3">
        <f t="shared" si="82"/>
        <v>0.14693273342605648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24.034767694096736</v>
      </c>
      <c r="GR4" s="3">
        <f>IF(AND(Include_study?="Yes",Sufficient_data="Yes"),IF('Publication Bias Analysis'!L$38="Left",'Publication Bias Analysis'!E:E-GW$10,GW$10-'Publication Bias Analysis'!E:E),"")</f>
        <v>-0.14693273342605648</v>
      </c>
      <c r="GS4" s="3">
        <f t="shared" si="83"/>
        <v>0.14693273342605648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24.034767694096736</v>
      </c>
      <c r="GV4" s="136" t="s">
        <v>57</v>
      </c>
      <c r="GW4" s="136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4"/>
      <c r="HL4" s="3">
        <f t="shared" si="89"/>
        <v>-0.69762808249217745</v>
      </c>
      <c r="HM4" s="35">
        <f>IF(AND(Include_study?="Yes",Sufficient_data="Yes"),Z_score-('Publication Bias Analysis'!P$3+'Publication Bias Analysis'!P$4*Inverse_standard_error),"")</f>
        <v>-0.27186153954548464</v>
      </c>
      <c r="HO4" s="134"/>
      <c r="HP4" s="3">
        <f>IF(AND(Include_study?="Yes",Sufficient_data="Yes"),(GD:GD-SUMPRODUCT(Calculations!FT:FT,'Publication Bias Analysis'!E:E)/SUM(Calculations!FT:FT))/SQRT(Calculations!HQ:HQ),"")</f>
        <v>0.75294191454335546</v>
      </c>
      <c r="HQ4" s="3">
        <f>IF(AND(Include_study?="Yes",Sufficient_data="Yes"),GE:GE^2-1/SUM(Calculations!FT:FT),"")</f>
        <v>3.8081510643329035E-2</v>
      </c>
      <c r="HR4" s="6">
        <f t="shared" si="90"/>
        <v>4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5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3</v>
      </c>
      <c r="HW4" s="134"/>
      <c r="HX4" s="20">
        <v>3</v>
      </c>
      <c r="HY4" s="3">
        <f t="shared" si="123"/>
        <v>-2</v>
      </c>
      <c r="HZ4" s="35">
        <f>HZ5-HY14</f>
        <v>-1.2000000000000002</v>
      </c>
      <c r="IB4" s="134"/>
      <c r="IC4" s="76">
        <f t="shared" si="92"/>
        <v>1.2069473064468648E-2</v>
      </c>
      <c r="ID4" s="3">
        <f t="shared" si="93"/>
        <v>1.4866204162537165E-2</v>
      </c>
      <c r="IE4" s="3">
        <f t="shared" si="94"/>
        <v>24.682360781338726</v>
      </c>
      <c r="IF4" s="35">
        <f t="shared" si="95"/>
        <v>24.034767694096736</v>
      </c>
      <c r="IH4" s="3">
        <f>MAX('Publication Bias Analysis'!AH:AH)</f>
        <v>8.4726867335562991E-2</v>
      </c>
      <c r="II4" s="3">
        <f>MAX('Publication Bias Analysis'!AH:AH)</f>
        <v>8.4726867335562991E-2</v>
      </c>
      <c r="IK4" s="134"/>
      <c r="IL4" s="3">
        <f>IF(AND(Include_study?="Yes",Sufficient_data="Yes"),'Publication Bias Analysis'!AV:AV,NA())</f>
        <v>-1.0356391248225649</v>
      </c>
      <c r="IM4" s="3">
        <f>IF(AND(Sufficient_data="Yes",Include_study?="Yes"),'Publication Bias Analysis'!AU:AU,NA())</f>
        <v>4.9025266642922745</v>
      </c>
      <c r="IN4" s="3">
        <f t="shared" si="96"/>
        <v>-0.69762808249217745</v>
      </c>
      <c r="IO4" s="35">
        <f>IF(AND(Include_study?="Yes",Sufficient_data="Yes"),Z_score-('Publication Bias Analysis'!AY$30+'Publication Bias Analysis'!AY$31*Inverse_standard_error),"")</f>
        <v>0.72034164347859053</v>
      </c>
      <c r="IQ4" s="2" t="s">
        <v>288</v>
      </c>
      <c r="IR4" s="3">
        <f>MAX(Inverse_standard_error)</f>
        <v>6.0567404146446346</v>
      </c>
      <c r="IS4" s="3">
        <f>IR4*'Publication Bias Analysis'!AY31</f>
        <v>-2.1693955821133062</v>
      </c>
      <c r="IU4" s="134"/>
      <c r="IV4" s="6">
        <f>IF('Publication Bias Analysis'!BG:BG&lt;&gt;"",RANK('Publication Bias Analysis'!BG:BG,'Publication Bias Analysis'!BG:BG,1)+COUNTIF('Publication Bias Analysis'!BG$2:BG3,'Publication Bias Analysis'!BG4),"")</f>
        <v>7</v>
      </c>
      <c r="IW4" s="3">
        <f t="shared" si="97"/>
        <v>0.7142857142857143</v>
      </c>
      <c r="IX4" s="3">
        <f>IF('Publication Bias Analysis'!BF4&lt;&gt;"",'Publication Bias Analysis'!BF4,NA())</f>
        <v>0.56594882193286311</v>
      </c>
      <c r="IY4" s="3">
        <f>IF('Publication Bias Analysis'!BG4&lt;&gt;"",'Publication Bias Analysis'!BG4,NA())</f>
        <v>-1.0356391248225649</v>
      </c>
      <c r="IZ4" s="3">
        <f>IF(AND(Include_study?="Yes",Sufficient_data="Yes"),'Publication Bias Analysis'!BF:BF-AVERAGE('Publication Bias Analysis'!BF:BF),"")</f>
        <v>0.56594882193286311</v>
      </c>
      <c r="JA4" s="35">
        <f>IF(AND(Include_study?="Yes",Sufficient_data="Yes"),'Publication Bias Analysis'!BG:BG-('Publication Bias Analysis'!BJ$30+'Publication Bias Analysis'!BJ$31*'Publication Bias Analysis'!BF:BF),"")</f>
        <v>-3.6408948299582855E-2</v>
      </c>
      <c r="JC4" s="2" t="s">
        <v>249</v>
      </c>
      <c r="JD4" s="3">
        <f>MAX('Publication Bias Analysis'!BF:BF)</f>
        <v>1.4652337926855223</v>
      </c>
      <c r="JE4" s="3">
        <f>'Publication Bias Analysis'!BJ$30+JD4*'Publication Bias Analysis'!BJ$31</f>
        <v>0.53818372911397216</v>
      </c>
      <c r="JG4" s="134"/>
      <c r="JH4" s="3">
        <f t="shared" si="98"/>
        <v>-1.0356391248225649</v>
      </c>
      <c r="JI4" s="10">
        <f t="shared" si="124"/>
        <v>0.15018526600374416</v>
      </c>
      <c r="JJ4" s="35">
        <f t="shared" si="125"/>
        <v>-1.8958856403110576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45</v>
      </c>
      <c r="C5" s="6">
        <f>IF(AND(Include_study?="Yes",Sufficient_data="Yes"),IF(Input!b_&lt;&gt;"",Input!b_,Input!n1_-Input!a_),"")</f>
        <v>3352</v>
      </c>
      <c r="D5" s="6">
        <f>IF(AND(Include_study?="Yes",Sufficient_data="Yes"),IF(Input!c_&lt;&gt;"",Input!c_,Input!n2_-Input!d_),"")</f>
        <v>71</v>
      </c>
      <c r="E5" s="6">
        <f>IF(AND(Include_study?="Yes",Sufficient_data="Yes"),IF(Input!d_&lt;&gt;"",Input!d_,Input!n2_-Input!c_),"")</f>
        <v>3965</v>
      </c>
      <c r="F5" s="35" t="str">
        <f t="shared" si="1"/>
        <v>No</v>
      </c>
      <c r="H5" s="153"/>
      <c r="I5" s="140"/>
      <c r="J5" s="76">
        <f t="shared" si="2"/>
        <v>0.74971007428821135</v>
      </c>
      <c r="K5" s="3">
        <f t="shared" si="3"/>
        <v>-0.28806871480402096</v>
      </c>
      <c r="L5" s="3">
        <f t="shared" si="4"/>
        <v>0.19198246125536622</v>
      </c>
      <c r="M5" s="3">
        <f t="shared" si="5"/>
        <v>0.5145776958373327</v>
      </c>
      <c r="N5" s="35">
        <f t="shared" si="6"/>
        <v>1.0922844111512255</v>
      </c>
      <c r="P5" s="134"/>
      <c r="Q5" s="76">
        <f t="shared" si="7"/>
        <v>0.75369091820504053</v>
      </c>
      <c r="R5" s="3">
        <f t="shared" si="8"/>
        <v>0.18784433793356031</v>
      </c>
      <c r="S5" s="3">
        <f t="shared" si="9"/>
        <v>0.52152345377621945</v>
      </c>
      <c r="T5" s="35">
        <f t="shared" si="10"/>
        <v>1.0892127594102445</v>
      </c>
      <c r="V5" s="134"/>
      <c r="W5" s="76">
        <f t="shared" si="11"/>
        <v>-4.3446922939350974E-3</v>
      </c>
      <c r="X5" s="3">
        <f t="shared" si="12"/>
        <v>2.8513098659425202E-3</v>
      </c>
      <c r="Y5" s="3">
        <f t="shared" si="13"/>
        <v>-9.9340673374035925E-3</v>
      </c>
      <c r="Z5" s="35">
        <f t="shared" si="14"/>
        <v>1.2446827495333967E-3</v>
      </c>
      <c r="AB5" s="134"/>
      <c r="AC5" s="76">
        <f t="shared" si="15"/>
        <v>0.75302566058701337</v>
      </c>
      <c r="AD5" s="3">
        <f t="shared" si="16"/>
        <v>-0.28365597395808007</v>
      </c>
      <c r="AE5" s="3">
        <f t="shared" si="17"/>
        <v>0.18911526063034631</v>
      </c>
      <c r="AF5" s="3">
        <f t="shared" si="18"/>
        <v>0.51976657807051485</v>
      </c>
      <c r="AG5" s="35">
        <f t="shared" si="19"/>
        <v>1.0909659632358635</v>
      </c>
      <c r="AI5" s="153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Zou et al.</v>
      </c>
      <c r="AN5" s="6">
        <f t="shared" si="21"/>
        <v>7433</v>
      </c>
      <c r="AO5" s="3">
        <f t="shared" si="22"/>
        <v>0.74971007428821135</v>
      </c>
      <c r="AP5" s="3">
        <f t="shared" si="23"/>
        <v>27.131692716276554</v>
      </c>
      <c r="AQ5" s="3">
        <f t="shared" si="24"/>
        <v>11.71650546680652</v>
      </c>
      <c r="AR5" s="3">
        <f t="shared" si="25"/>
        <v>0.19198246125536622</v>
      </c>
      <c r="AS5" s="3">
        <f t="shared" si="26"/>
        <v>0.5145776958373327</v>
      </c>
      <c r="AT5" s="3">
        <f t="shared" si="27"/>
        <v>1.0922844111512255</v>
      </c>
      <c r="AU5" s="80">
        <f t="shared" si="28"/>
        <v>0.10494241459281541</v>
      </c>
      <c r="AW5" s="44">
        <f t="shared" si="29"/>
        <v>0.74971007428821135</v>
      </c>
      <c r="AX5" s="3">
        <f t="shared" si="30"/>
        <v>0.23513237845087864</v>
      </c>
      <c r="AY5" s="35">
        <f t="shared" si="31"/>
        <v>0.34257433686301419</v>
      </c>
      <c r="BA5" s="2" t="s">
        <v>289</v>
      </c>
      <c r="BB5" s="3">
        <f>CES_CI_Upper_limit-'Forest Plot'!$B$16</f>
        <v>0.16759938607424785</v>
      </c>
      <c r="BD5" s="153"/>
      <c r="BE5" s="140"/>
      <c r="BF5" s="3">
        <f t="shared" si="32"/>
        <v>-0.28806871480402096</v>
      </c>
      <c r="BG5" s="3">
        <f t="shared" si="33"/>
        <v>0.19198246125536622</v>
      </c>
      <c r="BH5" s="3">
        <f t="shared" si="34"/>
        <v>27.131692716276554</v>
      </c>
      <c r="BI5" s="3">
        <f t="shared" si="99"/>
        <v>11.71650546680652</v>
      </c>
      <c r="BJ5" s="35">
        <f t="shared" si="35"/>
        <v>6.174120045953152E-2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-0.13648267024943164</v>
      </c>
      <c r="BO5" s="134"/>
      <c r="BP5" s="3">
        <f t="shared" si="36"/>
        <v>24.004439660971343</v>
      </c>
      <c r="BQ5" s="3">
        <f t="shared" si="37"/>
        <v>32.018296784609177</v>
      </c>
      <c r="BR5" s="3">
        <f t="shared" si="38"/>
        <v>12.950060949884984</v>
      </c>
      <c r="BS5" s="3">
        <f>IF(AND(Sufficient_data="Yes",Include_study?="Yes"),IF(Add_0_5="Yes",(a_+d_+1)*(ab_+0.5)*(c_+0.5)/(Number_of_subjects+2)^2,(a_+d_)*b_*c_/Number_of_subjects^2),"")</f>
        <v>17.273425280005757</v>
      </c>
      <c r="BT5" s="3">
        <f t="shared" si="39"/>
        <v>11.054378711086359</v>
      </c>
      <c r="BU5" s="3">
        <f t="shared" si="40"/>
        <v>14.744871504603418</v>
      </c>
      <c r="BV5" s="3">
        <f t="shared" si="41"/>
        <v>32.018296784609177</v>
      </c>
      <c r="BW5" s="3">
        <f t="shared" si="42"/>
        <v>0.11421296907704019</v>
      </c>
      <c r="BX5" s="3">
        <f t="shared" si="43"/>
        <v>12.883040494256987</v>
      </c>
      <c r="BY5" s="35">
        <f t="shared" si="44"/>
        <v>6.2340630106658967E-2</v>
      </c>
      <c r="CA5" s="3" t="s">
        <v>290</v>
      </c>
      <c r="CB5" s="3">
        <f>lnCES_OddsRatio_MH-ABS(TINV((1-Confidence_level),k_-1))*SElnCES_MH</f>
        <v>-0.56405595765567762</v>
      </c>
      <c r="CD5" s="134"/>
      <c r="CE5" s="76">
        <f t="shared" si="45"/>
        <v>53.013857123637834</v>
      </c>
      <c r="CF5" s="3">
        <f t="shared" si="46"/>
        <v>28.340256858421125</v>
      </c>
      <c r="CG5" s="3">
        <f t="shared" si="47"/>
        <v>-0.28277291782048786</v>
      </c>
      <c r="CH5" s="3">
        <f t="shared" si="48"/>
        <v>3.5285495293697608E-2</v>
      </c>
      <c r="CI5" s="3">
        <f t="shared" si="49"/>
        <v>28.340256858421125</v>
      </c>
      <c r="CJ5" s="3">
        <f t="shared" si="50"/>
        <v>10.727014912015875</v>
      </c>
      <c r="CK5" s="35">
        <f t="shared" si="51"/>
        <v>7.4682323231418102E-2</v>
      </c>
      <c r="CM5" s="3" t="s">
        <v>290</v>
      </c>
      <c r="CN5" s="3">
        <f>lnCES_PetoOddsRatio-ABS(TINV((1-Confidence_level),k_-1))*SElnCES_Peto</f>
        <v>-0.58744019887802323</v>
      </c>
      <c r="CP5" s="134"/>
      <c r="CQ5" s="52">
        <f t="shared" si="52"/>
        <v>1.7591674925668981E-2</v>
      </c>
      <c r="CS5" s="2" t="s">
        <v>96</v>
      </c>
      <c r="CT5" s="3">
        <f>IF(Weighting_method="Inverse variance",IF(Model_effect_size_measure="Odds Ratio",CICES_UL,""),"")</f>
        <v>0.87242143897454782</v>
      </c>
      <c r="CU5" s="3">
        <f>IF(Model_effect_size_measure="Odds Ratio",CICES_UL_MH,"")</f>
        <v>0.87217714116542366</v>
      </c>
      <c r="CV5" s="3" t="str">
        <f>IF(Model_effect_size_measure="Peto Odds Ratio",CICES_UL_Peto,"")</f>
        <v/>
      </c>
      <c r="CX5" s="153"/>
      <c r="CY5" s="48">
        <f t="shared" si="53"/>
        <v>5</v>
      </c>
      <c r="CZ5" s="6" t="str">
        <f t="shared" si="54"/>
        <v>Zou et al.</v>
      </c>
      <c r="DA5" s="17" t="str">
        <f t="shared" si="55"/>
        <v>Hand</v>
      </c>
      <c r="DB5" s="3">
        <f t="shared" si="56"/>
        <v>-0.28806871480402096</v>
      </c>
      <c r="DC5" s="3">
        <f t="shared" si="57"/>
        <v>0.19198246125536622</v>
      </c>
      <c r="DD5" s="3">
        <f t="shared" si="58"/>
        <v>27.131692716276554</v>
      </c>
      <c r="DE5" s="3">
        <f t="shared" si="59"/>
        <v>27.131692716276554</v>
      </c>
      <c r="DF5" s="80">
        <f t="shared" si="60"/>
        <v>0.43136918313467415</v>
      </c>
      <c r="DG5" s="3">
        <f t="shared" si="61"/>
        <v>0.74971007428821135</v>
      </c>
      <c r="DH5" s="3">
        <f t="shared" si="62"/>
        <v>0.51457770008223069</v>
      </c>
      <c r="DI5" s="3">
        <f t="shared" si="63"/>
        <v>1.0922844021406604</v>
      </c>
      <c r="DJ5" s="35">
        <f t="shared" si="64"/>
        <v>-5.3187069281743105E-2</v>
      </c>
      <c r="DL5" s="44">
        <f t="shared" si="65"/>
        <v>0.74971007428821135</v>
      </c>
      <c r="DM5" s="3">
        <f t="shared" si="100"/>
        <v>0.23513237420598065</v>
      </c>
      <c r="DN5" s="35">
        <f t="shared" si="101"/>
        <v>0.34257432785244901</v>
      </c>
      <c r="DP5" s="48">
        <f t="shared" si="102"/>
        <v>7</v>
      </c>
      <c r="DQ5" s="17" t="str">
        <f>IF(AND(Sufficient_data="Yes",Subgroup&lt;&gt;""),IF(COUNTIFS(Input!J$2:J4,"="&amp;"Yes",Input!C$2:C4,"="&amp;"Yes",Input!K$2:K4,"="&amp;Subgroup)&gt;0,"",Subgroup),"")</f>
        <v>Hand</v>
      </c>
      <c r="DR5" s="6">
        <f t="shared" si="103"/>
        <v>2</v>
      </c>
      <c r="DS5" s="6">
        <f t="shared" si="66"/>
        <v>2</v>
      </c>
      <c r="DT5" s="3">
        <f t="shared" si="67"/>
        <v>0.13497664160895306</v>
      </c>
      <c r="DU5" s="10">
        <f t="shared" si="104"/>
        <v>0.71332688174927505</v>
      </c>
      <c r="DV5" s="9">
        <f t="shared" si="105"/>
        <v>0</v>
      </c>
      <c r="DW5" s="10">
        <f t="shared" si="68"/>
        <v>30.855833184390697</v>
      </c>
      <c r="DX5" s="3">
        <f t="shared" si="69"/>
        <v>0</v>
      </c>
      <c r="DY5" s="3">
        <f t="shared" si="106"/>
        <v>0</v>
      </c>
      <c r="DZ5" s="3">
        <f t="shared" si="70"/>
        <v>-0.23488164552227786</v>
      </c>
      <c r="EA5" s="3">
        <f t="shared" si="71"/>
        <v>4.6324999382681475E-2</v>
      </c>
      <c r="EB5" s="6">
        <f t="shared" si="72"/>
        <v>20533</v>
      </c>
      <c r="EC5" s="3">
        <f t="shared" si="107"/>
        <v>-0.82349657208179505</v>
      </c>
      <c r="ED5" s="3">
        <f t="shared" si="108"/>
        <v>0.35373328103723933</v>
      </c>
      <c r="EE5" s="3">
        <f t="shared" si="109"/>
        <v>0.79066442276603632</v>
      </c>
      <c r="EF5" s="3">
        <f t="shared" si="110"/>
        <v>0.43889434270594163</v>
      </c>
      <c r="EG5" s="3">
        <f t="shared" si="111"/>
        <v>1.4243752279276904</v>
      </c>
      <c r="EH5" s="3">
        <f t="shared" si="112"/>
        <v>0.35177008006009469</v>
      </c>
      <c r="EI5" s="3">
        <f t="shared" si="113"/>
        <v>0.63371080516165412</v>
      </c>
      <c r="EJ5" s="3">
        <f t="shared" si="114"/>
        <v>-0.82349657208179505</v>
      </c>
      <c r="EK5" s="3">
        <f t="shared" si="73"/>
        <v>0.35373328103723933</v>
      </c>
      <c r="EL5" s="3">
        <f t="shared" si="115"/>
        <v>0.43889434270594163</v>
      </c>
      <c r="EM5" s="3">
        <f t="shared" si="116"/>
        <v>1.4243752279276904</v>
      </c>
      <c r="EN5" s="3">
        <f t="shared" si="117"/>
        <v>0.35177008006009469</v>
      </c>
      <c r="EO5" s="3">
        <f t="shared" si="118"/>
        <v>0.63371080516165412</v>
      </c>
      <c r="EP5" s="3">
        <f t="shared" si="74"/>
        <v>0.13497664160895306</v>
      </c>
      <c r="EQ5" s="3">
        <f t="shared" si="119"/>
        <v>0.79066442276603632</v>
      </c>
      <c r="ER5" s="9">
        <f t="shared" si="120"/>
        <v>0.46396024506165739</v>
      </c>
      <c r="ES5" s="3">
        <f t="shared" si="121"/>
        <v>465.98201561174227</v>
      </c>
      <c r="ET5" s="3">
        <f t="shared" si="122"/>
        <v>62.236410628085004</v>
      </c>
      <c r="EU5" s="3">
        <f t="shared" si="75"/>
        <v>0.10519243286967386</v>
      </c>
      <c r="EV5" s="35">
        <f t="shared" si="76"/>
        <v>4.111213028561822E-2</v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-3.4098827456898989E-2</v>
      </c>
      <c r="FA5" s="15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99</v>
      </c>
      <c r="FP5" s="3" t="str">
        <f>IF(FP3&lt;&gt;"",FP2-FP3*FP4,"")</f>
        <v/>
      </c>
      <c r="FR5" s="153"/>
      <c r="FS5" s="140"/>
      <c r="FT5" s="76">
        <f>IF(AND(Include_study?="Yes",Sufficient_data="Yes"),IF(Additional_weighting_method="Inverse Variance",1/'Publication Bias Analysis'!F:F^2,IF(Additional_weighting_method="Mantel-Haenszel",Weightf_MH,Weightf_Peto)),"")</f>
        <v>27.131692716276554</v>
      </c>
      <c r="FU5" s="3">
        <f>IF(AND(Include_study?="Yes",Sufficient_data="Yes"),1/('Publication Bias Analysis'!F:F^2+IF(Additional_model="Fixed effect",0,Calculations!GH$12)),"")</f>
        <v>27.131692716276554</v>
      </c>
      <c r="FV5" s="3">
        <f>IF(AND(Include_study?="Yes",Sufficient_data="Yes"),1/('Publication Bias Analysis'!F:F^2+IF(Additional_model="Fixed effect",0,'Publication Bias Analysis'!L$32)),"")</f>
        <v>27.131692716276554</v>
      </c>
      <c r="FW5" s="3">
        <f>IF(AND(Include_study?="Yes",Sufficient_data="Yes"),'Publication Bias Analysis'!E:E-'Publication Bias Analysis'!I$37,"")</f>
        <v>7.0110013950460515E-2</v>
      </c>
      <c r="FX5" s="3">
        <f>IF(AND(Include_study?="Yes",Sufficient_data="Yes"),IF(Additional_model="Fixed effect",1/'Publication Bias Analysis'!F:F,1/SQRT('Publication Bias Analysis'!F:F^2+GH$12)),"")</f>
        <v>5.2088091456950645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-1.5004949562598078</v>
      </c>
      <c r="FZ5" s="6">
        <f t="shared" si="80"/>
        <v>-1</v>
      </c>
      <c r="GA5" s="83">
        <f>IF(AND(Include_study?="Yes",Sufficient_data="Yes"),FZ:FZ+IF(GL:GL&lt;0,-1,1)*COUNTIF(FZ$2:FZ4,FZ:FZ),"")</f>
        <v>-1</v>
      </c>
      <c r="GB5" s="83">
        <f>IF(AND(Include_study?="Yes",Sufficient_data="Yes"),RANK(GP:GP,GP:GP,1)*IF(GO:GO&lt;0,-1,1)+IF(GO:GO&lt;0,-1,1)*COUNTIF(FZ$2:FZ4,FZ:FZ),"")</f>
        <v>-1</v>
      </c>
      <c r="GC5" s="83">
        <f>IF(AND(Include_study?="Yes",Sufficient_data="Yes"),RANK(GS:GS,GS:GS,1)*IF(GR:GR&lt;0,-1,1)+IF(GR:GR&lt;0,-1,1)*COUNTIF(FZ$2:FZ4,FZ:FZ),"")</f>
        <v>-1</v>
      </c>
      <c r="GD5" s="3">
        <f>IF(AND(Include_study?="Yes",Sufficient_data="Yes"),'Publication Bias Analysis'!E5,NA())</f>
        <v>-0.28806871480402096</v>
      </c>
      <c r="GE5" s="35">
        <f>IF(AND(Include_study?="Yes",Sufficient_data="Yes"),'Publication Bias Analysis'!F5,NA())</f>
        <v>0.19198246125536622</v>
      </c>
      <c r="GG5" s="2" t="s">
        <v>291</v>
      </c>
      <c r="GH5" s="3">
        <f>IF(Additional_valid_options="Yes",IF(Trim_and_fill="Off",'Publication Bias Analysis'!I29,'Publication Bias Analysis'!I37)+ABS(TINV((1-Additional_confidence_level),k_-1))*GI3,"")</f>
        <v>0.20626592432615015</v>
      </c>
      <c r="GI5" s="3">
        <f>IF(Trim_and_fill="Off",GH17,GH22)</f>
        <v>0.24477174366847246</v>
      </c>
      <c r="GK5" s="134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-7.0110013950460515E-2</v>
      </c>
      <c r="GM5" s="3">
        <f t="shared" si="81"/>
        <v>7.0110013950460515E-2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27.131692716276554</v>
      </c>
      <c r="GO5" s="3">
        <f>IF(AND(Include_study?="Yes",Sufficient_data="Yes"),IF('Publication Bias Analysis'!L$38="Left",'Publication Bias Analysis'!E:E-GW$3,GW$3-'Publication Bias Analysis'!E:E),"")</f>
        <v>-7.0110013950460515E-2</v>
      </c>
      <c r="GP5" s="3">
        <f t="shared" si="82"/>
        <v>7.0110013950460515E-2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27.131692716276554</v>
      </c>
      <c r="GR5" s="3">
        <f>IF(AND(Include_study?="Yes",Sufficient_data="Yes"),IF('Publication Bias Analysis'!L$38="Left",'Publication Bias Analysis'!E:E-GW$10,GW$10-'Publication Bias Analysis'!E:E),"")</f>
        <v>-7.0110013950460515E-2</v>
      </c>
      <c r="GS5" s="3">
        <f t="shared" si="83"/>
        <v>7.0110013950460515E-2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27.131692716276554</v>
      </c>
      <c r="GV5" s="2" t="s">
        <v>58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20.198559181520956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4"/>
      <c r="HL5" s="3">
        <f t="shared" si="89"/>
        <v>-0.39134560108938743</v>
      </c>
      <c r="HM5" s="35">
        <f>IF(AND(Include_study?="Yes",Sufficient_data="Yes"),Z_score-('Publication Bias Analysis'!P$3+'Publication Bias Analysis'!P$4*Inverse_standard_error),"")</f>
        <v>-0.20856099948005435</v>
      </c>
      <c r="HO5" s="134"/>
      <c r="HP5" s="3">
        <f>IF(AND(Include_study?="Yes",Sufficient_data="Yes"),(GD:GD-SUMPRODUCT(Calculations!FT:FT,'Publication Bias Analysis'!E:E)/SUM(Calculations!FT:FT))/SQRT(Calculations!HQ:HQ),"")</f>
        <v>0.38401383752661117</v>
      </c>
      <c r="HQ5" s="3">
        <f>IF(AND(Include_study?="Yes",Sufficient_data="Yes"),GE:GE^2-1/SUM(Calculations!FT:FT),"")</f>
        <v>3.3332382671258064E-2</v>
      </c>
      <c r="HR5" s="6">
        <f t="shared" si="90"/>
        <v>6</v>
      </c>
      <c r="HS5" s="6">
        <f t="shared" si="91"/>
        <v>3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5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3</v>
      </c>
      <c r="HW5" s="134"/>
      <c r="HX5" s="20">
        <v>4</v>
      </c>
      <c r="HY5" s="3">
        <f t="shared" si="123"/>
        <v>-1.2000000000000002</v>
      </c>
      <c r="HZ5" s="35">
        <f>HZ6-HY14</f>
        <v>-0.4</v>
      </c>
      <c r="IB5" s="134"/>
      <c r="IC5" s="76">
        <f t="shared" si="92"/>
        <v>1.3246982631733883E-2</v>
      </c>
      <c r="ID5" s="3">
        <f t="shared" si="93"/>
        <v>1.7591674925668981E-2</v>
      </c>
      <c r="IE5" s="3">
        <f t="shared" si="94"/>
        <v>27.960623320029498</v>
      </c>
      <c r="IF5" s="35">
        <f t="shared" si="95"/>
        <v>27.131692716276554</v>
      </c>
      <c r="IH5" s="136" t="s">
        <v>292</v>
      </c>
      <c r="II5" s="136"/>
      <c r="IK5" s="134"/>
      <c r="IL5" s="3">
        <f>IF(AND(Include_study?="Yes",Sufficient_data="Yes"),'Publication Bias Analysis'!AV:AV,NA())</f>
        <v>-1.5004949562598078</v>
      </c>
      <c r="IM5" s="3">
        <f>IF(AND(Sufficient_data="Yes",Include_study?="Yes"),'Publication Bias Analysis'!AU:AU,NA())</f>
        <v>5.2088091456950645</v>
      </c>
      <c r="IN5" s="3">
        <f t="shared" si="96"/>
        <v>-0.39134560108938743</v>
      </c>
      <c r="IO5" s="35">
        <f>IF(AND(Include_study?="Yes",Sufficient_data="Yes"),Z_score-('Publication Bias Analysis'!AY$30+'Publication Bias Analysis'!AY$31*Inverse_standard_error),"")</f>
        <v>0.36518968186996714</v>
      </c>
      <c r="IQ5" s="24" t="s">
        <v>248</v>
      </c>
      <c r="IR5" s="2" t="s">
        <v>245</v>
      </c>
      <c r="IS5" s="2" t="s">
        <v>246</v>
      </c>
      <c r="IU5" s="134"/>
      <c r="IV5" s="6">
        <f>IF('Publication Bias Analysis'!BG:BG&lt;&gt;"",RANK('Publication Bias Analysis'!BG:BG,'Publication Bias Analysis'!BG:BG,1)+COUNTIF('Publication Bias Analysis'!BG$2:BG4,'Publication Bias Analysis'!BG5),"")</f>
        <v>5</v>
      </c>
      <c r="IW5" s="3">
        <f t="shared" si="97"/>
        <v>0.5</v>
      </c>
      <c r="IX5" s="3">
        <f>IF('Publication Bias Analysis'!BF5&lt;&gt;"",'Publication Bias Analysis'!BF5,NA())</f>
        <v>0</v>
      </c>
      <c r="IY5" s="3">
        <f>IF('Publication Bias Analysis'!BG5&lt;&gt;"",'Publication Bias Analysis'!BG5,NA())</f>
        <v>-1.5004949562598078</v>
      </c>
      <c r="IZ5" s="3">
        <f>IF(AND(Include_study?="Yes",Sufficient_data="Yes"),'Publication Bias Analysis'!BF:BF-AVERAGE('Publication Bias Analysis'!BF:BF),"")</f>
        <v>0</v>
      </c>
      <c r="JA5" s="35">
        <f>IF(AND(Include_study?="Yes",Sufficient_data="Yes"),'Publication Bias Analysis'!BG:BG-('Publication Bias Analysis'!BJ$30+'Publication Bias Analysis'!BJ$31*'Publication Bias Analysis'!BF:BF),"")</f>
        <v>0.46627901007009775</v>
      </c>
      <c r="JC5" s="24" t="s">
        <v>293</v>
      </c>
      <c r="JD5" s="2" t="s">
        <v>245</v>
      </c>
      <c r="JE5" s="2" t="s">
        <v>246</v>
      </c>
      <c r="JG5" s="134"/>
      <c r="JH5" s="3">
        <f t="shared" si="98"/>
        <v>-1.5004949562598078</v>
      </c>
      <c r="JI5" s="10">
        <f t="shared" si="124"/>
        <v>6.6743119517936322E-2</v>
      </c>
      <c r="JJ5" s="35">
        <f t="shared" si="125"/>
        <v>-2.7069040653976963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66</v>
      </c>
      <c r="C6" s="6">
        <f>IF(AND(Include_study?="Yes",Sufficient_data="Yes"),IF(Input!b_&lt;&gt;"",Input!b_,Input!n1_-Input!a_),"")</f>
        <v>6484</v>
      </c>
      <c r="D6" s="6">
        <f>IF(AND(Include_study?="Yes",Sufficient_data="Yes"),IF(Input!c_&lt;&gt;"",Input!c_,Input!n2_-Input!d_),"")</f>
        <v>80</v>
      </c>
      <c r="E6" s="6">
        <f>IF(AND(Include_study?="Yes",Sufficient_data="Yes"),IF(Input!d_&lt;&gt;"",Input!d_,Input!n2_-Input!c_),"")</f>
        <v>6470</v>
      </c>
      <c r="F6" s="35" t="str">
        <f t="shared" si="1"/>
        <v>No</v>
      </c>
      <c r="H6" s="153"/>
      <c r="I6" s="140"/>
      <c r="J6" s="76">
        <f t="shared" si="2"/>
        <v>0.82321869216533006</v>
      </c>
      <c r="K6" s="3">
        <f t="shared" si="3"/>
        <v>-0.19453338800807651</v>
      </c>
      <c r="L6" s="3">
        <f t="shared" si="4"/>
        <v>0.16721333811474565</v>
      </c>
      <c r="M6" s="3">
        <f t="shared" si="5"/>
        <v>0.59315721541009148</v>
      </c>
      <c r="N6" s="35">
        <f t="shared" si="6"/>
        <v>1.142511626806836</v>
      </c>
      <c r="P6" s="134"/>
      <c r="Q6" s="76">
        <f t="shared" si="7"/>
        <v>0.82371761201042859</v>
      </c>
      <c r="R6" s="3">
        <f t="shared" si="8"/>
        <v>0.16644497661385013</v>
      </c>
      <c r="S6" s="3">
        <f t="shared" si="9"/>
        <v>0.59441127323866172</v>
      </c>
      <c r="T6" s="35">
        <f t="shared" si="10"/>
        <v>1.14148357355217</v>
      </c>
      <c r="V6" s="134"/>
      <c r="W6" s="76">
        <f t="shared" si="11"/>
        <v>-2.1374045801526714E-3</v>
      </c>
      <c r="X6" s="3">
        <f t="shared" si="12"/>
        <v>1.8343361357193763E-3</v>
      </c>
      <c r="Y6" s="3">
        <f t="shared" si="13"/>
        <v>-5.7329696014482897E-3</v>
      </c>
      <c r="Z6" s="35">
        <f t="shared" si="14"/>
        <v>1.4581604411429473E-3</v>
      </c>
      <c r="AB6" s="134"/>
      <c r="AC6" s="76">
        <f t="shared" si="15"/>
        <v>0.82500000000000007</v>
      </c>
      <c r="AD6" s="3">
        <f t="shared" si="16"/>
        <v>-0.19237189264745599</v>
      </c>
      <c r="AE6" s="3">
        <f t="shared" si="17"/>
        <v>0.16536677913070924</v>
      </c>
      <c r="AF6" s="3">
        <f t="shared" si="18"/>
        <v>0.59659619934381836</v>
      </c>
      <c r="AG6" s="35">
        <f t="shared" si="19"/>
        <v>1.140847026428601</v>
      </c>
      <c r="AI6" s="153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Law et al.</v>
      </c>
      <c r="AN6" s="6">
        <f t="shared" si="21"/>
        <v>13100</v>
      </c>
      <c r="AO6" s="3">
        <f t="shared" si="22"/>
        <v>0.82321869216533006</v>
      </c>
      <c r="AP6" s="3">
        <f t="shared" si="23"/>
        <v>35.764994801167163</v>
      </c>
      <c r="AQ6" s="3">
        <f t="shared" si="24"/>
        <v>13.079980105803935</v>
      </c>
      <c r="AR6" s="3">
        <f t="shared" si="25"/>
        <v>0.16721333811474565</v>
      </c>
      <c r="AS6" s="3">
        <f t="shared" si="26"/>
        <v>0.59315721541009148</v>
      </c>
      <c r="AT6" s="3">
        <f t="shared" si="27"/>
        <v>1.142511626806836</v>
      </c>
      <c r="AU6" s="80">
        <f t="shared" si="28"/>
        <v>0.1171547863838607</v>
      </c>
      <c r="AW6" s="44">
        <f t="shared" si="29"/>
        <v>0.82321869216533006</v>
      </c>
      <c r="AX6" s="3">
        <f t="shared" si="30"/>
        <v>0.23006147675523858</v>
      </c>
      <c r="AY6" s="35">
        <f t="shared" si="31"/>
        <v>0.31929293464150599</v>
      </c>
      <c r="BA6" s="2" t="s">
        <v>294</v>
      </c>
      <c r="BB6" s="3">
        <f>'Forest Plot'!$B$16-CES_PI_Lower_limit</f>
        <v>0.29849800786761788</v>
      </c>
      <c r="BD6" s="153"/>
      <c r="BE6" s="140"/>
      <c r="BF6" s="3">
        <f t="shared" si="32"/>
        <v>-0.19453338800807651</v>
      </c>
      <c r="BG6" s="3">
        <f t="shared" si="33"/>
        <v>0.16721333811474565</v>
      </c>
      <c r="BH6" s="3">
        <f t="shared" si="34"/>
        <v>35.764994801167163</v>
      </c>
      <c r="BI6" s="3">
        <f t="shared" si="99"/>
        <v>13.079980105803935</v>
      </c>
      <c r="BJ6" s="35">
        <f t="shared" si="35"/>
        <v>0.15527652725547597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-0.90060429725054858</v>
      </c>
      <c r="BO6" s="134"/>
      <c r="BP6" s="3">
        <f t="shared" si="36"/>
        <v>32.596946564885499</v>
      </c>
      <c r="BQ6" s="3">
        <f t="shared" si="37"/>
        <v>39.596946564885499</v>
      </c>
      <c r="BR6" s="3">
        <f t="shared" si="38"/>
        <v>16.263636850999358</v>
      </c>
      <c r="BS6" s="3">
        <f>IF(AND(Sufficient_data="Yes",Include_study?="Yes"),IF(Add_0_5="Yes",(a_+d_+1)*(ab_+0.5)*(c_+0.5)/(Number_of_subjects+2)^2,(a_+d_)*b_*c_/Number_of_subjects^2),"")</f>
        <v>19.756155934968824</v>
      </c>
      <c r="BT6" s="3">
        <f t="shared" si="39"/>
        <v>16.333309713886138</v>
      </c>
      <c r="BU6" s="3">
        <f t="shared" si="40"/>
        <v>19.840790629916672</v>
      </c>
      <c r="BV6" s="3">
        <f t="shared" si="41"/>
        <v>39.596946564885499</v>
      </c>
      <c r="BW6" s="3">
        <f t="shared" si="42"/>
        <v>0.89755167607886654</v>
      </c>
      <c r="BX6" s="3">
        <f t="shared" si="43"/>
        <v>14.55085942197965</v>
      </c>
      <c r="BY6" s="35">
        <f t="shared" si="44"/>
        <v>0.15587595690260342</v>
      </c>
      <c r="CA6" s="3" t="s">
        <v>295</v>
      </c>
      <c r="CB6" s="3">
        <f>lnCES_OddsRatio_MH+ABS(TINV((1-Confidence_level),k_-1))*SElnCES_MH</f>
        <v>-0.13676273216568219</v>
      </c>
      <c r="CD6" s="134"/>
      <c r="CE6" s="76">
        <f t="shared" si="45"/>
        <v>73</v>
      </c>
      <c r="CF6" s="3">
        <f t="shared" si="46"/>
        <v>36.095961523780439</v>
      </c>
      <c r="CG6" s="3">
        <f t="shared" si="47"/>
        <v>-0.19392751167989578</v>
      </c>
      <c r="CH6" s="3">
        <f t="shared" si="48"/>
        <v>2.7703930239985113E-2</v>
      </c>
      <c r="CI6" s="3">
        <f t="shared" si="49"/>
        <v>36.095961523780439</v>
      </c>
      <c r="CJ6" s="3">
        <f t="shared" si="50"/>
        <v>11.676648238427946</v>
      </c>
      <c r="CK6" s="35">
        <f t="shared" si="51"/>
        <v>0.16352772937201018</v>
      </c>
      <c r="CM6" s="3" t="s">
        <v>295</v>
      </c>
      <c r="CN6" s="3">
        <f>lnCES_PetoOddsRatio+ABS(TINV((1-Confidence_level),k_-1))*SElnCES_Peto</f>
        <v>-0.12747028322578866</v>
      </c>
      <c r="CP6" s="134"/>
      <c r="CQ6" s="52">
        <f t="shared" si="52"/>
        <v>1.2213740458015267E-2</v>
      </c>
      <c r="CS6" s="2" t="s">
        <v>296</v>
      </c>
      <c r="CT6" s="3">
        <f>IF(Weighting_method="Inverse variance",IF(Model_effect_size_measure="Odds Ratio",PICES_LL,""),"")</f>
        <v>0.4063240450326821</v>
      </c>
      <c r="CU6" s="3">
        <f>IF(Model_effect_size_measure="Odds Ratio",PICES_LL_MH,"")</f>
        <v>0.4220322421225069</v>
      </c>
      <c r="CV6" s="3" t="str">
        <f>IF(Model_effect_size_measure="Peto Odds Ratio",PICES_LL_Peto,"")</f>
        <v/>
      </c>
      <c r="CX6" s="153"/>
      <c r="CY6" s="48">
        <f t="shared" si="53"/>
        <v>6</v>
      </c>
      <c r="CZ6" s="6" t="str">
        <f t="shared" si="54"/>
        <v>Law et al.</v>
      </c>
      <c r="DA6" s="17" t="str">
        <f t="shared" si="55"/>
        <v>Hand</v>
      </c>
      <c r="DB6" s="3">
        <f t="shared" si="56"/>
        <v>-0.19453338800807651</v>
      </c>
      <c r="DC6" s="3">
        <f t="shared" si="57"/>
        <v>0.16721333811474565</v>
      </c>
      <c r="DD6" s="3">
        <f t="shared" si="58"/>
        <v>35.764994801167163</v>
      </c>
      <c r="DE6" s="3">
        <f t="shared" si="59"/>
        <v>35.764994801167163</v>
      </c>
      <c r="DF6" s="80">
        <f t="shared" si="60"/>
        <v>0.56863081686532579</v>
      </c>
      <c r="DG6" s="3">
        <f t="shared" si="61"/>
        <v>0.82321869216533006</v>
      </c>
      <c r="DH6" s="3">
        <f t="shared" si="62"/>
        <v>0.59315721678176314</v>
      </c>
      <c r="DI6" s="3">
        <f t="shared" si="63"/>
        <v>1.1425116241647864</v>
      </c>
      <c r="DJ6" s="35">
        <f t="shared" si="64"/>
        <v>4.0348257514201347E-2</v>
      </c>
      <c r="DL6" s="44">
        <f t="shared" si="65"/>
        <v>0.82321869216533006</v>
      </c>
      <c r="DM6" s="3">
        <f t="shared" si="100"/>
        <v>0.23006147538356692</v>
      </c>
      <c r="DN6" s="35">
        <f t="shared" si="101"/>
        <v>0.3192929319994563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-0.64006008699759609</v>
      </c>
      <c r="FA6" s="15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297</v>
      </c>
      <c r="FP6" s="3" t="str">
        <f>IF(FP3&lt;&gt;"",SUM(FH:FH),"")</f>
        <v/>
      </c>
      <c r="FR6" s="153"/>
      <c r="FS6" s="140"/>
      <c r="FT6" s="76">
        <f>IF(AND(Include_study?="Yes",Sufficient_data="Yes"),IF(Additional_weighting_method="Inverse Variance",1/'Publication Bias Analysis'!F:F^2,IF(Additional_weighting_method="Mantel-Haenszel",Weightf_MH,Weightf_Peto)),"")</f>
        <v>35.764994801167163</v>
      </c>
      <c r="FU6" s="3">
        <f>IF(AND(Include_study?="Yes",Sufficient_data="Yes"),1/('Publication Bias Analysis'!F:F^2+IF(Additional_model="Fixed effect",0,Calculations!GH$12)),"")</f>
        <v>35.764994801167163</v>
      </c>
      <c r="FV6" s="3">
        <f>IF(AND(Include_study?="Yes",Sufficient_data="Yes"),1/('Publication Bias Analysis'!F:F^2+IF(Additional_model="Fixed effect",0,'Publication Bias Analysis'!L$32)),"")</f>
        <v>35.764994801167163</v>
      </c>
      <c r="FW6" s="3">
        <f>IF(AND(Include_study?="Yes",Sufficient_data="Yes"),'Publication Bias Analysis'!E:E-'Publication Bias Analysis'!I$37,"")</f>
        <v>0.16364534074640497</v>
      </c>
      <c r="FX6" s="3">
        <f>IF(AND(Include_study?="Yes",Sufficient_data="Yes"),IF(Additional_model="Fixed effect",1/'Publication Bias Analysis'!F:F,1/SQRT('Publication Bias Analysis'!F:F^2+GH$12)),"")</f>
        <v>5.9803841683596852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-1.1633843938608726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-0.19453338800807651</v>
      </c>
      <c r="GE6" s="35">
        <f>IF(AND(Include_study?="Yes",Sufficient_data="Yes"),'Publication Bias Analysis'!F6,NA())</f>
        <v>0.16721333811474565</v>
      </c>
      <c r="GG6" s="24" t="s">
        <v>298</v>
      </c>
      <c r="GH6" s="2" t="s">
        <v>245</v>
      </c>
      <c r="GI6" s="2" t="s">
        <v>246</v>
      </c>
      <c r="GK6" s="134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-0.16364534074640497</v>
      </c>
      <c r="GM6" s="3">
        <f t="shared" si="81"/>
        <v>0.16364534074640497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35.764994801167163</v>
      </c>
      <c r="GO6" s="3">
        <f>IF(AND(Include_study?="Yes",Sufficient_data="Yes"),IF('Publication Bias Analysis'!L$38="Left",'Publication Bias Analysis'!E:E-GW$3,GW$3-'Publication Bias Analysis'!E:E),"")</f>
        <v>-0.16364534074640497</v>
      </c>
      <c r="GP6" s="3">
        <f t="shared" si="82"/>
        <v>0.16364534074640497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35.764994801167163</v>
      </c>
      <c r="GR6" s="3">
        <f>IF(AND(Include_study?="Yes",Sufficient_data="Yes"),IF('Publication Bias Analysis'!L$38="Left",'Publication Bias Analysis'!E:E-GW$10,GW$10-'Publication Bias Analysis'!E:E),"")</f>
        <v>-0.16364534074640497</v>
      </c>
      <c r="GS6" s="3">
        <f t="shared" si="83"/>
        <v>0.16364534074640497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35.764994801167163</v>
      </c>
      <c r="GV6" s="2" t="s">
        <v>146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4.4517157615894275E-2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4"/>
      <c r="HL6" s="3">
        <f t="shared" si="89"/>
        <v>0.38022942157523332</v>
      </c>
      <c r="HM6" s="35">
        <f>IF(AND(Include_study?="Yes",Sufficient_data="Yes"),Z_score-('Publication Bias Analysis'!P$3+'Publication Bias Analysis'!P$4*Inverse_standard_error),"")</f>
        <v>1.4590607382437337</v>
      </c>
      <c r="HO6" s="134"/>
      <c r="HP6" s="3">
        <f>IF(AND(Include_study?="Yes",Sufficient_data="Yes"),(GD:GD-SUMPRODUCT(Calculations!FT:FT,'Publication Bias Analysis'!E:E)/SUM(Calculations!FT:FT))/SQRT(Calculations!HQ:HQ),"")</f>
        <v>1.0468724268129954</v>
      </c>
      <c r="HQ6" s="3">
        <f>IF(AND(Include_study?="Yes",Sufficient_data="Yes"),GE:GE^2-1/SUM(Calculations!FT:FT),"")</f>
        <v>2.4435417685066119E-2</v>
      </c>
      <c r="HR6" s="6">
        <f t="shared" si="90"/>
        <v>2</v>
      </c>
      <c r="HS6" s="6">
        <f t="shared" si="91"/>
        <v>7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3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5</v>
      </c>
      <c r="HW6" s="134"/>
      <c r="HX6" s="20">
        <v>5</v>
      </c>
      <c r="HY6" s="3">
        <f t="shared" si="123"/>
        <v>-0.4</v>
      </c>
      <c r="HZ6" s="35">
        <f>1/2*HY14</f>
        <v>0.4</v>
      </c>
      <c r="IB6" s="134"/>
      <c r="IC6" s="76">
        <f t="shared" si="92"/>
        <v>1.0076335877862596E-2</v>
      </c>
      <c r="ID6" s="3">
        <f t="shared" si="93"/>
        <v>1.2213740458015267E-2</v>
      </c>
      <c r="IE6" s="3">
        <f t="shared" si="94"/>
        <v>36.568189988791836</v>
      </c>
      <c r="IF6" s="35">
        <f t="shared" si="95"/>
        <v>35.764994801167163</v>
      </c>
      <c r="IH6" s="3">
        <v>0</v>
      </c>
      <c r="II6" s="3">
        <v>0</v>
      </c>
      <c r="IK6" s="134"/>
      <c r="IL6" s="3">
        <f>IF(AND(Include_study?="Yes",Sufficient_data="Yes"),'Publication Bias Analysis'!AV:AV,NA())</f>
        <v>-1.1633843938608726</v>
      </c>
      <c r="IM6" s="3">
        <f>IF(AND(Sufficient_data="Yes",Include_study?="Yes"),'Publication Bias Analysis'!AU:AU,NA())</f>
        <v>5.9803841683596852</v>
      </c>
      <c r="IN6" s="3">
        <f t="shared" si="96"/>
        <v>0.38022942157523332</v>
      </c>
      <c r="IO6" s="35">
        <f>IF(AND(Include_study?="Yes",Sufficient_data="Yes"),Z_score-('Publication Bias Analysis'!AY$30+'Publication Bias Analysis'!AY$31*Inverse_standard_error),"")</f>
        <v>0.9786620050256265</v>
      </c>
      <c r="IQ6" s="2" t="s">
        <v>99</v>
      </c>
      <c r="IR6" s="3">
        <v>0</v>
      </c>
      <c r="IS6" s="3">
        <f>ABS(TINV((1-Additional_confidence_level),k_-1))*-1</f>
        <v>-2.3060041352041662</v>
      </c>
      <c r="IU6" s="134"/>
      <c r="IV6" s="6">
        <f>IF('Publication Bias Analysis'!BG:BG&lt;&gt;"",RANK('Publication Bias Analysis'!BG:BG,'Publication Bias Analysis'!BG:BG,1)+COUNTIF('Publication Bias Analysis'!BG$2:BG5,'Publication Bias Analysis'!BG6),"")</f>
        <v>6</v>
      </c>
      <c r="IW6" s="3">
        <f t="shared" si="97"/>
        <v>0.6071428571428571</v>
      </c>
      <c r="IX6" s="3">
        <f>IF('Publication Bias Analysis'!BF6&lt;&gt;"",'Publication Bias Analysis'!BF6,NA())</f>
        <v>0.27188000539926077</v>
      </c>
      <c r="IY6" s="3">
        <f>IF('Publication Bias Analysis'!BG6&lt;&gt;"",'Publication Bias Analysis'!BG6,NA())</f>
        <v>-1.1633843938608726</v>
      </c>
      <c r="IZ6" s="3">
        <f>IF(AND(Include_study?="Yes",Sufficient_data="Yes"),'Publication Bias Analysis'!BF:BF-AVERAGE('Publication Bias Analysis'!BF:BF),"")</f>
        <v>0.27188000539926077</v>
      </c>
      <c r="JA6" s="35">
        <f>IF(AND(Include_study?="Yes",Sufficient_data="Yes"),'Publication Bias Analysis'!BG:BG-('Publication Bias Analysis'!BJ$30+'Publication Bias Analysis'!BJ$31*'Publication Bias Analysis'!BF:BF),"")</f>
        <v>0.33858462791888222</v>
      </c>
      <c r="JC6" s="2" t="s">
        <v>285</v>
      </c>
      <c r="JD6" s="3">
        <f>MIN('Publication Bias Analysis'!BF:BF)</f>
        <v>-1.4652337926855223</v>
      </c>
      <c r="JE6" s="3">
        <f>'Publication Bias Analysis'!BJ30</f>
        <v>-1.9667739663299055</v>
      </c>
      <c r="JG6" s="134"/>
      <c r="JH6" s="3">
        <f t="shared" si="98"/>
        <v>-1.1633843938608726</v>
      </c>
      <c r="JI6" s="10">
        <f t="shared" si="124"/>
        <v>0.12233678924213642</v>
      </c>
      <c r="JJ6" s="35">
        <f t="shared" si="125"/>
        <v>-2.1009774700589783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64</v>
      </c>
      <c r="C7" s="6">
        <f>IF(AND(Include_study?="Yes",Sufficient_data="Yes"),IF(Input!b_&lt;&gt;"",Input!b_,Input!n1_-Input!a_),"")</f>
        <v>3280</v>
      </c>
      <c r="D7" s="6">
        <f>IF(AND(Include_study?="Yes",Sufficient_data="Yes"),IF(Input!c_&lt;&gt;"",Input!c_,Input!n2_-Input!d_),"")</f>
        <v>80.5</v>
      </c>
      <c r="E7" s="6">
        <f>IF(AND(Include_study?="Yes",Sufficient_data="Yes"),IF(Input!d_&lt;&gt;"",Input!d_,Input!n2_-Input!c_),"")</f>
        <v>2106.5</v>
      </c>
      <c r="F7" s="35" t="str">
        <f t="shared" si="1"/>
        <v>No</v>
      </c>
      <c r="H7" s="153"/>
      <c r="I7" s="140"/>
      <c r="J7" s="76">
        <f t="shared" si="2"/>
        <v>0.51058930465081054</v>
      </c>
      <c r="K7" s="3">
        <f t="shared" si="3"/>
        <v>-0.6721897210239639</v>
      </c>
      <c r="L7" s="3">
        <f t="shared" si="4"/>
        <v>0.16978503879488513</v>
      </c>
      <c r="M7" s="3">
        <f t="shared" si="5"/>
        <v>0.36603177010706317</v>
      </c>
      <c r="N7" s="35">
        <f t="shared" si="6"/>
        <v>0.71223718626266752</v>
      </c>
      <c r="P7" s="134"/>
      <c r="Q7" s="76">
        <f t="shared" si="7"/>
        <v>0.49939578447964694</v>
      </c>
      <c r="R7" s="3">
        <f t="shared" si="8"/>
        <v>0.17239372055148661</v>
      </c>
      <c r="S7" s="3">
        <f t="shared" si="9"/>
        <v>0.35618115724068117</v>
      </c>
      <c r="T7" s="35">
        <f t="shared" si="10"/>
        <v>0.70019467477758324</v>
      </c>
      <c r="V7" s="134"/>
      <c r="W7" s="76">
        <f t="shared" si="11"/>
        <v>-1.7669657370761985E-2</v>
      </c>
      <c r="X7" s="3">
        <f t="shared" si="12"/>
        <v>4.6717041322535515E-3</v>
      </c>
      <c r="Y7" s="3">
        <f t="shared" si="13"/>
        <v>-2.6828034087911377E-2</v>
      </c>
      <c r="Z7" s="35">
        <f t="shared" si="14"/>
        <v>-8.5112806536125941E-3</v>
      </c>
      <c r="AB7" s="134"/>
      <c r="AC7" s="76">
        <f t="shared" si="15"/>
        <v>0.51995601652352219</v>
      </c>
      <c r="AD7" s="3">
        <f t="shared" si="16"/>
        <v>-0.65401105459267028</v>
      </c>
      <c r="AE7" s="3">
        <f t="shared" si="17"/>
        <v>0.16520009024034651</v>
      </c>
      <c r="AF7" s="3">
        <f t="shared" si="18"/>
        <v>0.37611204887181993</v>
      </c>
      <c r="AG7" s="35">
        <f t="shared" si="19"/>
        <v>0.71881307692736751</v>
      </c>
      <c r="AI7" s="153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Mustaqeem et al. (A)</v>
      </c>
      <c r="AN7" s="6">
        <f t="shared" si="21"/>
        <v>5531</v>
      </c>
      <c r="AO7" s="3">
        <f t="shared" si="22"/>
        <v>0.51058930465081054</v>
      </c>
      <c r="AP7" s="3">
        <f t="shared" si="23"/>
        <v>34.689749486698794</v>
      </c>
      <c r="AQ7" s="3">
        <f t="shared" si="24"/>
        <v>12.933368962785424</v>
      </c>
      <c r="AR7" s="3">
        <f t="shared" si="25"/>
        <v>0.16978503879488513</v>
      </c>
      <c r="AS7" s="3">
        <f t="shared" si="26"/>
        <v>0.36603177010706317</v>
      </c>
      <c r="AT7" s="3">
        <f t="shared" si="27"/>
        <v>0.71223718626266752</v>
      </c>
      <c r="AU7" s="80">
        <f t="shared" si="28"/>
        <v>0.11584161946748246</v>
      </c>
      <c r="AW7" s="44">
        <f t="shared" si="29"/>
        <v>0.51058930465081054</v>
      </c>
      <c r="AX7" s="3">
        <f t="shared" si="30"/>
        <v>0.14455753454374737</v>
      </c>
      <c r="AY7" s="35">
        <f t="shared" si="31"/>
        <v>0.20164788161185698</v>
      </c>
      <c r="BA7" s="2" t="s">
        <v>299</v>
      </c>
      <c r="BB7" s="3">
        <f>CES_PI_Upper_limit-'Forest Plot'!$B$16</f>
        <v>0.51778372770182002</v>
      </c>
      <c r="BD7" s="153"/>
      <c r="BE7" s="140"/>
      <c r="BF7" s="3">
        <f t="shared" si="32"/>
        <v>-0.6721897210239639</v>
      </c>
      <c r="BG7" s="3">
        <f t="shared" si="33"/>
        <v>0.16978503879488513</v>
      </c>
      <c r="BH7" s="3">
        <f t="shared" si="34"/>
        <v>34.689749486698794</v>
      </c>
      <c r="BI7" s="3">
        <f t="shared" si="99"/>
        <v>12.933368962785424</v>
      </c>
      <c r="BJ7" s="35">
        <f t="shared" si="35"/>
        <v>-0.32237980576041142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0.20098446672344356</v>
      </c>
      <c r="BO7" s="134"/>
      <c r="BP7" s="3">
        <f t="shared" si="36"/>
        <v>24.374615801844151</v>
      </c>
      <c r="BQ7" s="3">
        <f t="shared" si="37"/>
        <v>47.738202856626287</v>
      </c>
      <c r="BR7" s="3">
        <f t="shared" si="38"/>
        <v>9.5651968175560889</v>
      </c>
      <c r="BS7" s="3">
        <f>IF(AND(Sufficient_data="Yes",Include_study?="Yes"),IF(Add_0_5="Yes",(a_+d_+1)*(ab_+0.5)*(c_+0.5)/(Number_of_subjects+2)^2,(a_+d_)*b_*c_/Number_of_subjects^2),"")</f>
        <v>18.733641168017964</v>
      </c>
      <c r="BT7" s="3">
        <f t="shared" si="39"/>
        <v>14.809418984288062</v>
      </c>
      <c r="BU7" s="3">
        <f t="shared" si="40"/>
        <v>29.004561688608323</v>
      </c>
      <c r="BV7" s="3">
        <f t="shared" si="41"/>
        <v>47.738202856626287</v>
      </c>
      <c r="BW7" s="3">
        <f t="shared" si="42"/>
        <v>3.5353717003219458</v>
      </c>
      <c r="BX7" s="3">
        <f t="shared" si="43"/>
        <v>14.36964905680963</v>
      </c>
      <c r="BY7" s="35">
        <f t="shared" si="44"/>
        <v>-0.32178037611328397</v>
      </c>
      <c r="CA7" s="3" t="s">
        <v>300</v>
      </c>
      <c r="CB7" s="3">
        <f>lnCES_OddsRatio_MH-ABS(TINV((1-Confidence_level),k_-1))*SQRT(T2_MH+SElnCES_MH^2)</f>
        <v>-0.86267356473079349</v>
      </c>
      <c r="CD7" s="134"/>
      <c r="CE7" s="76">
        <f t="shared" si="45"/>
        <v>87.363587054782144</v>
      </c>
      <c r="CF7" s="3">
        <f t="shared" si="46"/>
        <v>33.647834159578842</v>
      </c>
      <c r="CG7" s="3">
        <f t="shared" si="47"/>
        <v>-0.69435634234220134</v>
      </c>
      <c r="CH7" s="3">
        <f t="shared" si="48"/>
        <v>2.9719594885584059E-2</v>
      </c>
      <c r="CI7" s="3">
        <f t="shared" si="49"/>
        <v>33.647834159578842</v>
      </c>
      <c r="CJ7" s="3">
        <f t="shared" si="50"/>
        <v>11.408143803991605</v>
      </c>
      <c r="CK7" s="35">
        <f t="shared" si="51"/>
        <v>-0.33690110129029538</v>
      </c>
      <c r="CM7" s="3" t="s">
        <v>300</v>
      </c>
      <c r="CN7" s="3">
        <f>lnCES_PetoOddsRatio-ABS(TINV((1-Confidence_level),k_-1))*SQRT(T2_Peto+SElnCES_Peto^2)</f>
        <v>-0.95827344173636952</v>
      </c>
      <c r="CP7" s="134"/>
      <c r="CQ7" s="52">
        <f t="shared" si="52"/>
        <v>3.6808413351623229E-2</v>
      </c>
      <c r="CS7" s="2" t="s">
        <v>301</v>
      </c>
      <c r="CT7" s="3">
        <f>IF(Weighting_method="Inverse variance",IF(Model_effect_size_measure="Odds Ratio",PICES_UL,""),"")</f>
        <v>1.22260578060212</v>
      </c>
      <c r="CU7" s="3">
        <f>IF(Model_effect_size_measure="Odds Ratio",PICES_UL_MH,"")</f>
        <v>1.1756896068789535</v>
      </c>
      <c r="CV7" s="3" t="str">
        <f>IF(Model_effect_size_measure="Peto Odds Ratio",PICES_UL_Peto,"")</f>
        <v/>
      </c>
      <c r="CX7" s="153"/>
      <c r="CY7" s="48">
        <f t="shared" si="53"/>
        <v>8</v>
      </c>
      <c r="CZ7" s="6" t="str">
        <f t="shared" si="54"/>
        <v>Mustaqeem et al. (A)</v>
      </c>
      <c r="DA7" s="17" t="str">
        <f t="shared" si="55"/>
        <v>Image</v>
      </c>
      <c r="DB7" s="3">
        <f t="shared" si="56"/>
        <v>-0.6721897210239639</v>
      </c>
      <c r="DC7" s="3">
        <f t="shared" si="57"/>
        <v>0.16978503879488513</v>
      </c>
      <c r="DD7" s="3">
        <f t="shared" si="58"/>
        <v>34.689749486698794</v>
      </c>
      <c r="DE7" s="3">
        <f t="shared" si="59"/>
        <v>12.713130294914329</v>
      </c>
      <c r="DF7" s="80">
        <f t="shared" si="60"/>
        <v>0.25865360653832725</v>
      </c>
      <c r="DG7" s="3">
        <f t="shared" si="61"/>
        <v>0.51058930465081054</v>
      </c>
      <c r="DH7" s="3">
        <f t="shared" si="62"/>
        <v>0.36603177493094186</v>
      </c>
      <c r="DI7" s="3">
        <f t="shared" si="63"/>
        <v>0.71223717687619892</v>
      </c>
      <c r="DJ7" s="35">
        <f t="shared" si="64"/>
        <v>-0.12069420738181114</v>
      </c>
      <c r="DL7" s="44">
        <f t="shared" si="65"/>
        <v>0.51058930465081054</v>
      </c>
      <c r="DM7" s="3">
        <f t="shared" si="100"/>
        <v>0.14455752971986868</v>
      </c>
      <c r="DN7" s="35">
        <f t="shared" si="101"/>
        <v>0.20164787222538838</v>
      </c>
      <c r="DP7" s="48">
        <f t="shared" si="102"/>
        <v>12</v>
      </c>
      <c r="DQ7" s="17" t="str">
        <f>IF(AND(Sufficient_data="Yes",Subgroup&lt;&gt;""),IF(COUNTIFS(Input!J$2:J6,"="&amp;"Yes",Input!C$2:C6,"="&amp;"Yes",Input!K$2:K6,"="&amp;Subgroup)&gt;0,"",Subgroup),"")</f>
        <v>Image</v>
      </c>
      <c r="DR7" s="6">
        <f t="shared" si="103"/>
        <v>3</v>
      </c>
      <c r="DS7" s="6">
        <f t="shared" si="66"/>
        <v>4</v>
      </c>
      <c r="DT7" s="3">
        <f t="shared" si="67"/>
        <v>7.7571897139372581</v>
      </c>
      <c r="DU7" s="10">
        <f t="shared" si="104"/>
        <v>5.1305670875493502E-2</v>
      </c>
      <c r="DV7" s="9">
        <f t="shared" si="105"/>
        <v>0.61326200458782998</v>
      </c>
      <c r="DW7" s="10">
        <f t="shared" si="68"/>
        <v>95.464796241324862</v>
      </c>
      <c r="DX7" s="3">
        <f t="shared" si="69"/>
        <v>4.9831874169736744E-2</v>
      </c>
      <c r="DY7" s="3">
        <f t="shared" si="106"/>
        <v>0.2232305404055116</v>
      </c>
      <c r="DZ7" s="3">
        <f t="shared" si="70"/>
        <v>-0.55149551364215277</v>
      </c>
      <c r="EA7" s="3">
        <f t="shared" si="71"/>
        <v>0.14447224835035352</v>
      </c>
      <c r="EB7" s="6">
        <f t="shared" si="72"/>
        <v>17343</v>
      </c>
      <c r="EC7" s="3">
        <f t="shared" si="107"/>
        <v>-1.0112706866207657</v>
      </c>
      <c r="ED7" s="3">
        <f t="shared" si="108"/>
        <v>-9.1720340663539957E-2</v>
      </c>
      <c r="EE7" s="3">
        <f t="shared" si="109"/>
        <v>0.57608761893845239</v>
      </c>
      <c r="EF7" s="3">
        <f t="shared" si="110"/>
        <v>0.36375646530473121</v>
      </c>
      <c r="EG7" s="3">
        <f t="shared" si="111"/>
        <v>0.91236026393689207</v>
      </c>
      <c r="EH7" s="3">
        <f t="shared" si="112"/>
        <v>0.21233115363372118</v>
      </c>
      <c r="EI7" s="3">
        <f t="shared" si="113"/>
        <v>0.33627264499843967</v>
      </c>
      <c r="EJ7" s="3">
        <f t="shared" si="114"/>
        <v>-1.3977157341226856</v>
      </c>
      <c r="EK7" s="3">
        <f t="shared" si="73"/>
        <v>0.29472470683838004</v>
      </c>
      <c r="EL7" s="3">
        <f t="shared" si="115"/>
        <v>0.2471609008174564</v>
      </c>
      <c r="EM7" s="3">
        <f t="shared" si="116"/>
        <v>1.342756656075174</v>
      </c>
      <c r="EN7" s="3">
        <f t="shared" si="117"/>
        <v>0.328926718120996</v>
      </c>
      <c r="EO7" s="3">
        <f t="shared" si="118"/>
        <v>0.76666903713672163</v>
      </c>
      <c r="EP7" s="3">
        <f t="shared" si="74"/>
        <v>3.0776843593459837</v>
      </c>
      <c r="EQ7" s="3">
        <f t="shared" si="119"/>
        <v>0.57608761893845239</v>
      </c>
      <c r="ER7" s="9">
        <f t="shared" si="120"/>
        <v>0.21425551108997534</v>
      </c>
      <c r="ES7" s="3">
        <f t="shared" si="121"/>
        <v>47.910547841084067</v>
      </c>
      <c r="ET7" s="3">
        <f t="shared" si="122"/>
        <v>28.740596008940066</v>
      </c>
      <c r="EU7" s="3">
        <f t="shared" si="75"/>
        <v>2.1814459427765103</v>
      </c>
      <c r="EV7" s="35">
        <f t="shared" si="76"/>
        <v>-0.27550173783425669</v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8.8072535381803985E-2</v>
      </c>
      <c r="FA7" s="15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104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53"/>
      <c r="FS7" s="140"/>
      <c r="FT7" s="76">
        <f>IF(AND(Include_study?="Yes",Sufficient_data="Yes"),IF(Additional_weighting_method="Inverse Variance",1/'Publication Bias Analysis'!F:F^2,IF(Additional_weighting_method="Mantel-Haenszel",Weightf_MH,Weightf_Peto)),"")</f>
        <v>34.689749486698794</v>
      </c>
      <c r="FU7" s="3">
        <f>IF(AND(Include_study?="Yes",Sufficient_data="Yes"),1/('Publication Bias Analysis'!F:F^2+IF(Additional_model="Fixed effect",0,Calculations!GH$12)),"")</f>
        <v>34.689749486698794</v>
      </c>
      <c r="FV7" s="3">
        <f>IF(AND(Include_study?="Yes",Sufficient_data="Yes"),1/('Publication Bias Analysis'!F:F^2+IF(Additional_model="Fixed effect",0,'Publication Bias Analysis'!L$32)),"")</f>
        <v>34.689749486698794</v>
      </c>
      <c r="FW7" s="3">
        <f>IF(AND(Include_study?="Yes",Sufficient_data="Yes"),'Publication Bias Analysis'!E:E-'Publication Bias Analysis'!I$37,"")</f>
        <v>-0.31401099226948243</v>
      </c>
      <c r="FX7" s="3">
        <f>IF(AND(Include_study?="Yes",Sufficient_data="Yes"),IF(Additional_model="Fixed effect",1/'Publication Bias Analysis'!F:F,1/SQRT('Publication Bias Analysis'!F:F^2+GH$12)),"")</f>
        <v>5.8898004623840015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-3.9590633296967153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-0.6721897210239639</v>
      </c>
      <c r="GE7" s="35">
        <f>IF(AND(Include_study?="Yes",Sufficient_data="Yes"),'Publication Bias Analysis'!F7,NA())</f>
        <v>0.16978503879488513</v>
      </c>
      <c r="GG7" s="2" t="s">
        <v>248</v>
      </c>
      <c r="GH7" s="3">
        <f>IF(Trim_and_fill="Off",'Publication Bias Analysis'!I29,'Publication Bias Analysis'!I37)</f>
        <v>-0.35817872875448148</v>
      </c>
      <c r="GI7" s="3">
        <v>0</v>
      </c>
      <c r="GK7" s="134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0.31401099226948243</v>
      </c>
      <c r="GM7" s="3">
        <f t="shared" si="81"/>
        <v>0.31401099226948243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34.689749486698794</v>
      </c>
      <c r="GO7" s="3">
        <f>IF(AND(Include_study?="Yes",Sufficient_data="Yes"),IF('Publication Bias Analysis'!L$38="Left",'Publication Bias Analysis'!E:E-GW$3,GW$3-'Publication Bias Analysis'!E:E),"")</f>
        <v>0.31401099226948243</v>
      </c>
      <c r="GP7" s="3">
        <f t="shared" si="82"/>
        <v>0.31401099226948243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34.689749486698794</v>
      </c>
      <c r="GR7" s="3">
        <f>IF(AND(Include_study?="Yes",Sufficient_data="Yes"),IF('Publication Bias Analysis'!L$38="Left",'Publication Bias Analysis'!E:E-GW$10,GW$10-'Publication Bias Analysis'!E:E),"")</f>
        <v>0.31401099226948243</v>
      </c>
      <c r="GS7" s="3">
        <f t="shared" si="83"/>
        <v>0.31401099226948243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34.689749486698794</v>
      </c>
      <c r="GV7" s="36" t="s">
        <v>302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4"/>
      <c r="HL7" s="3">
        <f t="shared" si="89"/>
        <v>0.28964571559954955</v>
      </c>
      <c r="HM7" s="35">
        <f>IF(AND(Include_study?="Yes",Sufficient_data="Yes"),Z_score-('Publication Bias Analysis'!P$3+'Publication Bias Analysis'!P$4*Inverse_standard_error),"")</f>
        <v>-1.4928215861968428</v>
      </c>
      <c r="HO7" s="134"/>
      <c r="HP7" s="3">
        <f>IF(AND(Include_study?="Yes",Sufficient_data="Yes"),(GD:GD-SUMPRODUCT(Calculations!FT:FT,'Publication Bias Analysis'!E:E)/SUM(Calculations!FT:FT))/SQRT(Calculations!HQ:HQ),"")</f>
        <v>-1.974089178488261</v>
      </c>
      <c r="HQ7" s="3">
        <f>IF(AND(Include_study?="Yes",Sufficient_data="Yes"),GE:GE^2-1/SUM(Calculations!FT:FT),"")</f>
        <v>2.5302076640170517E-2</v>
      </c>
      <c r="HR7" s="6">
        <f t="shared" si="90"/>
        <v>8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6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34"/>
      <c r="HX7" s="20">
        <v>6</v>
      </c>
      <c r="HY7" s="3">
        <f t="shared" si="123"/>
        <v>0.4</v>
      </c>
      <c r="HZ7" s="35">
        <f>HZ6+HY14</f>
        <v>1.2000000000000002</v>
      </c>
      <c r="IB7" s="134"/>
      <c r="IC7" s="76">
        <f t="shared" si="92"/>
        <v>1.9138755980861243E-2</v>
      </c>
      <c r="ID7" s="3">
        <f t="shared" si="93"/>
        <v>3.6808413351623229E-2</v>
      </c>
      <c r="IE7" s="3">
        <f t="shared" si="94"/>
        <v>36.642022711584218</v>
      </c>
      <c r="IF7" s="35">
        <f t="shared" si="95"/>
        <v>34.689749486698794</v>
      </c>
      <c r="IH7" s="3">
        <f>MAX('Publication Bias Analysis'!AH:AH)</f>
        <v>8.4726867335562991E-2</v>
      </c>
      <c r="II7" s="3">
        <f>EXP(SUMPRODUCT(LogRiskRatio,IE:IE)/SUM(IE:IE))*MAX('Publication Bias Analysis'!AH:AH)</f>
        <v>5.9571758868072505E-2</v>
      </c>
      <c r="IK7" s="134"/>
      <c r="IL7" s="3">
        <f>IF(AND(Include_study?="Yes",Sufficient_data="Yes"),'Publication Bias Analysis'!AV:AV,NA())</f>
        <v>-3.9590633296967153</v>
      </c>
      <c r="IM7" s="3">
        <f>IF(AND(Sufficient_data="Yes",Include_study?="Yes"),'Publication Bias Analysis'!AU:AU,NA())</f>
        <v>5.8898004623840015</v>
      </c>
      <c r="IN7" s="3">
        <f t="shared" si="96"/>
        <v>0.28964571559954955</v>
      </c>
      <c r="IO7" s="35">
        <f>IF(AND(Include_study?="Yes",Sufficient_data="Yes"),Z_score-('Publication Bias Analysis'!AY$30+'Publication Bias Analysis'!AY$31*Inverse_standard_error),"")</f>
        <v>-1.8494620874624563</v>
      </c>
      <c r="IQ7" s="2" t="s">
        <v>288</v>
      </c>
      <c r="IR7" s="3">
        <f>MAX(Inverse_standard_error)</f>
        <v>6.0567404146446346</v>
      </c>
      <c r="IS7" s="3">
        <f>IR7*'Publication Bias Analysis'!AY31+IS6</f>
        <v>-4.4753997173174724</v>
      </c>
      <c r="IU7" s="134"/>
      <c r="IV7" s="6">
        <f>IF('Publication Bias Analysis'!BG:BG&lt;&gt;"",RANK('Publication Bias Analysis'!BG:BG,'Publication Bias Analysis'!BG:BG,1)+COUNTIF('Publication Bias Analysis'!BG$2:BG6,'Publication Bias Analysis'!BG7),"")</f>
        <v>2</v>
      </c>
      <c r="IW7" s="3">
        <f t="shared" si="97"/>
        <v>0.17857142857142858</v>
      </c>
      <c r="IX7" s="3">
        <f>IF('Publication Bias Analysis'!BF7&lt;&gt;"",'Publication Bias Analysis'!BF7,NA())</f>
        <v>-0.9208229763683794</v>
      </c>
      <c r="IY7" s="3">
        <f>IF('Publication Bias Analysis'!BG7&lt;&gt;"",'Publication Bias Analysis'!BG7,NA())</f>
        <v>-3.9590633296967153</v>
      </c>
      <c r="IZ7" s="3">
        <f>IF(AND(Include_study?="Yes",Sufficient_data="Yes"),'Publication Bias Analysis'!BF:BF-AVERAGE('Publication Bias Analysis'!BF:BF),"")</f>
        <v>-0.9208229763683794</v>
      </c>
      <c r="JA7" s="35">
        <f>IF(AND(Include_study?="Yes",Sufficient_data="Yes"),'Publication Bias Analysis'!BG:BG-('Publication Bias Analysis'!BJ$30+'Publication Bias Analysis'!BJ$31*'Publication Bias Analysis'!BF:BF),"")</f>
        <v>-0.4180541714744197</v>
      </c>
      <c r="JC7" s="2" t="s">
        <v>291</v>
      </c>
      <c r="JD7" s="3">
        <f>MAX('Publication Bias Analysis'!BF:BF)</f>
        <v>1.4652337926855223</v>
      </c>
      <c r="JE7" s="3">
        <f>'Publication Bias Analysis'!BJ30</f>
        <v>-1.9667739663299055</v>
      </c>
      <c r="JG7" s="134"/>
      <c r="JH7" s="3">
        <f t="shared" si="98"/>
        <v>-3.9590633296967153</v>
      </c>
      <c r="JI7" s="10">
        <f t="shared" si="124"/>
        <v>3.7622142192383912E-5</v>
      </c>
      <c r="JJ7" s="35">
        <f t="shared" si="125"/>
        <v>-10.187917792799659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78</v>
      </c>
      <c r="C8" s="6">
        <f>IF(AND(Include_study?="Yes",Sufficient_data="Yes"),IF(Input!b_&lt;&gt;"",Input!b_,Input!n1_-Input!a_),"")</f>
        <v>1968</v>
      </c>
      <c r="D8" s="6">
        <f>IF(AND(Include_study?="Yes",Sufficient_data="Yes"),IF(Input!c_&lt;&gt;"",Input!c_,Input!n2_-Input!d_),"")</f>
        <v>76</v>
      </c>
      <c r="E8" s="6">
        <f>IF(AND(Include_study?="Yes",Sufficient_data="Yes"),IF(Input!d_&lt;&gt;"",Input!d_,Input!n2_-Input!c_),"")</f>
        <v>821</v>
      </c>
      <c r="F8" s="35" t="str">
        <f t="shared" si="1"/>
        <v>No</v>
      </c>
      <c r="H8" s="153"/>
      <c r="I8" s="140"/>
      <c r="J8" s="76">
        <f t="shared" si="2"/>
        <v>0.42815308087291398</v>
      </c>
      <c r="K8" s="3">
        <f t="shared" si="3"/>
        <v>-0.84827448175650988</v>
      </c>
      <c r="L8" s="3">
        <f t="shared" si="4"/>
        <v>0.16644688172280447</v>
      </c>
      <c r="M8" s="3">
        <f t="shared" si="5"/>
        <v>0.30893057951447267</v>
      </c>
      <c r="N8" s="35">
        <f t="shared" si="6"/>
        <v>0.59338593462995182</v>
      </c>
      <c r="P8" s="134"/>
      <c r="Q8" s="76">
        <f t="shared" si="7"/>
        <v>0.39083392651009996</v>
      </c>
      <c r="R8" s="3">
        <f t="shared" si="8"/>
        <v>0.17979513763600438</v>
      </c>
      <c r="S8" s="3">
        <f t="shared" si="9"/>
        <v>0.27471814639065079</v>
      </c>
      <c r="T8" s="35">
        <f t="shared" si="10"/>
        <v>0.5560286428770862</v>
      </c>
      <c r="V8" s="134"/>
      <c r="W8" s="76">
        <f t="shared" si="11"/>
        <v>-4.6603700180137771E-2</v>
      </c>
      <c r="X8" s="3">
        <f t="shared" si="12"/>
        <v>1.0216435050235752E-2</v>
      </c>
      <c r="Y8" s="3">
        <f t="shared" si="13"/>
        <v>-6.663578905097628E-2</v>
      </c>
      <c r="Z8" s="35">
        <f t="shared" si="14"/>
        <v>-2.6571611309299262E-2</v>
      </c>
      <c r="AB8" s="134"/>
      <c r="AC8" s="76">
        <f t="shared" si="15"/>
        <v>0.44995369655811079</v>
      </c>
      <c r="AD8" s="3">
        <f t="shared" si="16"/>
        <v>-0.79861059804951506</v>
      </c>
      <c r="AE8" s="3">
        <f t="shared" si="17"/>
        <v>0.15612437926953152</v>
      </c>
      <c r="AF8" s="3">
        <f t="shared" si="18"/>
        <v>0.33129875002226594</v>
      </c>
      <c r="AG8" s="35">
        <f t="shared" si="19"/>
        <v>0.61110501936002359</v>
      </c>
      <c r="AI8" s="153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Liu et al.</v>
      </c>
      <c r="AN8" s="6">
        <f t="shared" si="21"/>
        <v>2943</v>
      </c>
      <c r="AO8" s="3">
        <f t="shared" si="22"/>
        <v>0.42815308087291398</v>
      </c>
      <c r="AP8" s="3">
        <f t="shared" si="23"/>
        <v>36.095135237997731</v>
      </c>
      <c r="AQ8" s="3">
        <f t="shared" si="24"/>
        <v>13.123879771051056</v>
      </c>
      <c r="AR8" s="3">
        <f t="shared" si="25"/>
        <v>0.16644688172280447</v>
      </c>
      <c r="AS8" s="3">
        <f t="shared" si="26"/>
        <v>0.30893057951447267</v>
      </c>
      <c r="AT8" s="3">
        <f t="shared" si="27"/>
        <v>0.59338593462995182</v>
      </c>
      <c r="AU8" s="80">
        <f t="shared" si="28"/>
        <v>0.11754798697459153</v>
      </c>
      <c r="AW8" s="44">
        <f t="shared" si="29"/>
        <v>0.42815308087291398</v>
      </c>
      <c r="AX8" s="3">
        <f t="shared" si="30"/>
        <v>0.11922250135844131</v>
      </c>
      <c r="AY8" s="35">
        <f t="shared" si="31"/>
        <v>0.16523285375703783</v>
      </c>
      <c r="BA8" s="2" t="s">
        <v>303</v>
      </c>
      <c r="BB8" s="9">
        <f>IF(BB2&lt;&gt;"",MAX(Weight_lookup),"")</f>
        <v>0.1182382046366353</v>
      </c>
      <c r="BD8" s="153"/>
      <c r="BE8" s="140"/>
      <c r="BF8" s="3">
        <f t="shared" si="32"/>
        <v>-0.84827448175650988</v>
      </c>
      <c r="BG8" s="3">
        <f t="shared" si="33"/>
        <v>0.16644688172280447</v>
      </c>
      <c r="BH8" s="3">
        <f t="shared" si="34"/>
        <v>36.095135237997731</v>
      </c>
      <c r="BI8" s="3">
        <f t="shared" si="99"/>
        <v>13.123879771051056</v>
      </c>
      <c r="BJ8" s="35">
        <f t="shared" si="35"/>
        <v>-0.49846456649295739</v>
      </c>
      <c r="BO8" s="134"/>
      <c r="BP8" s="3">
        <f t="shared" si="36"/>
        <v>21.759429153924568</v>
      </c>
      <c r="BQ8" s="3">
        <f t="shared" si="37"/>
        <v>50.821610601427118</v>
      </c>
      <c r="BR8" s="3">
        <f t="shared" si="38"/>
        <v>6.6468660582324786</v>
      </c>
      <c r="BS8" s="3">
        <f>IF(AND(Sufficient_data="Yes",Include_study?="Yes"),IF(Add_0_5="Yes",(a_+d_+1)*(ab_+0.5)*(c_+0.5)/(Number_of_subjects+2)^2,(a_+d_)*b_*c_/Number_of_subjects^2),"")</f>
        <v>15.524508301285415</v>
      </c>
      <c r="BT8" s="3">
        <f t="shared" si="39"/>
        <v>15.112563095692089</v>
      </c>
      <c r="BU8" s="3">
        <f t="shared" si="40"/>
        <v>35.297102300141702</v>
      </c>
      <c r="BV8" s="3">
        <f t="shared" si="41"/>
        <v>50.821610601427118</v>
      </c>
      <c r="BW8" s="3">
        <f t="shared" si="42"/>
        <v>8.855810354056203</v>
      </c>
      <c r="BX8" s="3">
        <f t="shared" si="43"/>
        <v>14.605208011010967</v>
      </c>
      <c r="BY8" s="35">
        <f t="shared" si="44"/>
        <v>-0.49786513684582995</v>
      </c>
      <c r="CA8" s="3" t="s">
        <v>304</v>
      </c>
      <c r="CB8" s="3">
        <f>lnCES_OddsRatio_MH+ABS(TINV((1-Confidence_level),k_-1))*SQRT(T2_MH+SElnCES_MH^2)</f>
        <v>0.16185487490943368</v>
      </c>
      <c r="CD8" s="134"/>
      <c r="CE8" s="76">
        <f t="shared" si="45"/>
        <v>107.06218144750255</v>
      </c>
      <c r="CF8" s="3">
        <f t="shared" si="46"/>
        <v>30.934572233783939</v>
      </c>
      <c r="CG8" s="3">
        <f t="shared" si="47"/>
        <v>-0.93947254960789373</v>
      </c>
      <c r="CH8" s="3">
        <f t="shared" si="48"/>
        <v>3.232629151754976E-2</v>
      </c>
      <c r="CI8" s="3">
        <f t="shared" si="49"/>
        <v>30.934572233783939</v>
      </c>
      <c r="CJ8" s="3">
        <f t="shared" si="50"/>
        <v>11.078690470281549</v>
      </c>
      <c r="CK8" s="35">
        <f t="shared" si="51"/>
        <v>-0.58201730855598777</v>
      </c>
      <c r="CM8" s="3" t="s">
        <v>304</v>
      </c>
      <c r="CN8" s="3">
        <f>lnCES_PetoOddsRatio+ABS(TINV((1-Confidence_level),k_-1))*SQRT(T2_Peto+SElnCES_Peto^2)</f>
        <v>0.24336295963255761</v>
      </c>
      <c r="CP8" s="134"/>
      <c r="CQ8" s="52">
        <f t="shared" si="52"/>
        <v>8.4726867335562991E-2</v>
      </c>
      <c r="CX8" s="153"/>
      <c r="CY8" s="48">
        <f t="shared" si="53"/>
        <v>9</v>
      </c>
      <c r="CZ8" s="6" t="str">
        <f t="shared" si="54"/>
        <v>Liu et al.</v>
      </c>
      <c r="DA8" s="17" t="str">
        <f t="shared" si="55"/>
        <v>Image</v>
      </c>
      <c r="DB8" s="3">
        <f t="shared" si="56"/>
        <v>-0.84827448175650988</v>
      </c>
      <c r="DC8" s="3">
        <f t="shared" si="57"/>
        <v>0.16644688172280447</v>
      </c>
      <c r="DD8" s="3">
        <f t="shared" si="58"/>
        <v>36.095135237997731</v>
      </c>
      <c r="DE8" s="3">
        <f t="shared" si="59"/>
        <v>12.897161876296781</v>
      </c>
      <c r="DF8" s="80">
        <f t="shared" si="60"/>
        <v>0.26239780101579319</v>
      </c>
      <c r="DG8" s="3">
        <f t="shared" si="61"/>
        <v>0.42815308087291398</v>
      </c>
      <c r="DH8" s="3">
        <f t="shared" si="62"/>
        <v>0.30893059362407876</v>
      </c>
      <c r="DI8" s="3">
        <f t="shared" si="63"/>
        <v>0.59338590752858356</v>
      </c>
      <c r="DJ8" s="35">
        <f t="shared" si="64"/>
        <v>-0.29677896811435711</v>
      </c>
      <c r="DL8" s="44">
        <f t="shared" si="65"/>
        <v>0.42815308087291398</v>
      </c>
      <c r="DM8" s="3">
        <f t="shared" si="100"/>
        <v>0.11922248724883522</v>
      </c>
      <c r="DN8" s="35">
        <f t="shared" si="101"/>
        <v>0.16523282665566957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5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305</v>
      </c>
      <c r="FP8" s="6">
        <f>COUNTIFS(Include_study?,"Yes",Sufficient_data,"Yes",Moderator,"&lt;&gt;")</f>
        <v>0</v>
      </c>
      <c r="FR8" s="153"/>
      <c r="FS8" s="140"/>
      <c r="FT8" s="76">
        <f>IF(AND(Include_study?="Yes",Sufficient_data="Yes"),IF(Additional_weighting_method="Inverse Variance",1/'Publication Bias Analysis'!F:F^2,IF(Additional_weighting_method="Mantel-Haenszel",Weightf_MH,Weightf_Peto)),"")</f>
        <v>36.095135237997731</v>
      </c>
      <c r="FU8" s="3">
        <f>IF(AND(Include_study?="Yes",Sufficient_data="Yes"),1/('Publication Bias Analysis'!F:F^2+IF(Additional_model="Fixed effect",0,Calculations!GH$12)),"")</f>
        <v>36.095135237997731</v>
      </c>
      <c r="FV8" s="3">
        <f>IF(AND(Include_study?="Yes",Sufficient_data="Yes"),1/('Publication Bias Analysis'!F:F^2+IF(Additional_model="Fixed effect",0,'Publication Bias Analysis'!L$32)),"")</f>
        <v>36.095135237997731</v>
      </c>
      <c r="FW8" s="3">
        <f>IF(AND(Include_study?="Yes",Sufficient_data="Yes"),'Publication Bias Analysis'!E:E-'Publication Bias Analysis'!I$37,"")</f>
        <v>-0.4900957530020284</v>
      </c>
      <c r="FX8" s="3">
        <f>IF(AND(Include_study?="Yes",Sufficient_data="Yes"),IF(Additional_model="Fixed effect",1/'Publication Bias Analysis'!F:F,1/SQRT('Publication Bias Analysis'!F:F^2+GH$12)),"")</f>
        <v>6.0079227057276405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-5.096367519634283</v>
      </c>
      <c r="FZ8" s="6">
        <f t="shared" si="80"/>
        <v>9</v>
      </c>
      <c r="GA8" s="83">
        <f>IF(AND(Include_study?="Yes",Sufficient_data="Yes"),FZ:FZ+IF(GL:GL&lt;0,-1,1)*COUNTIF(FZ$2:FZ7,FZ:FZ),"")</f>
        <v>9</v>
      </c>
      <c r="GB8" s="83">
        <f>IF(AND(Include_study?="Yes",Sufficient_data="Yes"),RANK(GP:GP,GP:GP,1)*IF(GO:GO&lt;0,-1,1)+IF(GO:GO&lt;0,-1,1)*COUNTIF(FZ$2:FZ7,FZ:FZ),"")</f>
        <v>9</v>
      </c>
      <c r="GC8" s="83">
        <f>IF(AND(Include_study?="Yes",Sufficient_data="Yes"),RANK(GS:GS,GS:GS,1)*IF(GR:GR&lt;0,-1,1)+IF(GR:GR&lt;0,-1,1)*COUNTIF(FZ$2:FZ7,FZ:FZ),"")</f>
        <v>9</v>
      </c>
      <c r="GD8" s="3">
        <f>IF(AND(Include_study?="Yes",Sufficient_data="Yes"),'Publication Bias Analysis'!E8,NA())</f>
        <v>-0.84827448175650988</v>
      </c>
      <c r="GE8" s="35">
        <f>IF(AND(Include_study?="Yes",Sufficient_data="Yes"),'Publication Bias Analysis'!F8,NA())</f>
        <v>0.16644688172280447</v>
      </c>
      <c r="GG8" s="2" t="s">
        <v>249</v>
      </c>
      <c r="GH8" s="3">
        <f>IF(Trim_and_fill="Off",'Publication Bias Analysis'!I29,'Publication Bias Analysis'!I37)</f>
        <v>-0.35817872875448148</v>
      </c>
      <c r="GI8" s="3">
        <f>IF(Trim_and_fill="Off",GH17,GH22)</f>
        <v>0.24477174366847246</v>
      </c>
      <c r="GK8" s="134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0.4900957530020284</v>
      </c>
      <c r="GM8" s="3">
        <f t="shared" si="81"/>
        <v>0.4900957530020284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36.095135237997731</v>
      </c>
      <c r="GO8" s="3">
        <f>IF(AND(Include_study?="Yes",Sufficient_data="Yes"),IF('Publication Bias Analysis'!L$38="Left",'Publication Bias Analysis'!E:E-GW$3,GW$3-'Publication Bias Analysis'!E:E),"")</f>
        <v>0.4900957530020284</v>
      </c>
      <c r="GP8" s="3">
        <f t="shared" si="82"/>
        <v>0.4900957530020284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36.095135237997731</v>
      </c>
      <c r="GR8" s="3">
        <f>IF(AND(Include_study?="Yes",Sufficient_data="Yes"),IF('Publication Bias Analysis'!L$38="Left",'Publication Bias Analysis'!E:E-GW$10,GW$10-'Publication Bias Analysis'!E:E),"")</f>
        <v>0.4900957530020284</v>
      </c>
      <c r="GS8" s="3">
        <f t="shared" si="83"/>
        <v>0.4900957530020284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36.095135237997731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4"/>
      <c r="HL8" s="3">
        <f t="shared" si="89"/>
        <v>0.40776795894318862</v>
      </c>
      <c r="HM8" s="35">
        <f>IF(AND(Include_study?="Yes",Sufficient_data="Yes"),Z_score-('Publication Bias Analysis'!P$3+'Publication Bias Analysis'!P$4*Inverse_standard_error),"")</f>
        <v>-2.4264346764920264</v>
      </c>
      <c r="HO8" s="134"/>
      <c r="HP8" s="3">
        <f>IF(AND(Include_study?="Yes",Sufficient_data="Yes"),(GD:GD-SUMPRODUCT(Calculations!FT:FT,'Publication Bias Analysis'!E:E)/SUM(Calculations!FT:FT))/SQRT(Calculations!HQ:HQ),"")</f>
        <v>-3.151778216162505</v>
      </c>
      <c r="HQ8" s="3">
        <f>IF(AND(Include_study?="Yes",Sufficient_data="Yes"),GE:GE^2-1/SUM(Calculations!FT:FT),"")</f>
        <v>2.4179681676835131E-2</v>
      </c>
      <c r="HR8" s="6">
        <f t="shared" si="90"/>
        <v>9</v>
      </c>
      <c r="HS8" s="6">
        <f t="shared" si="91"/>
        <v>8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7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1</v>
      </c>
      <c r="HW8" s="134"/>
      <c r="HX8" s="20">
        <v>7</v>
      </c>
      <c r="HY8" s="3">
        <f t="shared" si="123"/>
        <v>1.2000000000000002</v>
      </c>
      <c r="HZ8" s="35">
        <f>HZ7+HY14</f>
        <v>2</v>
      </c>
      <c r="IB8" s="134"/>
      <c r="IC8" s="76">
        <f t="shared" si="92"/>
        <v>3.8123167155425221E-2</v>
      </c>
      <c r="ID8" s="3">
        <f t="shared" si="93"/>
        <v>8.4726867335562991E-2</v>
      </c>
      <c r="IE8" s="3">
        <f t="shared" si="94"/>
        <v>41.025940952962493</v>
      </c>
      <c r="IF8" s="35">
        <f t="shared" si="95"/>
        <v>36.095135237997731</v>
      </c>
      <c r="IK8" s="134"/>
      <c r="IL8" s="3">
        <f>IF(AND(Include_study?="Yes",Sufficient_data="Yes"),'Publication Bias Analysis'!AV:AV,NA())</f>
        <v>-5.096367519634283</v>
      </c>
      <c r="IM8" s="3">
        <f>IF(AND(Sufficient_data="Yes",Include_study?="Yes"),'Publication Bias Analysis'!AU:AU,NA())</f>
        <v>6.0079227057276405</v>
      </c>
      <c r="IN8" s="3">
        <f t="shared" si="96"/>
        <v>0.40776795894318862</v>
      </c>
      <c r="IO8" s="35">
        <f>IF(AND(Include_study?="Yes",Sufficient_data="Yes"),Z_score-('Publication Bias Analysis'!AY$30+'Publication Bias Analysis'!AY$31*Inverse_standard_error),"")</f>
        <v>-2.9444574024415719</v>
      </c>
      <c r="IQ8" s="24" t="s">
        <v>249</v>
      </c>
      <c r="IR8" s="2" t="s">
        <v>245</v>
      </c>
      <c r="IS8" s="2" t="s">
        <v>246</v>
      </c>
      <c r="IU8" s="134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7.1428571428571438E-2</v>
      </c>
      <c r="IX8" s="3">
        <f>IF('Publication Bias Analysis'!BF8&lt;&gt;"",'Publication Bias Analysis'!BF8,NA())</f>
        <v>-1.4652337926855223</v>
      </c>
      <c r="IY8" s="3">
        <f>IF('Publication Bias Analysis'!BG8&lt;&gt;"",'Publication Bias Analysis'!BG8,NA())</f>
        <v>-5.096367519634283</v>
      </c>
      <c r="IZ8" s="3">
        <f>IF(AND(Include_study?="Yes",Sufficient_data="Yes"),'Publication Bias Analysis'!BF:BF-AVERAGE('Publication Bias Analysis'!BF:BF),"")</f>
        <v>-1.4652337926855223</v>
      </c>
      <c r="JA8" s="35">
        <f>IF(AND(Include_study?="Yes",Sufficient_data="Yes"),'Publication Bias Analysis'!BG:BG-('Publication Bias Analysis'!BJ$30+'Publication Bias Analysis'!BJ$31*'Publication Bias Analysis'!BF:BF),"")</f>
        <v>-0.62463585786049958</v>
      </c>
      <c r="JG8" s="134"/>
      <c r="JH8" s="3">
        <f t="shared" si="98"/>
        <v>-5.096367519634283</v>
      </c>
      <c r="JI8" s="10">
        <f t="shared" si="124"/>
        <v>1.731163298268612E-7</v>
      </c>
      <c r="JJ8" s="35">
        <f t="shared" si="125"/>
        <v>-15.569302041681336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48</v>
      </c>
      <c r="C9" s="6">
        <f>IF(AND(Include_study?="Yes",Sufficient_data="Yes"),IF(Input!b_&lt;&gt;"",Input!b_,Input!n1_-Input!a_),"")</f>
        <v>2007</v>
      </c>
      <c r="D9" s="6">
        <f>IF(AND(Include_study?="Yes",Sufficient_data="Yes"),IF(Input!c_&lt;&gt;"",Input!c_,Input!n2_-Input!d_),"")</f>
        <v>64</v>
      </c>
      <c r="E9" s="6">
        <f>IF(AND(Include_study?="Yes",Sufficient_data="Yes"),IF(Input!d_&lt;&gt;"",Input!d_,Input!n2_-Input!c_),"")</f>
        <v>2260</v>
      </c>
      <c r="F9" s="35" t="str">
        <f t="shared" si="1"/>
        <v>No</v>
      </c>
      <c r="H9" s="153"/>
      <c r="I9" s="140"/>
      <c r="J9" s="76">
        <f t="shared" si="2"/>
        <v>0.84454409566517186</v>
      </c>
      <c r="K9" s="3">
        <f t="shared" si="3"/>
        <v>-0.16895832898178756</v>
      </c>
      <c r="L9" s="3">
        <f t="shared" si="4"/>
        <v>0.19338838463846994</v>
      </c>
      <c r="M9" s="3">
        <f t="shared" si="5"/>
        <v>0.57804853680178936</v>
      </c>
      <c r="N9" s="35">
        <f t="shared" si="6"/>
        <v>1.233901107109757</v>
      </c>
      <c r="P9" s="134"/>
      <c r="Q9" s="76">
        <f t="shared" si="7"/>
        <v>0.84558671306501232</v>
      </c>
      <c r="R9" s="3">
        <f t="shared" si="8"/>
        <v>0.19178671307084344</v>
      </c>
      <c r="S9" s="3">
        <f t="shared" si="9"/>
        <v>0.58058237648797828</v>
      </c>
      <c r="T9" s="35">
        <f t="shared" si="10"/>
        <v>1.2315511429012465</v>
      </c>
      <c r="V9" s="134"/>
      <c r="W9" s="76">
        <f t="shared" si="11"/>
        <v>-4.1810621003304169E-3</v>
      </c>
      <c r="X9" s="3">
        <f t="shared" si="12"/>
        <v>4.7564855603604858E-3</v>
      </c>
      <c r="Y9" s="3">
        <f t="shared" si="13"/>
        <v>-1.3506181139485289E-2</v>
      </c>
      <c r="Z9" s="35">
        <f t="shared" si="14"/>
        <v>5.144056938824455E-3</v>
      </c>
      <c r="AB9" s="134"/>
      <c r="AC9" s="76">
        <f t="shared" si="15"/>
        <v>0.84817518248175172</v>
      </c>
      <c r="AD9" s="3">
        <f t="shared" si="16"/>
        <v>-0.16466808141031419</v>
      </c>
      <c r="AE9" s="3">
        <f t="shared" si="17"/>
        <v>0.18852432927741675</v>
      </c>
      <c r="AF9" s="3">
        <f t="shared" si="18"/>
        <v>0.5860962918935142</v>
      </c>
      <c r="AG9" s="35">
        <f t="shared" si="19"/>
        <v>1.2274453022962621</v>
      </c>
      <c r="AI9" s="153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Liu et al.</v>
      </c>
      <c r="AN9" s="6">
        <f t="shared" si="21"/>
        <v>4379</v>
      </c>
      <c r="AO9" s="3">
        <f t="shared" si="22"/>
        <v>0.84454409566517186</v>
      </c>
      <c r="AP9" s="3">
        <f t="shared" si="23"/>
        <v>26.738634726603046</v>
      </c>
      <c r="AQ9" s="3">
        <f t="shared" si="24"/>
        <v>11.642597967003539</v>
      </c>
      <c r="AR9" s="3">
        <f t="shared" si="25"/>
        <v>0.19338838463846994</v>
      </c>
      <c r="AS9" s="3">
        <f t="shared" si="26"/>
        <v>0.57804853680178936</v>
      </c>
      <c r="AT9" s="3">
        <f t="shared" si="27"/>
        <v>1.233901107109757</v>
      </c>
      <c r="AU9" s="80">
        <f t="shared" si="28"/>
        <v>0.10428043978233832</v>
      </c>
      <c r="AW9" s="44">
        <f t="shared" si="29"/>
        <v>0.84454409566517186</v>
      </c>
      <c r="AX9" s="3">
        <f t="shared" si="30"/>
        <v>0.2664955588633825</v>
      </c>
      <c r="AY9" s="35">
        <f t="shared" si="31"/>
        <v>0.38935701144458512</v>
      </c>
      <c r="BD9" s="153"/>
      <c r="BE9" s="140"/>
      <c r="BF9" s="3">
        <f t="shared" si="32"/>
        <v>-0.16895832898178756</v>
      </c>
      <c r="BG9" s="3">
        <f t="shared" si="33"/>
        <v>0.19338838463846994</v>
      </c>
      <c r="BH9" s="3">
        <f t="shared" si="34"/>
        <v>26.738634726603046</v>
      </c>
      <c r="BI9" s="3">
        <f t="shared" si="99"/>
        <v>11.642597967003539</v>
      </c>
      <c r="BJ9" s="35">
        <f t="shared" si="35"/>
        <v>0.18085158628176493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0.70482205290029998</v>
      </c>
      <c r="BO9" s="134"/>
      <c r="BP9" s="3">
        <f t="shared" si="36"/>
        <v>24.772779173327244</v>
      </c>
      <c r="BQ9" s="3">
        <f t="shared" si="37"/>
        <v>29.332724366293675</v>
      </c>
      <c r="BR9" s="3">
        <f t="shared" si="38"/>
        <v>13.056765090668938</v>
      </c>
      <c r="BS9" s="3">
        <f>IF(AND(Sufficient_data="Yes",Include_study?="Yes"),IF(Add_0_5="Yes",(a_+d_+1)*(ab_+0.5)*(c_+0.5)/(Number_of_subjects+2)^2,(a_+d_)*b_*c_/Number_of_subjects^2),"")</f>
        <v>15.460134240101803</v>
      </c>
      <c r="BT9" s="3">
        <f t="shared" si="39"/>
        <v>11.716014082658306</v>
      </c>
      <c r="BU9" s="3">
        <f t="shared" si="40"/>
        <v>13.87259012619187</v>
      </c>
      <c r="BV9" s="3">
        <f t="shared" si="41"/>
        <v>29.332724366293675</v>
      </c>
      <c r="BW9" s="3">
        <f t="shared" si="42"/>
        <v>0.90518100175376226</v>
      </c>
      <c r="BX9" s="3">
        <f t="shared" si="43"/>
        <v>12.793739481296777</v>
      </c>
      <c r="BY9" s="35">
        <f t="shared" si="44"/>
        <v>0.18145101592889237</v>
      </c>
      <c r="CD9" s="134"/>
      <c r="CE9" s="76">
        <f t="shared" si="45"/>
        <v>52.559945192966431</v>
      </c>
      <c r="CF9" s="3">
        <f t="shared" si="46"/>
        <v>27.18710520912046</v>
      </c>
      <c r="CG9" s="3">
        <f t="shared" si="47"/>
        <v>-0.16772455757579907</v>
      </c>
      <c r="CH9" s="3">
        <f t="shared" si="48"/>
        <v>3.6782143310518031E-2</v>
      </c>
      <c r="CI9" s="3">
        <f t="shared" si="49"/>
        <v>27.18710520912046</v>
      </c>
      <c r="CJ9" s="3">
        <f t="shared" si="50"/>
        <v>10.557518538130607</v>
      </c>
      <c r="CK9" s="35">
        <f t="shared" si="51"/>
        <v>0.18973068347610689</v>
      </c>
      <c r="CP9" s="134"/>
      <c r="CQ9" s="52">
        <f t="shared" si="52"/>
        <v>2.7538726333907058E-2</v>
      </c>
      <c r="CS9" s="136" t="s">
        <v>150</v>
      </c>
      <c r="CT9" s="136"/>
      <c r="CU9" s="136"/>
      <c r="CV9" s="136"/>
      <c r="CX9" s="153"/>
      <c r="CY9" s="48">
        <f t="shared" si="53"/>
        <v>10</v>
      </c>
      <c r="CZ9" s="6" t="str">
        <f t="shared" si="54"/>
        <v>Liu et al.</v>
      </c>
      <c r="DA9" s="17" t="str">
        <f t="shared" si="55"/>
        <v>Image</v>
      </c>
      <c r="DB9" s="3">
        <f t="shared" si="56"/>
        <v>-0.16895832898178756</v>
      </c>
      <c r="DC9" s="3">
        <f t="shared" si="57"/>
        <v>0.19338838463846994</v>
      </c>
      <c r="DD9" s="3">
        <f t="shared" si="58"/>
        <v>26.738634726603046</v>
      </c>
      <c r="DE9" s="3">
        <f t="shared" si="59"/>
        <v>11.463822159904378</v>
      </c>
      <c r="DF9" s="80">
        <f t="shared" si="60"/>
        <v>0.23323594406638193</v>
      </c>
      <c r="DG9" s="3">
        <f t="shared" si="61"/>
        <v>0.84454409566517186</v>
      </c>
      <c r="DH9" s="3">
        <f t="shared" si="62"/>
        <v>0.57804855064838467</v>
      </c>
      <c r="DI9" s="3">
        <f t="shared" si="63"/>
        <v>1.2339010775528465</v>
      </c>
      <c r="DJ9" s="35">
        <f t="shared" si="64"/>
        <v>0.38253718466036524</v>
      </c>
      <c r="DL9" s="44">
        <f t="shared" si="65"/>
        <v>0.84454409566517186</v>
      </c>
      <c r="DM9" s="3">
        <f t="shared" si="100"/>
        <v>0.26649554501678718</v>
      </c>
      <c r="DN9" s="35">
        <f t="shared" si="101"/>
        <v>0.38935698188767465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0.75881765377339183</v>
      </c>
      <c r="FA9" s="15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53"/>
      <c r="FS9" s="140"/>
      <c r="FT9" s="76">
        <f>IF(AND(Include_study?="Yes",Sufficient_data="Yes"),IF(Additional_weighting_method="Inverse Variance",1/'Publication Bias Analysis'!F:F^2,IF(Additional_weighting_method="Mantel-Haenszel",Weightf_MH,Weightf_Peto)),"")</f>
        <v>26.738634726603046</v>
      </c>
      <c r="FU9" s="3">
        <f>IF(AND(Include_study?="Yes",Sufficient_data="Yes"),1/('Publication Bias Analysis'!F:F^2+IF(Additional_model="Fixed effect",0,Calculations!GH$12)),"")</f>
        <v>26.738634726603046</v>
      </c>
      <c r="FV9" s="3">
        <f>IF(AND(Include_study?="Yes",Sufficient_data="Yes"),1/('Publication Bias Analysis'!F:F^2+IF(Additional_model="Fixed effect",0,'Publication Bias Analysis'!L$32)),"")</f>
        <v>26.738634726603046</v>
      </c>
      <c r="FW9" s="3">
        <f>IF(AND(Include_study?="Yes",Sufficient_data="Yes"),'Publication Bias Analysis'!E:E-'Publication Bias Analysis'!I$37,"")</f>
        <v>0.18922039977269392</v>
      </c>
      <c r="FX9" s="3">
        <f>IF(AND(Include_study?="Yes",Sufficient_data="Yes"),IF(Additional_model="Fixed effect",1/'Publication Bias Analysis'!F:F,1/SQRT('Publication Bias Analysis'!F:F^2+GH$12)),"")</f>
        <v>5.1709413772158586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-0.87367361435717472</v>
      </c>
      <c r="FZ9" s="6">
        <f t="shared" si="80"/>
        <v>-6</v>
      </c>
      <c r="GA9" s="83">
        <f>IF(AND(Include_study?="Yes",Sufficient_data="Yes"),FZ:FZ+IF(GL:GL&lt;0,-1,1)*COUNTIF(FZ$2:FZ8,FZ:FZ),"")</f>
        <v>-6</v>
      </c>
      <c r="GB9" s="83">
        <f>IF(AND(Include_study?="Yes",Sufficient_data="Yes"),RANK(GP:GP,GP:GP,1)*IF(GO:GO&lt;0,-1,1)+IF(GO:GO&lt;0,-1,1)*COUNTIF(FZ$2:FZ8,FZ:FZ),"")</f>
        <v>-6</v>
      </c>
      <c r="GC9" s="83">
        <f>IF(AND(Include_study?="Yes",Sufficient_data="Yes"),RANK(GS:GS,GS:GS,1)*IF(GR:GR&lt;0,-1,1)+IF(GR:GR&lt;0,-1,1)*COUNTIF(FZ$2:FZ8,FZ:FZ),"")</f>
        <v>-6</v>
      </c>
      <c r="GD9" s="3">
        <f>IF(AND(Include_study?="Yes",Sufficient_data="Yes"),'Publication Bias Analysis'!E9,NA())</f>
        <v>-0.16895832898178756</v>
      </c>
      <c r="GE9" s="35">
        <f>IF(AND(Include_study?="Yes",Sufficient_data="Yes"),'Publication Bias Analysis'!F9,NA())</f>
        <v>0.19338838463846994</v>
      </c>
      <c r="GK9" s="134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-0.18922039977269392</v>
      </c>
      <c r="GM9" s="3">
        <f t="shared" si="81"/>
        <v>0.18922039977269392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26.738634726603046</v>
      </c>
      <c r="GO9" s="3">
        <f>IF(AND(Include_study?="Yes",Sufficient_data="Yes"),IF('Publication Bias Analysis'!L$38="Left",'Publication Bias Analysis'!E:E-GW$3,GW$3-'Publication Bias Analysis'!E:E),"")</f>
        <v>-0.18922039977269392</v>
      </c>
      <c r="GP9" s="3">
        <f t="shared" si="82"/>
        <v>0.18922039977269392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26.738634726603046</v>
      </c>
      <c r="GR9" s="3">
        <f>IF(AND(Include_study?="Yes",Sufficient_data="Yes"),IF('Publication Bias Analysis'!L$38="Left",'Publication Bias Analysis'!E:E-GW$10,GW$10-'Publication Bias Analysis'!E:E),"")</f>
        <v>-0.18922039977269392</v>
      </c>
      <c r="GS9" s="3">
        <f t="shared" si="83"/>
        <v>0.18922039977269392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26.738634726603046</v>
      </c>
      <c r="GV9" s="136" t="s">
        <v>103</v>
      </c>
      <c r="GW9" s="136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4"/>
      <c r="HL9" s="3">
        <f t="shared" si="89"/>
        <v>-0.42921336956859335</v>
      </c>
      <c r="HM9" s="35">
        <f>IF(AND(Include_study?="Yes",Sufficient_data="Yes"),Z_score-('Publication Bias Analysis'!P$3+'Publication Bias Analysis'!P$4*Inverse_standard_error),"")</f>
        <v>0.35296080878526703</v>
      </c>
      <c r="HO9" s="134"/>
      <c r="HP9" s="3">
        <f>IF(AND(Include_study?="Yes",Sufficient_data="Yes"),(GD:GD-SUMPRODUCT(Calculations!FT:FT,'Publication Bias Analysis'!E:E)/SUM(Calculations!FT:FT))/SQRT(Calculations!HQ:HQ),"")</f>
        <v>1.0280956723198742</v>
      </c>
      <c r="HQ9" s="3">
        <f>IF(AND(Include_study?="Yes",Sufficient_data="Yes"),GE:GE^2-1/SUM(Calculations!FT:FT),"")</f>
        <v>3.3874184554666668E-2</v>
      </c>
      <c r="HR9" s="6">
        <f t="shared" si="90"/>
        <v>3</v>
      </c>
      <c r="HS9" s="6">
        <f t="shared" si="91"/>
        <v>2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5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3</v>
      </c>
      <c r="HW9" s="134"/>
      <c r="HX9" s="20">
        <v>8</v>
      </c>
      <c r="HY9" s="3">
        <f t="shared" si="123"/>
        <v>2</v>
      </c>
      <c r="HZ9" s="35">
        <f>HZ8+HY14</f>
        <v>2.8</v>
      </c>
      <c r="IB9" s="134"/>
      <c r="IC9" s="76">
        <f t="shared" si="92"/>
        <v>2.3357664233576641E-2</v>
      </c>
      <c r="ID9" s="3">
        <f t="shared" si="93"/>
        <v>2.7538726333907058E-2</v>
      </c>
      <c r="IE9" s="3">
        <f t="shared" si="94"/>
        <v>28.136183731609222</v>
      </c>
      <c r="IF9" s="35">
        <f t="shared" si="95"/>
        <v>26.738634726603046</v>
      </c>
      <c r="IK9" s="134"/>
      <c r="IL9" s="3">
        <f>IF(AND(Include_study?="Yes",Sufficient_data="Yes"),'Publication Bias Analysis'!AV:AV,NA())</f>
        <v>-0.87367361435717472</v>
      </c>
      <c r="IM9" s="3">
        <f>IF(AND(Sufficient_data="Yes",Include_study?="Yes"),'Publication Bias Analysis'!AU:AU,NA())</f>
        <v>5.1709413772158586</v>
      </c>
      <c r="IN9" s="3">
        <f t="shared" si="96"/>
        <v>-0.42921336956859335</v>
      </c>
      <c r="IO9" s="35">
        <f>IF(AND(Include_study?="Yes",Sufficient_data="Yes"),Z_score-('Publication Bias Analysis'!AY$30+'Publication Bias Analysis'!AY$31*Inverse_standard_error),"")</f>
        <v>0.97844759459794928</v>
      </c>
      <c r="IQ9" s="2" t="s">
        <v>99</v>
      </c>
      <c r="IR9" s="3">
        <v>0</v>
      </c>
      <c r="IS9" s="3">
        <f>ABS(TINV((1-Additional_confidence_level),k_-1))</f>
        <v>2.3060041352041662</v>
      </c>
      <c r="IU9" s="134"/>
      <c r="IV9" s="6">
        <f>IF('Publication Bias Analysis'!BG:BG&lt;&gt;"",RANK('Publication Bias Analysis'!BG:BG,'Publication Bias Analysis'!BG:BG,1)+COUNTIF('Publication Bias Analysis'!BG$2:BG8,'Publication Bias Analysis'!BG9),"")</f>
        <v>8</v>
      </c>
      <c r="IW9" s="3">
        <f t="shared" si="97"/>
        <v>0.8214285714285714</v>
      </c>
      <c r="IX9" s="3">
        <f>IF('Publication Bias Analysis'!BF9&lt;&gt;"",'Publication Bias Analysis'!BF9,NA())</f>
        <v>0.9208229763683794</v>
      </c>
      <c r="IY9" s="3">
        <f>IF('Publication Bias Analysis'!BG9&lt;&gt;"",'Publication Bias Analysis'!BG9,NA())</f>
        <v>-0.87367361435717472</v>
      </c>
      <c r="IZ9" s="3">
        <f>IF(AND(Include_study?="Yes",Sufficient_data="Yes"),'Publication Bias Analysis'!BF:BF-AVERAGE('Publication Bias Analysis'!BF:BF),"")</f>
        <v>0.9208229763683794</v>
      </c>
      <c r="JA9" s="35">
        <f>IF(AND(Include_study?="Yes",Sufficient_data="Yes"),'Publication Bias Analysis'!BG:BG-('Publication Bias Analysis'!BJ$30+'Publication Bias Analysis'!BJ$31*'Publication Bias Analysis'!BF:BF),"")</f>
        <v>-0.48113483991965944</v>
      </c>
      <c r="JG9" s="134"/>
      <c r="JH9" s="3">
        <f t="shared" si="98"/>
        <v>-0.87367361435717472</v>
      </c>
      <c r="JI9" s="10">
        <f t="shared" si="124"/>
        <v>0.1911480120704494</v>
      </c>
      <c r="JJ9" s="35">
        <f t="shared" si="125"/>
        <v>-1.6547072187344982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52</v>
      </c>
      <c r="C10" s="6">
        <f>IF(AND(Include_study?="Yes",Sufficient_data="Yes"),IF(Input!b_&lt;&gt;"",Input!b_,Input!n1_-Input!a_),"")</f>
        <v>2251</v>
      </c>
      <c r="D10" s="6">
        <f>IF(AND(Include_study?="Yes",Sufficient_data="Yes"),IF(Input!c_&lt;&gt;"",Input!c_,Input!n2_-Input!d_),"")</f>
        <v>78</v>
      </c>
      <c r="E10" s="6">
        <f>IF(AND(Include_study?="Yes",Sufficient_data="Yes"),IF(Input!d_&lt;&gt;"",Input!d_,Input!n2_-Input!c_),"")</f>
        <v>2109</v>
      </c>
      <c r="F10" s="35" t="str">
        <f t="shared" si="1"/>
        <v>No</v>
      </c>
      <c r="H10" s="153"/>
      <c r="I10" s="140"/>
      <c r="J10" s="76">
        <f t="shared" si="2"/>
        <v>0.6246112838738338</v>
      </c>
      <c r="K10" s="3">
        <f t="shared" si="3"/>
        <v>-0.47062576853612209</v>
      </c>
      <c r="L10" s="3">
        <f t="shared" si="4"/>
        <v>0.18157556945115166</v>
      </c>
      <c r="M10" s="3">
        <f t="shared" si="5"/>
        <v>0.43753291227103142</v>
      </c>
      <c r="N10" s="35">
        <f t="shared" si="6"/>
        <v>0.89167979139554598</v>
      </c>
      <c r="P10" s="134"/>
      <c r="Q10" s="76">
        <f t="shared" si="7"/>
        <v>0.62791867576983518</v>
      </c>
      <c r="R10" s="3">
        <f t="shared" si="8"/>
        <v>0.17804708280597042</v>
      </c>
      <c r="S10" s="3">
        <f t="shared" si="9"/>
        <v>0.44290294213769382</v>
      </c>
      <c r="T10" s="35">
        <f t="shared" si="10"/>
        <v>0.89022182033273878</v>
      </c>
      <c r="V10" s="134"/>
      <c r="W10" s="76">
        <f t="shared" si="11"/>
        <v>-1.3086050460811238E-2</v>
      </c>
      <c r="X10" s="3">
        <f t="shared" si="12"/>
        <v>5.0308189320197871E-3</v>
      </c>
      <c r="Y10" s="3">
        <f t="shared" si="13"/>
        <v>-2.294893428038592E-2</v>
      </c>
      <c r="Z10" s="35">
        <f t="shared" si="14"/>
        <v>-3.2231666412365547E-3</v>
      </c>
      <c r="AB10" s="134"/>
      <c r="AC10" s="76">
        <f t="shared" si="15"/>
        <v>0.63308727746417714</v>
      </c>
      <c r="AD10" s="3">
        <f t="shared" si="16"/>
        <v>-0.45714698725208175</v>
      </c>
      <c r="AE10" s="3">
        <f t="shared" si="17"/>
        <v>0.17652143904004144</v>
      </c>
      <c r="AF10" s="3">
        <f t="shared" si="18"/>
        <v>0.44788625187182707</v>
      </c>
      <c r="AG10" s="35">
        <f t="shared" si="19"/>
        <v>0.89486895213229711</v>
      </c>
      <c r="AI10" s="153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Fan et al.</v>
      </c>
      <c r="AN10" s="6">
        <f t="shared" si="21"/>
        <v>4490</v>
      </c>
      <c r="AO10" s="3">
        <f t="shared" si="22"/>
        <v>0.6246112838738338</v>
      </c>
      <c r="AP10" s="3">
        <f t="shared" si="23"/>
        <v>30.330891136916954</v>
      </c>
      <c r="AQ10" s="3">
        <f t="shared" si="24"/>
        <v>12.275646803753686</v>
      </c>
      <c r="AR10" s="3">
        <f t="shared" si="25"/>
        <v>0.18157556945115166</v>
      </c>
      <c r="AS10" s="3">
        <f t="shared" si="26"/>
        <v>0.43753291227103142</v>
      </c>
      <c r="AT10" s="3">
        <f t="shared" si="27"/>
        <v>0.89167979139554598</v>
      </c>
      <c r="AU10" s="80">
        <f t="shared" si="28"/>
        <v>0.10995053259900141</v>
      </c>
      <c r="AW10" s="44">
        <f t="shared" si="29"/>
        <v>0.6246112838738338</v>
      </c>
      <c r="AX10" s="3">
        <f t="shared" si="30"/>
        <v>0.18707837160280238</v>
      </c>
      <c r="AY10" s="35">
        <f t="shared" si="31"/>
        <v>0.26706850752171218</v>
      </c>
      <c r="BD10" s="153"/>
      <c r="BE10" s="140"/>
      <c r="BF10" s="3">
        <f t="shared" si="32"/>
        <v>-0.47062576853612209</v>
      </c>
      <c r="BG10" s="3">
        <f t="shared" si="33"/>
        <v>0.18157556945115166</v>
      </c>
      <c r="BH10" s="3">
        <f t="shared" si="34"/>
        <v>30.330891136916954</v>
      </c>
      <c r="BI10" s="3">
        <f t="shared" si="99"/>
        <v>12.275646803753686</v>
      </c>
      <c r="BJ10" s="35">
        <f t="shared" si="35"/>
        <v>-0.12081585327256961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4"/>
      <c r="BP10" s="3">
        <f t="shared" si="36"/>
        <v>24.424944320712694</v>
      </c>
      <c r="BQ10" s="3">
        <f t="shared" si="37"/>
        <v>39.10423162583519</v>
      </c>
      <c r="BR10" s="3">
        <f t="shared" si="38"/>
        <v>11.755524426962168</v>
      </c>
      <c r="BS10" s="3">
        <f>IF(AND(Sufficient_data="Yes",Include_study?="Yes"),IF(Add_0_5="Yes",(a_+d_+1)*(ab_+0.5)*(c_+0.5)/(Number_of_subjects+2)^2,(a_+d_)*b_*c_/Number_of_subjects^2),"")</f>
        <v>18.820544441743841</v>
      </c>
      <c r="BT10" s="3">
        <f t="shared" si="39"/>
        <v>12.669419893750527</v>
      </c>
      <c r="BU10" s="3">
        <f t="shared" si="40"/>
        <v>20.283687184091349</v>
      </c>
      <c r="BV10" s="3">
        <f t="shared" si="41"/>
        <v>39.10423162583519</v>
      </c>
      <c r="BW10" s="3">
        <f t="shared" si="42"/>
        <v>0.42000982855162722</v>
      </c>
      <c r="BX10" s="3">
        <f t="shared" si="43"/>
        <v>13.562291949550954</v>
      </c>
      <c r="BY10" s="35">
        <f t="shared" si="44"/>
        <v>-0.12021642362544216</v>
      </c>
      <c r="CA10" s="3" t="s">
        <v>306</v>
      </c>
      <c r="CB10" s="3">
        <f>IF(Meta_analysis_model="Fixed effect model",SUMPRODUCT(Weightf_MH,OddsRatio)/SUM(Weightf_MH),EXP(SUMPRODUCT(Weight_MH,LogOddsRatio)/SUM(Weight_MH)))</f>
        <v>0.7043996882674306</v>
      </c>
      <c r="CD10" s="134"/>
      <c r="CE10" s="76">
        <f t="shared" si="45"/>
        <v>66.6792873051225</v>
      </c>
      <c r="CF10" s="3">
        <f t="shared" si="46"/>
        <v>31.544981363812884</v>
      </c>
      <c r="CG10" s="3">
        <f t="shared" si="47"/>
        <v>-0.46534461808121341</v>
      </c>
      <c r="CH10" s="3">
        <f t="shared" si="48"/>
        <v>3.1700763695716089E-2</v>
      </c>
      <c r="CI10" s="3">
        <f t="shared" si="49"/>
        <v>31.544981363812884</v>
      </c>
      <c r="CJ10" s="3">
        <f t="shared" si="50"/>
        <v>11.156001888214531</v>
      </c>
      <c r="CK10" s="35">
        <f t="shared" si="51"/>
        <v>-0.10788937702930745</v>
      </c>
      <c r="CM10" s="3" t="s">
        <v>307</v>
      </c>
      <c r="CN10" s="3">
        <f>EXP(lnCES_PetoOddsRatio)</f>
        <v>0.69945400506761635</v>
      </c>
      <c r="CP10" s="134"/>
      <c r="CQ10" s="52">
        <f t="shared" si="52"/>
        <v>3.5665294924554183E-2</v>
      </c>
      <c r="CS10" s="2"/>
      <c r="CT10" s="2" t="s">
        <v>38</v>
      </c>
      <c r="CU10" s="2" t="s">
        <v>62</v>
      </c>
      <c r="CV10" s="2" t="s">
        <v>63</v>
      </c>
      <c r="CX10" s="153"/>
      <c r="CY10" s="48">
        <f t="shared" si="53"/>
        <v>11</v>
      </c>
      <c r="CZ10" s="6" t="str">
        <f t="shared" si="54"/>
        <v>Fan et al.</v>
      </c>
      <c r="DA10" s="17" t="str">
        <f t="shared" si="55"/>
        <v>Image</v>
      </c>
      <c r="DB10" s="3">
        <f t="shared" si="56"/>
        <v>-0.47062576853612209</v>
      </c>
      <c r="DC10" s="3">
        <f t="shared" si="57"/>
        <v>0.18157556945115166</v>
      </c>
      <c r="DD10" s="3">
        <f t="shared" si="58"/>
        <v>30.330891136916954</v>
      </c>
      <c r="DE10" s="3">
        <f t="shared" si="59"/>
        <v>12.077066914951924</v>
      </c>
      <c r="DF10" s="80">
        <f t="shared" si="60"/>
        <v>0.24571264837949772</v>
      </c>
      <c r="DG10" s="3">
        <f t="shared" si="61"/>
        <v>0.6246112838738338</v>
      </c>
      <c r="DH10" s="3">
        <f t="shared" si="62"/>
        <v>0.43753292163070195</v>
      </c>
      <c r="DI10" s="3">
        <f t="shared" si="63"/>
        <v>0.89167977232080053</v>
      </c>
      <c r="DJ10" s="35">
        <f t="shared" si="64"/>
        <v>8.0869745106030677E-2</v>
      </c>
      <c r="DL10" s="44">
        <f t="shared" si="65"/>
        <v>0.6246112838738338</v>
      </c>
      <c r="DM10" s="3">
        <f t="shared" si="100"/>
        <v>0.18707836224313185</v>
      </c>
      <c r="DN10" s="35">
        <f t="shared" si="101"/>
        <v>0.26706848844696673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5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308</v>
      </c>
      <c r="FP10" s="1"/>
      <c r="FR10" s="153"/>
      <c r="FS10" s="140"/>
      <c r="FT10" s="76">
        <f>IF(AND(Include_study?="Yes",Sufficient_data="Yes"),IF(Additional_weighting_method="Inverse Variance",1/'Publication Bias Analysis'!F:F^2,IF(Additional_weighting_method="Mantel-Haenszel",Weightf_MH,Weightf_Peto)),"")</f>
        <v>30.330891136916954</v>
      </c>
      <c r="FU10" s="3">
        <f>IF(AND(Include_study?="Yes",Sufficient_data="Yes"),1/('Publication Bias Analysis'!F:F^2+IF(Additional_model="Fixed effect",0,Calculations!GH$12)),"")</f>
        <v>30.330891136916954</v>
      </c>
      <c r="FV10" s="3">
        <f>IF(AND(Include_study?="Yes",Sufficient_data="Yes"),1/('Publication Bias Analysis'!F:F^2+IF(Additional_model="Fixed effect",0,'Publication Bias Analysis'!L$32)),"")</f>
        <v>30.330891136916954</v>
      </c>
      <c r="FW10" s="3">
        <f>IF(AND(Include_study?="Yes",Sufficient_data="Yes"),'Publication Bias Analysis'!E:E-'Publication Bias Analysis'!I$37,"")</f>
        <v>-0.11244703978164061</v>
      </c>
      <c r="FX10" s="3">
        <f>IF(AND(Include_study?="Yes",Sufficient_data="Yes"),IF(Additional_model="Fixed effect",1/'Publication Bias Analysis'!F:F,1/SQRT('Publication Bias Analysis'!F:F^2+GH$12)),"")</f>
        <v>5.5073488301465847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-2.5919002757842491</v>
      </c>
      <c r="FZ10" s="6">
        <f t="shared" si="80"/>
        <v>3</v>
      </c>
      <c r="GA10" s="83">
        <f>IF(AND(Include_study?="Yes",Sufficient_data="Yes"),FZ:FZ+IF(GL:GL&lt;0,-1,1)*COUNTIF(FZ$2:FZ9,FZ:FZ),"")</f>
        <v>3</v>
      </c>
      <c r="GB10" s="83">
        <f>IF(AND(Include_study?="Yes",Sufficient_data="Yes"),RANK(GP:GP,GP:GP,1)*IF(GO:GO&lt;0,-1,1)+IF(GO:GO&lt;0,-1,1)*COUNTIF(FZ$2:FZ9,FZ:FZ),"")</f>
        <v>3</v>
      </c>
      <c r="GC10" s="83">
        <f>IF(AND(Include_study?="Yes",Sufficient_data="Yes"),RANK(GS:GS,GS:GS,1)*IF(GR:GR&lt;0,-1,1)+IF(GR:GR&lt;0,-1,1)*COUNTIF(FZ$2:FZ9,FZ:FZ),"")</f>
        <v>3</v>
      </c>
      <c r="GD10" s="3">
        <f>IF(AND(Include_study?="Yes",Sufficient_data="Yes"),'Publication Bias Analysis'!E10,NA())</f>
        <v>-0.47062576853612209</v>
      </c>
      <c r="GE10" s="35">
        <f>IF(AND(Include_study?="Yes",Sufficient_data="Yes"),'Publication Bias Analysis'!F10,NA())</f>
        <v>0.18157556945115166</v>
      </c>
      <c r="GG10" s="136" t="s">
        <v>57</v>
      </c>
      <c r="GH10" s="136"/>
      <c r="GK10" s="134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0.11244703978164061</v>
      </c>
      <c r="GM10" s="3">
        <f t="shared" si="81"/>
        <v>0.11244703978164061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30.330891136916954</v>
      </c>
      <c r="GO10" s="3">
        <f>IF(AND(Include_study?="Yes",Sufficient_data="Yes"),IF('Publication Bias Analysis'!L$38="Left",'Publication Bias Analysis'!E:E-GW$3,GW$3-'Publication Bias Analysis'!E:E),"")</f>
        <v>0.11244703978164061</v>
      </c>
      <c r="GP10" s="3">
        <f t="shared" si="82"/>
        <v>0.11244703978164061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30.330891136916954</v>
      </c>
      <c r="GR10" s="3">
        <f>IF(AND(Include_study?="Yes",Sufficient_data="Yes"),IF('Publication Bias Analysis'!L$38="Left",'Publication Bias Analysis'!E:E-GW$10,GW$10-'Publication Bias Analysis'!E:E),"")</f>
        <v>0.11244703978164061</v>
      </c>
      <c r="GS10" s="3">
        <f t="shared" si="83"/>
        <v>0.11244703978164061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30.330891136916954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-0.35817872875448148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4"/>
      <c r="HL10" s="3">
        <f t="shared" si="89"/>
        <v>-9.2805916637867192E-2</v>
      </c>
      <c r="HM10" s="35">
        <f>IF(AND(Include_study?="Yes",Sufficient_data="Yes"),Z_score-('Publication Bias Analysis'!P$3+'Publication Bias Analysis'!P$4*Inverse_standard_error),"")</f>
        <v>-0.78516169887961995</v>
      </c>
      <c r="HO10" s="134"/>
      <c r="HP10" s="3">
        <f>IF(AND(Include_study?="Yes",Sufficient_data="Yes"),(GD:GD-SUMPRODUCT(Calculations!FT:FT,'Publication Bias Analysis'!E:E)/SUM(Calculations!FT:FT))/SQRT(Calculations!HQ:HQ),"")</f>
        <v>-0.65530531158471805</v>
      </c>
      <c r="HQ10" s="3">
        <f>IF(AND(Include_study?="Yes",Sufficient_data="Yes"),GE:GE^2-1/SUM(Calculations!FT:FT),"")</f>
        <v>2.9444804663099868E-2</v>
      </c>
      <c r="HR10" s="6">
        <f t="shared" si="90"/>
        <v>7</v>
      </c>
      <c r="HS10" s="6">
        <f t="shared" si="91"/>
        <v>4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5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3</v>
      </c>
      <c r="HW10" s="134"/>
      <c r="HX10" s="54">
        <v>9</v>
      </c>
      <c r="HY10" s="32">
        <f t="shared" si="123"/>
        <v>2.8</v>
      </c>
      <c r="HZ10" s="39"/>
      <c r="IB10" s="134"/>
      <c r="IC10" s="76">
        <f t="shared" si="92"/>
        <v>2.2579244463742945E-2</v>
      </c>
      <c r="ID10" s="3">
        <f t="shared" si="93"/>
        <v>3.5665294924554183E-2</v>
      </c>
      <c r="IE10" s="3">
        <f t="shared" si="94"/>
        <v>32.092613180687799</v>
      </c>
      <c r="IF10" s="35">
        <f t="shared" si="95"/>
        <v>30.330891136916954</v>
      </c>
      <c r="IK10" s="134"/>
      <c r="IL10" s="3">
        <f>IF(AND(Include_study?="Yes",Sufficient_data="Yes"),'Publication Bias Analysis'!AV:AV,NA())</f>
        <v>-2.5919002757842491</v>
      </c>
      <c r="IM10" s="3">
        <f>IF(AND(Sufficient_data="Yes",Include_study?="Yes"),'Publication Bias Analysis'!AU:AU,NA())</f>
        <v>5.5073488301465847</v>
      </c>
      <c r="IN10" s="3">
        <f t="shared" si="96"/>
        <v>-9.2805916637867192E-2</v>
      </c>
      <c r="IO10" s="35">
        <f>IF(AND(Include_study?="Yes",Sufficient_data="Yes"),Z_score-('Publication Bias Analysis'!AY$30+'Publication Bias Analysis'!AY$31*Inverse_standard_error),"")</f>
        <v>-0.61928507299486468</v>
      </c>
      <c r="IQ10" s="2" t="s">
        <v>288</v>
      </c>
      <c r="IR10" s="3">
        <f>MAX(Inverse_standard_error)</f>
        <v>6.0567404146446346</v>
      </c>
      <c r="IS10" s="3">
        <f>IR10*'Publication Bias Analysis'!AY31+IS9</f>
        <v>0.13660855309086006</v>
      </c>
      <c r="IU10" s="134"/>
      <c r="IV10" s="6">
        <f>IF('Publication Bias Analysis'!BG:BG&lt;&gt;"",RANK('Publication Bias Analysis'!BG:BG,'Publication Bias Analysis'!BG:BG,1)+COUNTIF('Publication Bias Analysis'!BG$2:BG9,'Publication Bias Analysis'!BG10),"")</f>
        <v>3</v>
      </c>
      <c r="IW10" s="3">
        <f t="shared" si="97"/>
        <v>0.2857142857142857</v>
      </c>
      <c r="IX10" s="3">
        <f>IF('Publication Bias Analysis'!BF10&lt;&gt;"",'Publication Bias Analysis'!BF10,NA())</f>
        <v>-0.56594882193286311</v>
      </c>
      <c r="IY10" s="3">
        <f>IF('Publication Bias Analysis'!BG10&lt;&gt;"",'Publication Bias Analysis'!BG10,NA())</f>
        <v>-2.5919002757842491</v>
      </c>
      <c r="IZ10" s="3">
        <f>IF(AND(Include_study?="Yes",Sufficient_data="Yes"),'Publication Bias Analysis'!BF:BF-AVERAGE('Publication Bias Analysis'!BF:BF),"")</f>
        <v>-0.56594882193286311</v>
      </c>
      <c r="JA10" s="35">
        <f>IF(AND(Include_study?="Yes",Sufficient_data="Yes"),'Publication Bias Analysis'!BG:BG-('Publication Bias Analysis'!BJ$30+'Publication Bias Analysis'!BJ$31*'Publication Bias Analysis'!BF:BF),"")</f>
        <v>0.34241748035257968</v>
      </c>
      <c r="JG10" s="134"/>
      <c r="JH10" s="3">
        <f t="shared" si="98"/>
        <v>-2.5919002757842491</v>
      </c>
      <c r="JI10" s="10">
        <f t="shared" si="124"/>
        <v>4.7723717347913919E-3</v>
      </c>
      <c r="JJ10" s="35">
        <f t="shared" si="125"/>
        <v>-5.3449118786204766</v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53"/>
      <c r="I11" s="140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34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34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34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53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53"/>
      <c r="BE11" s="140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309</v>
      </c>
      <c r="BM11" s="3">
        <f>IF(Model_effect_size_measure="Risk Difference",CES_IV-ABS(TINV((1-Confidence_level),k_-1))*SECES_Risk_Difference,EXP(CIlnCES_LL))</f>
        <v>0.56941989738182741</v>
      </c>
      <c r="BO11" s="134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309</v>
      </c>
      <c r="CB11" s="3">
        <f>EXP(CIlnCES_LL_MH)</f>
        <v>0.56889695614843505</v>
      </c>
      <c r="CD11" s="134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309</v>
      </c>
      <c r="CN11" s="3">
        <f>EXP(CIlnCES_LL_Peto)</f>
        <v>0.55574807002798932</v>
      </c>
      <c r="CP11" s="134"/>
      <c r="CQ11" s="52" t="str">
        <f t="shared" si="52"/>
        <v/>
      </c>
      <c r="CS11" s="2" t="s">
        <v>283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0.71059838258800234</v>
      </c>
      <c r="CU11" s="3">
        <f>IF(Model_effect_size_measure="Odds Ratio",CES_OddsRatio_MH/(1-MEDIAN(Control_group_risk)+(MEDIAN(Control_group_risk)*CES_OddsRatio_MH)),NA())</f>
        <v>0.71018088457356376</v>
      </c>
      <c r="CV11" s="3" t="e">
        <f>IF(Model_effect_size_measure="Peto Odds Ratio",CES_PetoOddsRatio/(1-MEDIAN(Control_group_risk)+(MEDIAN(Control_group_risk)*CES_PetoOddsRatio)),NA())</f>
        <v>#N/A</v>
      </c>
      <c r="CX11" s="153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198</v>
      </c>
      <c r="EY11" s="3">
        <f>IF(Subgroup_valid_options="Yes",IF(Subgroup_effect_size_measure="Risk Difference",EY9-ABS(TINV((1-Subgroup_confidence_level),Subgroup_k-1))*EY10,EXP(EY4)),"")</f>
        <v>0.59577707080657516</v>
      </c>
      <c r="FA11" s="15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245</v>
      </c>
      <c r="FP11" s="2" t="s">
        <v>246</v>
      </c>
      <c r="FR11" s="153"/>
      <c r="FS11" s="140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58</v>
      </c>
      <c r="GH11" s="3">
        <f>SUMPRODUCT(Calculations!FT:FT,'Publication Bias Analysis'!E:E,'Publication Bias Analysis'!E:E)-SUMPRODUCT(Calculations!FT:FT,'Publication Bias Analysis'!E:E)^2/SUM(Calculations!FT:FT)</f>
        <v>20.198559181520956</v>
      </c>
      <c r="GK11" s="134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36" t="s">
        <v>57</v>
      </c>
      <c r="GW11" s="136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4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34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34"/>
      <c r="IB11" s="134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34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34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34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53"/>
      <c r="I12" s="140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3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3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3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53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53"/>
      <c r="BE12" s="140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310</v>
      </c>
      <c r="BM12" s="3">
        <f>IF(Model_effect_size_measure="Risk Difference",CES_IV+ABS(TINV((1-Confidence_level),k_-1))*SECES_Risk_Difference,EXP(CIlnCES_UL))</f>
        <v>0.87242143897454782</v>
      </c>
      <c r="BO12" s="13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310</v>
      </c>
      <c r="CB12" s="3">
        <f>EXP(CIlnCES_UL_MH)</f>
        <v>0.87217714116542366</v>
      </c>
      <c r="CD12" s="13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310</v>
      </c>
      <c r="CN12" s="3">
        <f>EXP(CIlnCES_UL_Peto)</f>
        <v>0.88031957570359076</v>
      </c>
      <c r="CP12" s="134"/>
      <c r="CQ12" s="52" t="str">
        <f t="shared" si="52"/>
        <v/>
      </c>
      <c r="CS12" s="2" t="s">
        <v>95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0.57625288955584397</v>
      </c>
      <c r="CU12" s="3">
        <f>IF(Model_effect_size_measure="Odds Ratio",CICES_LL_MH/(1-MEDIAN(Control_group_risk)+(MEDIAN(Control_group_risk)*CICES_LL_MH)),"")</f>
        <v>0.57573206375957997</v>
      </c>
      <c r="CV12" s="3" t="str">
        <f>IF(Model_effect_size_measure="Peto Odds Ratio",CICES_LL_Peto/(1-MEDIAN(Control_group_risk)+(MEDIAN(Control_group_risk)*CICES_LL_Peto)),"")</f>
        <v/>
      </c>
      <c r="CX12" s="153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199</v>
      </c>
      <c r="EY12" s="3">
        <f>IF(Subgroup_valid_options="Yes",IF(Subgroup_effect_size_measure="Risk Difference",EY9+ABS(TINV((1-Subgroup_confidence_level),Subgroup_k-1))*EY10,EXP(EY5)),"")</f>
        <v>0.96647598555382408</v>
      </c>
      <c r="FA12" s="15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53"/>
      <c r="FS12" s="140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146</v>
      </c>
      <c r="GH12" s="3">
        <f>MAX(0,(GH11-(k_-1))/((SUM(Calculations!FT:FT))-SUMPRODUCT(Calculations!FT:FT,Calculations!FT:FT)/SUM(Calculations!FT:FT)))</f>
        <v>4.8492415226654886E-2</v>
      </c>
      <c r="GK12" s="13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58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20.198559181520956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3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34"/>
      <c r="HX12" s="155" t="s">
        <v>311</v>
      </c>
      <c r="HY12" s="136"/>
      <c r="IB12" s="13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3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3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3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53"/>
      <c r="I13" s="140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53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53"/>
      <c r="BE13" s="140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312</v>
      </c>
      <c r="BM13" s="3">
        <f>IF(Model_effect_size_measure="Risk Difference",CES_IV-ABS(TINV((1-Confidence_level),k_-1))*SQRT(T2_+SECES_Risk_Difference^2),EXP(PIlnCES_LL))</f>
        <v>0.4063240450326821</v>
      </c>
      <c r="BO13" s="13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312</v>
      </c>
      <c r="CB13" s="3">
        <f>EXP(PIlnCES_LL_MH)</f>
        <v>0.4220322421225069</v>
      </c>
      <c r="CD13" s="13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312</v>
      </c>
      <c r="CN13" s="3">
        <f>EXP(PIlnCES_LL_Peto)</f>
        <v>0.38355454388257454</v>
      </c>
      <c r="CP13" s="134"/>
      <c r="CQ13" s="52" t="str">
        <f t="shared" si="52"/>
        <v/>
      </c>
      <c r="CS13" s="2" t="s">
        <v>96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0.87549736859843386</v>
      </c>
      <c r="CU13" s="3">
        <f>IF(Model_effect_size_measure="Odds Ratio",CICES_UL_MH/(1-MEDIAN(Control_group_risk)+(MEDIAN(Control_group_risk)*CICES_UL_MH)),"")</f>
        <v>0.87525811865097669</v>
      </c>
      <c r="CV13" s="3" t="str">
        <f>IF(Model_effect_size_measure="Peto Odds Ratio",CICES_UL_Peto/(1-MEDIAN(Control_group_risk)+(MEDIAN(Control_group_risk)*CICES_UL_Peto)),"")</f>
        <v/>
      </c>
      <c r="CX13" s="153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313</v>
      </c>
      <c r="EY13" s="3">
        <f>IF(Subgroup_valid_options="Yes",IF(Subgroup_effect_size_measure="Risk Difference",EY9-ABS(TINV((1-Subgroup_confidence_level),Subgroup_k-1))*SQRT(EY10^2+EY35),EXP(EY6)),"")</f>
        <v>0.52726074157629432</v>
      </c>
      <c r="FA13" s="15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53"/>
      <c r="FS13" s="140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146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4.4517157615894275E-2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4"/>
      <c r="HX13" s="2" t="s">
        <v>314</v>
      </c>
      <c r="HY13" s="3">
        <f>MAX(MAX(Standardized_residual),ABS(MIN(Standardized_residual)))</f>
        <v>3.151778216162505</v>
      </c>
      <c r="IB13" s="13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53"/>
      <c r="I14" s="140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53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53"/>
      <c r="BE14" s="140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315</v>
      </c>
      <c r="BM14" s="3">
        <f>IF(Model_effect_size_measure="Risk Difference",CES_IV+ABS(TINV((1-Confidence_level),k_-1))*SQRT(T2_+SECES_Risk_Difference^2),EXP(PIlnCES_UL))</f>
        <v>1.22260578060212</v>
      </c>
      <c r="BO14" s="13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315</v>
      </c>
      <c r="CB14" s="3">
        <f>EXP(PIlnCES_UL_MH)</f>
        <v>1.1756896068789535</v>
      </c>
      <c r="CD14" s="13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315</v>
      </c>
      <c r="CN14" s="3">
        <f>EXP(PIlnCES_UL_Peto)</f>
        <v>1.2755315065564934</v>
      </c>
      <c r="CP14" s="134"/>
      <c r="CQ14" s="52" t="str">
        <f t="shared" si="52"/>
        <v/>
      </c>
      <c r="CS14" s="2" t="s">
        <v>296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0.41307748168437131</v>
      </c>
      <c r="CU14" s="3">
        <f>IF(Model_effect_size_measure="Odds Ratio",PICES_LL_MH/(1-MEDIAN(Control_group_risk)+(MEDIAN(Control_group_risk)*PICES_LL_MH)),"")</f>
        <v>0.42885816129443977</v>
      </c>
      <c r="CV14" s="3" t="str">
        <f>IF(Model_effect_size_measure="Peto Odds Ratio",PICES_LL_Peto/(1-MEDIAN(Control_group_risk)+(MEDIAN(Control_group_risk)*PICES_LL_Peto)),"")</f>
        <v/>
      </c>
      <c r="CX14" s="153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316</v>
      </c>
      <c r="EY14" s="3">
        <f>IF(Subgroup_valid_options="Yes",IF(Subgroup_effect_size_measure="Risk Difference",EY9+ABS(TINV((1-Subgroup_confidence_level),Subgroup_k-1))*SQRT(EY10^2+EY35),EXP(EY7)),"")</f>
        <v>1.0920673326763068</v>
      </c>
      <c r="FA14" s="15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53"/>
      <c r="FS14" s="140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36" t="s">
        <v>317</v>
      </c>
      <c r="GH14" s="136"/>
      <c r="GK14" s="13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302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4"/>
      <c r="HX14" s="2" t="s">
        <v>311</v>
      </c>
      <c r="HY14" s="21">
        <f>ROUND(HY13/4,1)</f>
        <v>0.8</v>
      </c>
      <c r="IB14" s="13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53"/>
      <c r="I15" s="140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53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53"/>
      <c r="BE15" s="140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4"/>
      <c r="CQ15" s="52" t="str">
        <f t="shared" si="52"/>
        <v/>
      </c>
      <c r="CS15" s="2" t="s">
        <v>301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1.2151565312200614</v>
      </c>
      <c r="CU15" s="3">
        <f>IF(Model_effect_size_measure="Odds Ratio",PICES_UL_MH/(1-MEDIAN(Control_group_risk)+(MEDIAN(Control_group_risk)*PICES_UL_MH)),"")</f>
        <v>1.1700286944831986</v>
      </c>
      <c r="CV15" s="3" t="str">
        <f>IF(Model_effect_size_measure="Peto Odds Ratio",PICES_UL_Peto/(1-MEDIAN(Control_group_risk)+(MEDIAN(Control_group_risk)*PICES_UL_Peto)),"")</f>
        <v/>
      </c>
      <c r="CX15" s="15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5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53"/>
      <c r="FS15" s="140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318</v>
      </c>
      <c r="GH15" s="3">
        <f>IF(Additional_valid_options="Yes",'Publication Bias Analysis'!I29-'Publication Bias Analysis'!I31,NA())</f>
        <v>0.13690913292026935</v>
      </c>
      <c r="GK15" s="13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4"/>
      <c r="IB15" s="13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53"/>
      <c r="I16" s="140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5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53"/>
      <c r="BE16" s="140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52</v>
      </c>
      <c r="BM16" s="3">
        <f>IF(Model_effect_size_measure="Risk Difference",CES_IV/SECES_Risk_Difference,lnCES_IV/SElnCES)</f>
        <v>-3.7813412491206893</v>
      </c>
      <c r="BO16" s="13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52</v>
      </c>
      <c r="CB16" s="3">
        <f>lnCES_OddsRatio_MH/SElnCES_MH</f>
        <v>-3.782158715255036</v>
      </c>
      <c r="CD16" s="13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52</v>
      </c>
      <c r="CN16" s="3">
        <f>lnCES_PetoOddsRatio/SElnCES_Peto</f>
        <v>-3.5841181606290671</v>
      </c>
      <c r="CP16" s="134"/>
      <c r="CQ16" s="52" t="str">
        <f t="shared" si="52"/>
        <v/>
      </c>
      <c r="CX16" s="15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36" t="s">
        <v>319</v>
      </c>
      <c r="EY16" s="136"/>
      <c r="FA16" s="15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53"/>
      <c r="FS16" s="140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320</v>
      </c>
      <c r="GH16" s="3">
        <f>IF(Additional_valid_options="Yes",'Publication Bias Analysis'!I29-'Publication Bias Analysis'!I33,NA())</f>
        <v>0.5259373046667275</v>
      </c>
      <c r="GK16" s="13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36" t="s">
        <v>103</v>
      </c>
      <c r="GW16" s="136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4"/>
      <c r="IB16" s="13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53"/>
      <c r="I17" s="140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53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53"/>
      <c r="BE17" s="140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4"/>
      <c r="CQ17" s="52" t="str">
        <f t="shared" si="52"/>
        <v/>
      </c>
      <c r="CS17" s="136" t="s">
        <v>171</v>
      </c>
      <c r="CT17" s="136"/>
      <c r="CU17" s="136"/>
      <c r="CV17" s="136"/>
      <c r="CX17" s="15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58</v>
      </c>
      <c r="EY17" s="3">
        <f>SUMPRODUCT(Subgroup_weightf,Subgroup_effect_size,Subgroup_effect_size)-SUMPRODUCT(Subgroup_weightf,Subgroup_effect_size)^2/SUM(Subgroup_weightf)</f>
        <v>20.198559181520956</v>
      </c>
      <c r="FA17" s="15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53"/>
      <c r="FS17" s="140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321</v>
      </c>
      <c r="GH17" s="3">
        <f>IF(Additional_valid_options="Yes",MAX('Publication Bias Analysis'!F:F)*1.1,NA())</f>
        <v>0.22437409836276645</v>
      </c>
      <c r="GK17" s="13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-0.35817872875448148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4"/>
      <c r="IB17" s="13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53"/>
      <c r="I18" s="140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5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53"/>
      <c r="BE18" s="140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57</v>
      </c>
      <c r="BM18" s="28"/>
      <c r="BO18" s="13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36" t="s">
        <v>57</v>
      </c>
      <c r="CB18" s="136"/>
      <c r="CD18" s="13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57</v>
      </c>
      <c r="CN18" s="1"/>
      <c r="CP18" s="134"/>
      <c r="CQ18" s="52" t="str">
        <f t="shared" si="52"/>
        <v/>
      </c>
      <c r="CS18" s="2"/>
      <c r="CT18" s="2" t="s">
        <v>38</v>
      </c>
      <c r="CU18" s="2" t="s">
        <v>62</v>
      </c>
      <c r="CV18" s="2" t="s">
        <v>63</v>
      </c>
      <c r="CX18" s="15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59</v>
      </c>
      <c r="EY18" s="3">
        <f>CHIDIST(EY17,Subgroup_k-1)</f>
        <v>9.6103800058974301E-3</v>
      </c>
      <c r="FA18" s="15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53"/>
      <c r="FS18" s="140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36" t="s">
        <v>57</v>
      </c>
      <c r="GW18" s="136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4"/>
      <c r="IB18" s="13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53"/>
      <c r="I19" s="140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5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53"/>
      <c r="BE19" s="140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58</v>
      </c>
      <c r="BM19" s="3">
        <f>SUMPRODUCT(Weightf,Model_Effect_size,Model_Effect_size)-SUMPRODUCT(Weightf,Model_Effect_size)^2/SUM(Weightf)</f>
        <v>20.198559181520956</v>
      </c>
      <c r="BO19" s="13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58</v>
      </c>
      <c r="CB19" s="3">
        <f>SUM(Weighted_squared_residual)</f>
        <v>20.206315434550696</v>
      </c>
      <c r="CD19" s="13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58</v>
      </c>
      <c r="CN19" s="3">
        <f>SUMPRODUCT(Weightf_Peto,LogPetoOddsRatio,LogPetoOddsRatio)-SUMPRODUCT(Weightf_Peto,LogPetoOddsRatio)^2/SUM(Weightf_Peto)</f>
        <v>22.395028425784901</v>
      </c>
      <c r="CP19" s="134"/>
      <c r="CQ19" s="52" t="str">
        <f t="shared" si="52"/>
        <v/>
      </c>
      <c r="CS19" s="2" t="s">
        <v>283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-7.9697519424990759E-3</v>
      </c>
      <c r="CU19" s="3">
        <f>IF(Model_effect_size_measure="Odds Ratio",CU11*MEDIAN(Control_group_risk)-MEDIAN(Control_group_risk),NA())</f>
        <v>-7.9812493060636494E-3</v>
      </c>
      <c r="CV19" s="3" t="e">
        <f>IF(Model_effect_size_measure="Peto Odds Ratio",CV11*MEDIAN(Control_group_risk)-MEDIAN(Control_group_risk),NA())</f>
        <v>#N/A</v>
      </c>
      <c r="CX19" s="15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60</v>
      </c>
      <c r="EY19" s="9">
        <f>MAX(0,(EY17-(Subgroup_k-1))/EY17)</f>
        <v>0.60393214545129759</v>
      </c>
      <c r="FA19" s="15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53"/>
      <c r="FS19" s="140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36" t="s">
        <v>322</v>
      </c>
      <c r="GH19" s="136"/>
      <c r="GK19" s="13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58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20.198559181520956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4"/>
      <c r="IB19" s="13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53"/>
      <c r="I20" s="140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5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53"/>
      <c r="BE20" s="140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146</v>
      </c>
      <c r="BM20" s="3">
        <f>MAX((Q_-(k_-1))/(SUM(Weightf)-SUMPRODUCT(Weightf,Weightf)/SUM(Weightf)),0)</f>
        <v>4.8492415226654886E-2</v>
      </c>
      <c r="BO20" s="13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146</v>
      </c>
      <c r="CB20" s="3">
        <f>MAX((Q_MH-(k_-1))/(SUM(Weightf_MH)-SUMPRODUCT(Weightf_MH,Weightf_MH)/SUM(Weightf_MH)),0)</f>
        <v>4.0764162558994947E-2</v>
      </c>
      <c r="CD20" s="13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146</v>
      </c>
      <c r="CN20" s="3">
        <f>MAX((Q_Peto-(k_-1))/(SUM(Weightf_Peto)-SUMPRODUCT(Weightf_Peto,Weightf_Peto)/SUM(Weightf_Peto)),0)</f>
        <v>5.7937084165929048E-2</v>
      </c>
      <c r="CP20" s="134"/>
      <c r="CQ20" s="52" t="str">
        <f t="shared" si="52"/>
        <v/>
      </c>
      <c r="CS20" s="2" t="s">
        <v>323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2.1076521311987795E-3</v>
      </c>
      <c r="CU20" s="3">
        <f>IF(Model_effect_size_measure="Odds Ratio",CU19/Z_value_MH,"")</f>
        <v>2.1102364831681749E-3</v>
      </c>
      <c r="CV20" s="3" t="str">
        <f>IF(Model_effect_size_measure="Peto Odds Ratio",CV19/Z_value_Peto,"")</f>
        <v/>
      </c>
      <c r="CX20" s="15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146</v>
      </c>
      <c r="EY20" s="3">
        <f>MAX(0,(EY17-(Subgroup_k-1))/(SUM(Subgroup_weightf)-(SUMPRODUCT(Subgroup_weightf,Subgroup_weightf)/SUM(Subgroup_weightf))))</f>
        <v>4.8492415226654886E-2</v>
      </c>
      <c r="FA20" s="15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53"/>
      <c r="FS20" s="140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324</v>
      </c>
      <c r="GH20" s="3">
        <f>IF(AND(Trim_and_fill="On",Additional_valid_options="Yes"),'Publication Bias Analysis'!I37-'Publication Bias Analysis'!I39,NA())</f>
        <v>0.13690913292026935</v>
      </c>
      <c r="GK20" s="13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146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4.4517157615894275E-2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4"/>
      <c r="IB20" s="13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53"/>
      <c r="I21" s="140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5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53"/>
      <c r="BE21" s="140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4"/>
      <c r="CQ21" s="52" t="str">
        <f t="shared" si="52"/>
        <v/>
      </c>
      <c r="CS21" s="2" t="s">
        <v>95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-1.2830006472615335E-2</v>
      </c>
      <c r="CU21" s="3">
        <f>IF(Model_effect_size_measure="Odds Ratio",CU19-CU20*ABS(TINV((1-Confidence_level),k_-1)),"")</f>
        <v>-1.2847463362508159E-2</v>
      </c>
      <c r="CV21" s="3" t="str">
        <f>IF(Model_effect_size_measure="Peto Odds Ratio",CV19-CV20*ABS(TINV((1-Confidence_level),k_-1)),"")</f>
        <v/>
      </c>
      <c r="CX21" s="15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70</v>
      </c>
      <c r="EY21" s="3">
        <f>SQRT(EY20)</f>
        <v>0.22020993444133008</v>
      </c>
      <c r="FA21" s="15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53"/>
      <c r="FS21" s="140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325</v>
      </c>
      <c r="GH21" s="3">
        <f>IF(AND(Trim_and_fill="On",Additional_valid_options="Yes"),'Publication Bias Analysis'!I37-'Publication Bias Analysis'!I41,NA())</f>
        <v>0.5259373046667275</v>
      </c>
      <c r="GK21" s="13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302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4"/>
      <c r="IB21" s="13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53"/>
      <c r="I22" s="140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5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53"/>
      <c r="BE22" s="140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4"/>
      <c r="CQ22" s="52" t="str">
        <f t="shared" si="52"/>
        <v/>
      </c>
      <c r="CS22" s="2" t="s">
        <v>96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-3.1094974123828164E-3</v>
      </c>
      <c r="CU22" s="3">
        <f>IF(Model_effect_size_measure="Odds Ratio",CU19+CU20*ABS(TINV((1-Confidence_level),k_-1)),"")</f>
        <v>-3.1150352496191408E-3</v>
      </c>
      <c r="CV22" s="3" t="str">
        <f>IF(Model_effect_size_measure="Peto Odds Ratio",CV19+CV20*ABS(TINV((1-Confidence_level),k_-1)),"")</f>
        <v/>
      </c>
      <c r="CX22" s="15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5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53"/>
      <c r="FS22" s="140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326</v>
      </c>
      <c r="GH22" s="3">
        <f>IF(AND(Trim_and_fill="On",Additional_valid_options="Yes"),MAX('Publication Bias Analysis'!F:F)*1.2,NA())</f>
        <v>0.24477174366847246</v>
      </c>
      <c r="GK22" s="13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4"/>
      <c r="IB22" s="13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53"/>
      <c r="I23" s="140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5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53"/>
      <c r="BE23" s="140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4"/>
      <c r="CQ23" s="52" t="str">
        <f t="shared" si="52"/>
        <v/>
      </c>
      <c r="CS23" s="2" t="s">
        <v>296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-2.0518551745532597E-2</v>
      </c>
      <c r="CU23" s="3">
        <f>IF(Model_effect_size_measure="Odds Ratio",CU19-((lnCES_OddsRatio_MH-PIlnCES_LL_MH)/SElnCES_MH)*CU20,"")</f>
        <v>-1.9649055853867579E-2</v>
      </c>
      <c r="CV23" s="3" t="str">
        <f>IF(Model_effect_size_measure="Peto Odds Ratio",CV19-((lnCES_PetoOddsRatio-PIlnCES_LL_Peto)/SElnCES_Peto)*CV20,"")</f>
        <v/>
      </c>
      <c r="CX23" s="15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36" t="s">
        <v>327</v>
      </c>
      <c r="EY23" s="136"/>
      <c r="FA23" s="15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53"/>
      <c r="FS23" s="140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4"/>
      <c r="IB23" s="13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53"/>
      <c r="I24" s="140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5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53"/>
      <c r="BE24" s="140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4"/>
      <c r="CQ24" s="52" t="str">
        <f t="shared" si="52"/>
        <v/>
      </c>
      <c r="CS24" s="2" t="s">
        <v>301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4.5790478605344433E-3</v>
      </c>
      <c r="CU24" s="3">
        <f>IF(Model_effect_size_measure="Odds Ratio",CU19+((lnCES_OddsRatio_MH-PIlnCES_LL_MH)/SElnCES_MH)*CU20,"")</f>
        <v>3.6865572417402823E-3</v>
      </c>
      <c r="CV24" s="3" t="str">
        <f>IF(Model_effect_size_measure="Peto Odds Ratio",CV19+((lnCES_PetoOddsRatio-PIlnCES_LL_Peto)/SElnCES_Peto)*CV20,"")</f>
        <v/>
      </c>
      <c r="CX24" s="15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264</v>
      </c>
      <c r="EY24" s="3">
        <f>EY9</f>
        <v>0.75881765377339183</v>
      </c>
      <c r="FA24" s="15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53"/>
      <c r="FS24" s="140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4"/>
      <c r="IB24" s="13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53"/>
      <c r="I25" s="140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5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53"/>
      <c r="BE25" s="140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4"/>
      <c r="CQ25" s="52" t="str">
        <f t="shared" si="52"/>
        <v/>
      </c>
      <c r="CX25" s="15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281</v>
      </c>
      <c r="EY25" s="6">
        <f>IF(Subgroup_valid_options="Yes",MAX(DP:DP)+1,"")</f>
        <v>13</v>
      </c>
      <c r="FA25" s="15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53"/>
      <c r="FS25" s="140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4"/>
      <c r="IB25" s="13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53"/>
      <c r="I26" s="140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5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53"/>
      <c r="BE26" s="140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4"/>
      <c r="CQ26" s="52" t="str">
        <f t="shared" si="52"/>
        <v/>
      </c>
      <c r="CX26" s="15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328</v>
      </c>
      <c r="EY26" s="6">
        <f>IF(Subgroup_valid_options="Yes",MAX(DR:DR)+1,"")</f>
        <v>4</v>
      </c>
      <c r="FA26" s="15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53"/>
      <c r="FS26" s="140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4"/>
      <c r="IB26" s="13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53"/>
      <c r="I27" s="140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5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53"/>
      <c r="BE27" s="140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4"/>
      <c r="CQ27" s="52" t="str">
        <f t="shared" si="52"/>
        <v/>
      </c>
      <c r="CX27" s="15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286</v>
      </c>
      <c r="EY27" s="3">
        <f>IF(Subgroup_valid_options="Yes",EY9-EY11,"")</f>
        <v>0.16304058296681667</v>
      </c>
      <c r="FA27" s="15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53"/>
      <c r="FS27" s="140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4"/>
      <c r="IB27" s="13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53"/>
      <c r="I28" s="140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5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53"/>
      <c r="BE28" s="140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4"/>
      <c r="CQ28" s="52" t="str">
        <f t="shared" si="52"/>
        <v/>
      </c>
      <c r="CX28" s="15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289</v>
      </c>
      <c r="EY28" s="3">
        <f>IF(Subgroup_valid_options="Yes",EY12-EY9,"")</f>
        <v>0.20765833178043225</v>
      </c>
      <c r="FA28" s="15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53"/>
      <c r="FS28" s="140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4"/>
      <c r="IB28" s="13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53"/>
      <c r="I29" s="140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5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53"/>
      <c r="BE29" s="140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4"/>
      <c r="CQ29" s="52" t="str">
        <f t="shared" si="52"/>
        <v/>
      </c>
      <c r="CX29" s="15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294</v>
      </c>
      <c r="EY29" s="3">
        <f>IF(Subgroup_valid_options="Yes",EY9-EY13,"")</f>
        <v>0.23155691219709751</v>
      </c>
      <c r="FA29" s="15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53"/>
      <c r="FS29" s="140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4"/>
      <c r="IB29" s="13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53"/>
      <c r="I30" s="140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5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53"/>
      <c r="BE30" s="140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4"/>
      <c r="CQ30" s="52" t="str">
        <f t="shared" si="52"/>
        <v/>
      </c>
      <c r="CX30" s="15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299</v>
      </c>
      <c r="EY30" s="3">
        <f>IF(Subgroup_valid_options="Yes",EY14-EY9,"")</f>
        <v>0.33324967890291501</v>
      </c>
      <c r="FA30" s="15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53"/>
      <c r="FS30" s="140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4"/>
      <c r="IB30" s="13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53"/>
      <c r="I31" s="140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5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53"/>
      <c r="BE31" s="140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4"/>
      <c r="CQ31" s="52" t="str">
        <f t="shared" si="52"/>
        <v/>
      </c>
      <c r="CX31" s="15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329</v>
      </c>
      <c r="EY31" s="3">
        <f>IF(Subgroup_valid_options="Yes",MAX(ER:ER),"")</f>
        <v>0.46396024506165739</v>
      </c>
      <c r="FA31" s="15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53"/>
      <c r="FS31" s="140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4"/>
      <c r="IB31" s="13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53"/>
      <c r="I32" s="140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5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53"/>
      <c r="BE32" s="140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4"/>
      <c r="CQ32" s="52" t="str">
        <f t="shared" si="52"/>
        <v/>
      </c>
      <c r="CX32" s="15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5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53"/>
      <c r="FS32" s="140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4"/>
      <c r="IB32" s="13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53"/>
      <c r="I33" s="140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5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53"/>
      <c r="BE33" s="140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4"/>
      <c r="CQ33" s="52" t="str">
        <f t="shared" si="52"/>
        <v/>
      </c>
      <c r="CX33" s="15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36" t="s">
        <v>330</v>
      </c>
      <c r="EY33" s="136"/>
      <c r="FA33" s="15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53"/>
      <c r="FS33" s="140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4"/>
      <c r="IB33" s="13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53"/>
      <c r="I34" s="140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5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53"/>
      <c r="BE34" s="140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4"/>
      <c r="CQ34" s="52" t="str">
        <f t="shared" ref="CQ34:CQ97" si="175">IF(AND(Sufficient_data="Yes",Include_study?="Yes"),c_/(c_+d_),"")</f>
        <v/>
      </c>
      <c r="CX34" s="15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331</v>
      </c>
      <c r="EY34" s="3">
        <f>IF(Subgroup_valid_options="Yes",SUMPRODUCT(ES:ES,DZ:DZ,DZ:DZ)-SUMPRODUCT(ES:ES,DZ:DZ)^2/SUM(ES:ES),"")</f>
        <v>5.487268531456742</v>
      </c>
      <c r="FA34" s="15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53"/>
      <c r="FS34" s="140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4"/>
      <c r="IB34" s="13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53"/>
      <c r="I35" s="140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5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53"/>
      <c r="BE35" s="140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4"/>
      <c r="CQ35" s="52" t="str">
        <f t="shared" si="175"/>
        <v/>
      </c>
      <c r="CX35" s="15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146</v>
      </c>
      <c r="EY35" s="3">
        <f>IF(Subgroup_valid_options="Yes",MAX(0,(EY34-(COUNT(DT:DT)-1))/(SUM(ES:ES)-(SUMPRODUCT(ES:ES,ES:ES)/SUM(ES:ES)))),"")</f>
        <v>1.3921759104161952E-2</v>
      </c>
      <c r="FA35" s="15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53"/>
      <c r="FS35" s="140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4"/>
      <c r="IB35" s="13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53"/>
      <c r="I36" s="140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5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53"/>
      <c r="BE36" s="140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4"/>
      <c r="CQ36" s="52" t="str">
        <f t="shared" si="175"/>
        <v/>
      </c>
      <c r="CX36" s="15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5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53"/>
      <c r="FS36" s="140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4"/>
      <c r="IB36" s="13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53"/>
      <c r="I37" s="140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5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53"/>
      <c r="BE37" s="140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4"/>
      <c r="CQ37" s="52" t="str">
        <f t="shared" si="175"/>
        <v/>
      </c>
      <c r="CX37" s="15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36" t="s">
        <v>332</v>
      </c>
      <c r="EY37" s="136"/>
      <c r="FA37" s="15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53"/>
      <c r="FS37" s="140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4"/>
      <c r="IB37" s="13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53"/>
      <c r="I38" s="140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5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53"/>
      <c r="BE38" s="140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4"/>
      <c r="CQ38" s="52" t="str">
        <f t="shared" si="175"/>
        <v/>
      </c>
      <c r="CX38" s="15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92</v>
      </c>
      <c r="EY38" s="3"/>
      <c r="FA38" s="15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53"/>
      <c r="FS38" s="140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4"/>
      <c r="IB38" s="13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53"/>
      <c r="I39" s="140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5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53"/>
      <c r="BE39" s="140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4"/>
      <c r="CQ39" s="52" t="str">
        <f t="shared" si="175"/>
        <v/>
      </c>
      <c r="CX39" s="15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80</v>
      </c>
      <c r="EY39" s="3"/>
      <c r="FA39" s="15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53"/>
      <c r="FS39" s="140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4"/>
      <c r="IB39" s="13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53"/>
      <c r="I40" s="140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5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53"/>
      <c r="BE40" s="140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4"/>
      <c r="CQ40" s="52" t="str">
        <f t="shared" si="175"/>
        <v/>
      </c>
      <c r="CX40" s="15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5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53"/>
      <c r="FS40" s="140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4"/>
      <c r="IB40" s="13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53"/>
      <c r="I41" s="140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5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53"/>
      <c r="BE41" s="140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4"/>
      <c r="CQ41" s="52" t="str">
        <f t="shared" si="175"/>
        <v/>
      </c>
      <c r="CX41" s="15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36" t="s">
        <v>333</v>
      </c>
      <c r="EY41" s="136"/>
      <c r="FA41" s="15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53"/>
      <c r="FS41" s="140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4"/>
      <c r="IB41" s="13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53"/>
      <c r="I42" s="140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5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53"/>
      <c r="BE42" s="140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4"/>
      <c r="CQ42" s="52" t="str">
        <f t="shared" si="175"/>
        <v/>
      </c>
      <c r="CX42" s="15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92</v>
      </c>
      <c r="EY42" s="30"/>
      <c r="FA42" s="15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53"/>
      <c r="FS42" s="140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4"/>
      <c r="IB42" s="13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53"/>
      <c r="I43" s="140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5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53"/>
      <c r="BE43" s="140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4"/>
      <c r="CQ43" s="52" t="str">
        <f t="shared" si="175"/>
        <v/>
      </c>
      <c r="CX43" s="15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82</v>
      </c>
      <c r="EY43" s="31"/>
      <c r="FA43" s="15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53"/>
      <c r="FS43" s="140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4"/>
      <c r="IB43" s="13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53"/>
      <c r="I44" s="140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5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53"/>
      <c r="BE44" s="140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4"/>
      <c r="CQ44" s="52" t="str">
        <f t="shared" si="175"/>
        <v/>
      </c>
      <c r="CX44" s="15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334</v>
      </c>
      <c r="EY44" s="31"/>
      <c r="FA44" s="15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53"/>
      <c r="FS44" s="140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4"/>
      <c r="IB44" s="13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53"/>
      <c r="I45" s="140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5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53"/>
      <c r="BE45" s="140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4"/>
      <c r="CQ45" s="52" t="str">
        <f t="shared" si="175"/>
        <v/>
      </c>
      <c r="CX45" s="15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5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53"/>
      <c r="FS45" s="140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4"/>
      <c r="IB45" s="13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53"/>
      <c r="I46" s="140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5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53"/>
      <c r="BE46" s="140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4"/>
      <c r="CQ46" s="52" t="str">
        <f t="shared" si="175"/>
        <v/>
      </c>
      <c r="CX46" s="15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5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53"/>
      <c r="FS46" s="140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4"/>
      <c r="IB46" s="13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53"/>
      <c r="I47" s="140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5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53"/>
      <c r="BE47" s="140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4"/>
      <c r="CQ47" s="52" t="str">
        <f t="shared" si="175"/>
        <v/>
      </c>
      <c r="CX47" s="15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5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53"/>
      <c r="FS47" s="140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4"/>
      <c r="IB47" s="13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53"/>
      <c r="I48" s="140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5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53"/>
      <c r="BE48" s="140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4"/>
      <c r="CQ48" s="52" t="str">
        <f t="shared" si="175"/>
        <v/>
      </c>
      <c r="CX48" s="15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5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53"/>
      <c r="FS48" s="140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4"/>
      <c r="IB48" s="13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53"/>
      <c r="I49" s="140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5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53"/>
      <c r="BE49" s="140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4"/>
      <c r="CQ49" s="52" t="str">
        <f t="shared" si="175"/>
        <v/>
      </c>
      <c r="CX49" s="15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5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53"/>
      <c r="FS49" s="140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4"/>
      <c r="IB49" s="13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53"/>
      <c r="I50" s="140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5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53"/>
      <c r="BE50" s="140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4"/>
      <c r="CQ50" s="52" t="str">
        <f t="shared" si="175"/>
        <v/>
      </c>
      <c r="CX50" s="15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5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53"/>
      <c r="FS50" s="140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4"/>
      <c r="IB50" s="13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53"/>
      <c r="I51" s="140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5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53"/>
      <c r="BE51" s="140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4"/>
      <c r="CQ51" s="52" t="str">
        <f t="shared" si="175"/>
        <v/>
      </c>
      <c r="CX51" s="15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5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53"/>
      <c r="FS51" s="140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4"/>
      <c r="IB51" s="13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53"/>
      <c r="I52" s="140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5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53"/>
      <c r="BE52" s="140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4"/>
      <c r="CQ52" s="52" t="str">
        <f t="shared" si="175"/>
        <v/>
      </c>
      <c r="CX52" s="15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5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53"/>
      <c r="FS52" s="140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4"/>
      <c r="IB52" s="13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53"/>
      <c r="I53" s="140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5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53"/>
      <c r="BE53" s="140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4"/>
      <c r="CQ53" s="52" t="str">
        <f t="shared" si="175"/>
        <v/>
      </c>
      <c r="CX53" s="15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5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53"/>
      <c r="FS53" s="140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4"/>
      <c r="IB53" s="13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53"/>
      <c r="I54" s="140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5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53"/>
      <c r="BE54" s="140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4"/>
      <c r="CQ54" s="52" t="str">
        <f t="shared" si="175"/>
        <v/>
      </c>
      <c r="CX54" s="15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5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53"/>
      <c r="FS54" s="140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4"/>
      <c r="IB54" s="13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53"/>
      <c r="I55" s="140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5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53"/>
      <c r="BE55" s="140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4"/>
      <c r="CQ55" s="52" t="str">
        <f t="shared" si="175"/>
        <v/>
      </c>
      <c r="CX55" s="15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5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53"/>
      <c r="FS55" s="140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4"/>
      <c r="IB55" s="13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53"/>
      <c r="I56" s="140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5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53"/>
      <c r="BE56" s="140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4"/>
      <c r="CQ56" s="52" t="str">
        <f t="shared" si="175"/>
        <v/>
      </c>
      <c r="CX56" s="15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5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53"/>
      <c r="FS56" s="140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4"/>
      <c r="IB56" s="13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53"/>
      <c r="I57" s="140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5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53"/>
      <c r="BE57" s="140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4"/>
      <c r="CQ57" s="52" t="str">
        <f t="shared" si="175"/>
        <v/>
      </c>
      <c r="CX57" s="15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5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53"/>
      <c r="FS57" s="140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4"/>
      <c r="IB57" s="13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53"/>
      <c r="I58" s="140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5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53"/>
      <c r="BE58" s="140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4"/>
      <c r="CQ58" s="52" t="str">
        <f t="shared" si="175"/>
        <v/>
      </c>
      <c r="CX58" s="15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5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53"/>
      <c r="FS58" s="140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4"/>
      <c r="IB58" s="13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53"/>
      <c r="I59" s="140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5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53"/>
      <c r="BE59" s="140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4"/>
      <c r="CQ59" s="52" t="str">
        <f t="shared" si="175"/>
        <v/>
      </c>
      <c r="CX59" s="15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5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53"/>
      <c r="FS59" s="140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4"/>
      <c r="IB59" s="13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53"/>
      <c r="I60" s="140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5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53"/>
      <c r="BE60" s="140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4"/>
      <c r="CQ60" s="52" t="str">
        <f t="shared" si="175"/>
        <v/>
      </c>
      <c r="CX60" s="15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5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53"/>
      <c r="FS60" s="140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4"/>
      <c r="IB60" s="13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53"/>
      <c r="I61" s="140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5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53"/>
      <c r="BE61" s="140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4"/>
      <c r="CQ61" s="52" t="str">
        <f t="shared" si="175"/>
        <v/>
      </c>
      <c r="CX61" s="15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5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53"/>
      <c r="FS61" s="140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4"/>
      <c r="IB61" s="13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53"/>
      <c r="I62" s="140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5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53"/>
      <c r="BE62" s="140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4"/>
      <c r="CQ62" s="52" t="str">
        <f t="shared" si="175"/>
        <v/>
      </c>
      <c r="CX62" s="15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5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53"/>
      <c r="FS62" s="140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4"/>
      <c r="IB62" s="13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53"/>
      <c r="I63" s="140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5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53"/>
      <c r="BE63" s="140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4"/>
      <c r="CQ63" s="52" t="str">
        <f t="shared" si="175"/>
        <v/>
      </c>
      <c r="CX63" s="15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5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53"/>
      <c r="FS63" s="140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4"/>
      <c r="IB63" s="13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53"/>
      <c r="I64" s="140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5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53"/>
      <c r="BE64" s="140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4"/>
      <c r="CQ64" s="52" t="str">
        <f t="shared" si="175"/>
        <v/>
      </c>
      <c r="CX64" s="15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5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53"/>
      <c r="FS64" s="140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4"/>
      <c r="IB64" s="13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53"/>
      <c r="I65" s="140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5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53"/>
      <c r="BE65" s="140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4"/>
      <c r="CQ65" s="52" t="str">
        <f t="shared" si="175"/>
        <v/>
      </c>
      <c r="CX65" s="15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5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53"/>
      <c r="FS65" s="140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4"/>
      <c r="IB65" s="13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53"/>
      <c r="I66" s="140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5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53"/>
      <c r="BE66" s="140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4"/>
      <c r="CQ66" s="52" t="str">
        <f t="shared" si="175"/>
        <v/>
      </c>
      <c r="CX66" s="15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5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53"/>
      <c r="FS66" s="140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4"/>
      <c r="IB66" s="13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53"/>
      <c r="I67" s="140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5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53"/>
      <c r="BE67" s="140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4"/>
      <c r="CQ67" s="52" t="str">
        <f t="shared" si="175"/>
        <v/>
      </c>
      <c r="CX67" s="15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5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53"/>
      <c r="FS67" s="140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4"/>
      <c r="IB67" s="13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53"/>
      <c r="I68" s="140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5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53"/>
      <c r="BE68" s="140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4"/>
      <c r="CQ68" s="52" t="str">
        <f t="shared" si="175"/>
        <v/>
      </c>
      <c r="CX68" s="15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5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53"/>
      <c r="FS68" s="140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4"/>
      <c r="IB68" s="13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53"/>
      <c r="I69" s="140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5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53"/>
      <c r="BE69" s="140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4"/>
      <c r="CQ69" s="52" t="str">
        <f t="shared" si="175"/>
        <v/>
      </c>
      <c r="CX69" s="15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5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53"/>
      <c r="FS69" s="140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4"/>
      <c r="IB69" s="13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53"/>
      <c r="I70" s="140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5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53"/>
      <c r="BE70" s="140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4"/>
      <c r="CQ70" s="52" t="str">
        <f t="shared" si="175"/>
        <v/>
      </c>
      <c r="CX70" s="15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5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53"/>
      <c r="FS70" s="140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4"/>
      <c r="IB70" s="13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53"/>
      <c r="I71" s="140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5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53"/>
      <c r="BE71" s="140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4"/>
      <c r="CQ71" s="52" t="str">
        <f t="shared" si="175"/>
        <v/>
      </c>
      <c r="CX71" s="15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5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53"/>
      <c r="FS71" s="140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4"/>
      <c r="IB71" s="13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53"/>
      <c r="I72" s="140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5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53"/>
      <c r="BE72" s="140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4"/>
      <c r="CQ72" s="52" t="str">
        <f t="shared" si="175"/>
        <v/>
      </c>
      <c r="CX72" s="15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5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53"/>
      <c r="FS72" s="140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4"/>
      <c r="IB72" s="13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53"/>
      <c r="I73" s="140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5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53"/>
      <c r="BE73" s="140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4"/>
      <c r="CQ73" s="52" t="str">
        <f t="shared" si="175"/>
        <v/>
      </c>
      <c r="CX73" s="15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5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53"/>
      <c r="FS73" s="140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4"/>
      <c r="IB73" s="13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53"/>
      <c r="I74" s="140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5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53"/>
      <c r="BE74" s="140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4"/>
      <c r="CQ74" s="52" t="str">
        <f t="shared" si="175"/>
        <v/>
      </c>
      <c r="CX74" s="15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5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53"/>
      <c r="FS74" s="140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4"/>
      <c r="IB74" s="13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53"/>
      <c r="I75" s="140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5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53"/>
      <c r="BE75" s="140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4"/>
      <c r="CQ75" s="52" t="str">
        <f t="shared" si="175"/>
        <v/>
      </c>
      <c r="CX75" s="15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5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53"/>
      <c r="FS75" s="140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4"/>
      <c r="IB75" s="13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53"/>
      <c r="I76" s="140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5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53"/>
      <c r="BE76" s="140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4"/>
      <c r="CQ76" s="52" t="str">
        <f t="shared" si="175"/>
        <v/>
      </c>
      <c r="CX76" s="15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5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53"/>
      <c r="FS76" s="140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4"/>
      <c r="IB76" s="13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53"/>
      <c r="I77" s="140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5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53"/>
      <c r="BE77" s="140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4"/>
      <c r="CQ77" s="52" t="str">
        <f t="shared" si="175"/>
        <v/>
      </c>
      <c r="CX77" s="15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5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53"/>
      <c r="FS77" s="140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4"/>
      <c r="IB77" s="13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53"/>
      <c r="I78" s="140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5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53"/>
      <c r="BE78" s="140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4"/>
      <c r="CQ78" s="52" t="str">
        <f t="shared" si="175"/>
        <v/>
      </c>
      <c r="CX78" s="15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5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53"/>
      <c r="FS78" s="140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4"/>
      <c r="IB78" s="13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53"/>
      <c r="I79" s="140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5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53"/>
      <c r="BE79" s="140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4"/>
      <c r="CQ79" s="52" t="str">
        <f t="shared" si="175"/>
        <v/>
      </c>
      <c r="CX79" s="15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5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53"/>
      <c r="FS79" s="140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4"/>
      <c r="IB79" s="13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53"/>
      <c r="I80" s="140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5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53"/>
      <c r="BE80" s="140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4"/>
      <c r="CQ80" s="52" t="str">
        <f t="shared" si="175"/>
        <v/>
      </c>
      <c r="CX80" s="15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5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53"/>
      <c r="FS80" s="140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4"/>
      <c r="IB80" s="13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53"/>
      <c r="I81" s="140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5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53"/>
      <c r="BE81" s="140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4"/>
      <c r="CQ81" s="52" t="str">
        <f t="shared" si="175"/>
        <v/>
      </c>
      <c r="CX81" s="15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5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53"/>
      <c r="FS81" s="140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4"/>
      <c r="IB81" s="13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53"/>
      <c r="I82" s="140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5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53"/>
      <c r="BE82" s="140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4"/>
      <c r="CQ82" s="52" t="str">
        <f t="shared" si="175"/>
        <v/>
      </c>
      <c r="CX82" s="15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5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53"/>
      <c r="FS82" s="140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4"/>
      <c r="IB82" s="13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53"/>
      <c r="I83" s="140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5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53"/>
      <c r="BE83" s="140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4"/>
      <c r="CQ83" s="52" t="str">
        <f t="shared" si="175"/>
        <v/>
      </c>
      <c r="CX83" s="15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5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53"/>
      <c r="FS83" s="140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4"/>
      <c r="IB83" s="13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53"/>
      <c r="I84" s="140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5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53"/>
      <c r="BE84" s="140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4"/>
      <c r="CQ84" s="52" t="str">
        <f t="shared" si="175"/>
        <v/>
      </c>
      <c r="CX84" s="15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5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53"/>
      <c r="FS84" s="140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4"/>
      <c r="IB84" s="13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53"/>
      <c r="I85" s="140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5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53"/>
      <c r="BE85" s="140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4"/>
      <c r="CQ85" s="52" t="str">
        <f t="shared" si="175"/>
        <v/>
      </c>
      <c r="CX85" s="15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5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53"/>
      <c r="FS85" s="140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4"/>
      <c r="IB85" s="13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53"/>
      <c r="I86" s="140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5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53"/>
      <c r="BE86" s="140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4"/>
      <c r="CQ86" s="52" t="str">
        <f t="shared" si="175"/>
        <v/>
      </c>
      <c r="CX86" s="15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5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53"/>
      <c r="FS86" s="140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4"/>
      <c r="IB86" s="13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53"/>
      <c r="I87" s="140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5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53"/>
      <c r="BE87" s="140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4"/>
      <c r="CQ87" s="52" t="str">
        <f t="shared" si="175"/>
        <v/>
      </c>
      <c r="CX87" s="15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5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53"/>
      <c r="FS87" s="140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4"/>
      <c r="IB87" s="13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53"/>
      <c r="I88" s="140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5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53"/>
      <c r="BE88" s="140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4"/>
      <c r="CQ88" s="52" t="str">
        <f t="shared" si="175"/>
        <v/>
      </c>
      <c r="CX88" s="15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5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53"/>
      <c r="FS88" s="140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4"/>
      <c r="IB88" s="13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53"/>
      <c r="I89" s="140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5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53"/>
      <c r="BE89" s="140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4"/>
      <c r="CQ89" s="52" t="str">
        <f t="shared" si="175"/>
        <v/>
      </c>
      <c r="CX89" s="15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5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53"/>
      <c r="FS89" s="140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4"/>
      <c r="IB89" s="13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53"/>
      <c r="I90" s="140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5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53"/>
      <c r="BE90" s="140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4"/>
      <c r="CQ90" s="52" t="str">
        <f t="shared" si="175"/>
        <v/>
      </c>
      <c r="CX90" s="15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5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53"/>
      <c r="FS90" s="140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4"/>
      <c r="IB90" s="13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53"/>
      <c r="I91" s="140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5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53"/>
      <c r="BE91" s="140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4"/>
      <c r="CQ91" s="52" t="str">
        <f t="shared" si="175"/>
        <v/>
      </c>
      <c r="CX91" s="15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5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53"/>
      <c r="FS91" s="140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4"/>
      <c r="IB91" s="13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53"/>
      <c r="I92" s="140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5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53"/>
      <c r="BE92" s="140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4"/>
      <c r="CQ92" s="52" t="str">
        <f t="shared" si="175"/>
        <v/>
      </c>
      <c r="CX92" s="15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5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53"/>
      <c r="FS92" s="140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4"/>
      <c r="IB92" s="13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53"/>
      <c r="I93" s="140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5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53"/>
      <c r="BE93" s="140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4"/>
      <c r="CQ93" s="52" t="str">
        <f t="shared" si="175"/>
        <v/>
      </c>
      <c r="CX93" s="15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5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53"/>
      <c r="FS93" s="140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4"/>
      <c r="IB93" s="13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53"/>
      <c r="I94" s="140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5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53"/>
      <c r="BE94" s="140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4"/>
      <c r="CQ94" s="52" t="str">
        <f t="shared" si="175"/>
        <v/>
      </c>
      <c r="CX94" s="15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5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53"/>
      <c r="FS94" s="140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4"/>
      <c r="IB94" s="13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53"/>
      <c r="I95" s="140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5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53"/>
      <c r="BE95" s="140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4"/>
      <c r="CQ95" s="52" t="str">
        <f t="shared" si="175"/>
        <v/>
      </c>
      <c r="CX95" s="15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5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53"/>
      <c r="FS95" s="140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4"/>
      <c r="IB95" s="13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53"/>
      <c r="I96" s="140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5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53"/>
      <c r="BE96" s="140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4"/>
      <c r="CQ96" s="52" t="str">
        <f t="shared" si="175"/>
        <v/>
      </c>
      <c r="CX96" s="15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5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53"/>
      <c r="FS96" s="140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4"/>
      <c r="IB96" s="13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53"/>
      <c r="I97" s="140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5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53"/>
      <c r="BE97" s="140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4"/>
      <c r="CQ97" s="52" t="str">
        <f t="shared" si="175"/>
        <v/>
      </c>
      <c r="CX97" s="15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5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53"/>
      <c r="FS97" s="140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4"/>
      <c r="IB97" s="13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53"/>
      <c r="I98" s="140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5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53"/>
      <c r="BE98" s="140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4"/>
      <c r="CQ98" s="52" t="str">
        <f t="shared" ref="CQ98:CQ161" si="383">IF(AND(Sufficient_data="Yes",Include_study?="Yes"),c_/(c_+d_),"")</f>
        <v/>
      </c>
      <c r="CX98" s="15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5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53"/>
      <c r="FS98" s="140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4"/>
      <c r="IB98" s="13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53"/>
      <c r="I99" s="140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5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53"/>
      <c r="BE99" s="140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4"/>
      <c r="CQ99" s="52" t="str">
        <f t="shared" si="383"/>
        <v/>
      </c>
      <c r="CX99" s="15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5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53"/>
      <c r="FS99" s="140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4"/>
      <c r="IB99" s="13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53"/>
      <c r="I100" s="140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5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53"/>
      <c r="BE100" s="140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4"/>
      <c r="CQ100" s="52" t="str">
        <f t="shared" si="383"/>
        <v/>
      </c>
      <c r="CX100" s="15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5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53"/>
      <c r="FS100" s="140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4"/>
      <c r="IB100" s="13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53"/>
      <c r="I101" s="140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5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53"/>
      <c r="BE101" s="140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4"/>
      <c r="CQ101" s="52" t="str">
        <f t="shared" si="383"/>
        <v/>
      </c>
      <c r="CX101" s="15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5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53"/>
      <c r="FS101" s="140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4"/>
      <c r="IB101" s="13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53"/>
      <c r="I102" s="140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5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53"/>
      <c r="BE102" s="140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4"/>
      <c r="CQ102" s="52" t="str">
        <f t="shared" si="383"/>
        <v/>
      </c>
      <c r="CX102" s="15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5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53"/>
      <c r="FS102" s="140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4"/>
      <c r="IB102" s="13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53"/>
      <c r="I103" s="140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5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53"/>
      <c r="BE103" s="140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4"/>
      <c r="CQ103" s="52" t="str">
        <f t="shared" si="383"/>
        <v/>
      </c>
      <c r="CX103" s="15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5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53"/>
      <c r="FS103" s="140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4"/>
      <c r="IB103" s="13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53"/>
      <c r="I104" s="140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5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53"/>
      <c r="BE104" s="140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4"/>
      <c r="CQ104" s="52" t="str">
        <f t="shared" si="383"/>
        <v/>
      </c>
      <c r="CX104" s="15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5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53"/>
      <c r="FS104" s="140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4"/>
      <c r="IB104" s="13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53"/>
      <c r="I105" s="140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5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53"/>
      <c r="BE105" s="140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4"/>
      <c r="CQ105" s="52" t="str">
        <f t="shared" si="383"/>
        <v/>
      </c>
      <c r="CX105" s="15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5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53"/>
      <c r="FS105" s="140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4"/>
      <c r="IB105" s="13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53"/>
      <c r="I106" s="140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5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53"/>
      <c r="BE106" s="140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4"/>
      <c r="CQ106" s="52" t="str">
        <f t="shared" si="383"/>
        <v/>
      </c>
      <c r="CX106" s="15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5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53"/>
      <c r="FS106" s="140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4"/>
      <c r="IB106" s="13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53"/>
      <c r="I107" s="140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5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53"/>
      <c r="BE107" s="140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4"/>
      <c r="CQ107" s="52" t="str">
        <f t="shared" si="383"/>
        <v/>
      </c>
      <c r="CX107" s="15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5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53"/>
      <c r="FS107" s="140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4"/>
      <c r="IB107" s="13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53"/>
      <c r="I108" s="140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5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53"/>
      <c r="BE108" s="140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4"/>
      <c r="CQ108" s="52" t="str">
        <f t="shared" si="383"/>
        <v/>
      </c>
      <c r="CX108" s="15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5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53"/>
      <c r="FS108" s="140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4"/>
      <c r="IB108" s="13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53"/>
      <c r="I109" s="140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5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53"/>
      <c r="BE109" s="140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4"/>
      <c r="CQ109" s="52" t="str">
        <f t="shared" si="383"/>
        <v/>
      </c>
      <c r="CX109" s="15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5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53"/>
      <c r="FS109" s="140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4"/>
      <c r="IB109" s="13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53"/>
      <c r="I110" s="140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5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53"/>
      <c r="BE110" s="140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4"/>
      <c r="CQ110" s="52" t="str">
        <f t="shared" si="383"/>
        <v/>
      </c>
      <c r="CX110" s="15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5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53"/>
      <c r="FS110" s="140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4"/>
      <c r="IB110" s="13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53"/>
      <c r="I111" s="140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5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53"/>
      <c r="BE111" s="140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4"/>
      <c r="CQ111" s="52" t="str">
        <f t="shared" si="383"/>
        <v/>
      </c>
      <c r="CX111" s="15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5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53"/>
      <c r="FS111" s="140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4"/>
      <c r="IB111" s="13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53"/>
      <c r="I112" s="140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5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53"/>
      <c r="BE112" s="140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4"/>
      <c r="CQ112" s="52" t="str">
        <f t="shared" si="383"/>
        <v/>
      </c>
      <c r="CX112" s="15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5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53"/>
      <c r="FS112" s="140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4"/>
      <c r="IB112" s="13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53"/>
      <c r="I113" s="140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5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53"/>
      <c r="BE113" s="140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4"/>
      <c r="CQ113" s="52" t="str">
        <f t="shared" si="383"/>
        <v/>
      </c>
      <c r="CX113" s="15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5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53"/>
      <c r="FS113" s="140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4"/>
      <c r="IB113" s="13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53"/>
      <c r="I114" s="140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5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53"/>
      <c r="BE114" s="140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4"/>
      <c r="CQ114" s="52" t="str">
        <f t="shared" si="383"/>
        <v/>
      </c>
      <c r="CX114" s="15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5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53"/>
      <c r="FS114" s="140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4"/>
      <c r="IB114" s="13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53"/>
      <c r="I115" s="140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5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53"/>
      <c r="BE115" s="140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4"/>
      <c r="CQ115" s="52" t="str">
        <f t="shared" si="383"/>
        <v/>
      </c>
      <c r="CX115" s="15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5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53"/>
      <c r="FS115" s="140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4"/>
      <c r="IB115" s="13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53"/>
      <c r="I116" s="140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5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53"/>
      <c r="BE116" s="140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4"/>
      <c r="CQ116" s="52" t="str">
        <f t="shared" si="383"/>
        <v/>
      </c>
      <c r="CX116" s="15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5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53"/>
      <c r="FS116" s="140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4"/>
      <c r="IB116" s="13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53"/>
      <c r="I117" s="140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5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53"/>
      <c r="BE117" s="140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4"/>
      <c r="CQ117" s="52" t="str">
        <f t="shared" si="383"/>
        <v/>
      </c>
      <c r="CX117" s="15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5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53"/>
      <c r="FS117" s="140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4"/>
      <c r="IB117" s="13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53"/>
      <c r="I118" s="140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5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53"/>
      <c r="BE118" s="140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4"/>
      <c r="CQ118" s="52" t="str">
        <f t="shared" si="383"/>
        <v/>
      </c>
      <c r="CX118" s="15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5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53"/>
      <c r="FS118" s="140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4"/>
      <c r="IB118" s="13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53"/>
      <c r="I119" s="140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5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53"/>
      <c r="BE119" s="140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4"/>
      <c r="CQ119" s="52" t="str">
        <f t="shared" si="383"/>
        <v/>
      </c>
      <c r="CX119" s="15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5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53"/>
      <c r="FS119" s="140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4"/>
      <c r="IB119" s="13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53"/>
      <c r="I120" s="140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5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53"/>
      <c r="BE120" s="140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4"/>
      <c r="CQ120" s="52" t="str">
        <f t="shared" si="383"/>
        <v/>
      </c>
      <c r="CX120" s="15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5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53"/>
      <c r="FS120" s="140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4"/>
      <c r="IB120" s="13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53"/>
      <c r="I121" s="140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5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53"/>
      <c r="BE121" s="140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4"/>
      <c r="CQ121" s="52" t="str">
        <f t="shared" si="383"/>
        <v/>
      </c>
      <c r="CX121" s="15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5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53"/>
      <c r="FS121" s="140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4"/>
      <c r="IB121" s="13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53"/>
      <c r="I122" s="140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5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53"/>
      <c r="BE122" s="140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4"/>
      <c r="CQ122" s="52" t="str">
        <f t="shared" si="383"/>
        <v/>
      </c>
      <c r="CX122" s="15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5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53"/>
      <c r="FS122" s="140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4"/>
      <c r="IB122" s="13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53"/>
      <c r="I123" s="140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5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53"/>
      <c r="BE123" s="140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4"/>
      <c r="CQ123" s="52" t="str">
        <f t="shared" si="383"/>
        <v/>
      </c>
      <c r="CX123" s="15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5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53"/>
      <c r="FS123" s="140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4"/>
      <c r="IB123" s="13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53"/>
      <c r="I124" s="140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5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53"/>
      <c r="BE124" s="140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4"/>
      <c r="CQ124" s="52" t="str">
        <f t="shared" si="383"/>
        <v/>
      </c>
      <c r="CX124" s="15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5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53"/>
      <c r="FS124" s="140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4"/>
      <c r="IB124" s="13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53"/>
      <c r="I125" s="140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5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53"/>
      <c r="BE125" s="140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4"/>
      <c r="CQ125" s="52" t="str">
        <f t="shared" si="383"/>
        <v/>
      </c>
      <c r="CX125" s="15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5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53"/>
      <c r="FS125" s="140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4"/>
      <c r="IB125" s="13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53"/>
      <c r="I126" s="140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5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53"/>
      <c r="BE126" s="140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4"/>
      <c r="CQ126" s="52" t="str">
        <f t="shared" si="383"/>
        <v/>
      </c>
      <c r="CX126" s="15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5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53"/>
      <c r="FS126" s="140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4"/>
      <c r="IB126" s="13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53"/>
      <c r="I127" s="140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5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53"/>
      <c r="BE127" s="140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4"/>
      <c r="CQ127" s="52" t="str">
        <f t="shared" si="383"/>
        <v/>
      </c>
      <c r="CX127" s="15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5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53"/>
      <c r="FS127" s="140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4"/>
      <c r="IB127" s="13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53"/>
      <c r="I128" s="140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5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53"/>
      <c r="BE128" s="140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4"/>
      <c r="CQ128" s="52" t="str">
        <f t="shared" si="383"/>
        <v/>
      </c>
      <c r="CX128" s="15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5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53"/>
      <c r="FS128" s="140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4"/>
      <c r="IB128" s="13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53"/>
      <c r="I129" s="140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5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53"/>
      <c r="BE129" s="140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4"/>
      <c r="CQ129" s="52" t="str">
        <f t="shared" si="383"/>
        <v/>
      </c>
      <c r="CX129" s="15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5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53"/>
      <c r="FS129" s="140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4"/>
      <c r="IB129" s="13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53"/>
      <c r="I130" s="140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5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53"/>
      <c r="BE130" s="140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4"/>
      <c r="CQ130" s="52" t="str">
        <f t="shared" si="383"/>
        <v/>
      </c>
      <c r="CX130" s="15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5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53"/>
      <c r="FS130" s="140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4"/>
      <c r="IB130" s="13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53"/>
      <c r="I131" s="140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5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53"/>
      <c r="BE131" s="140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4"/>
      <c r="CQ131" s="52" t="str">
        <f t="shared" si="383"/>
        <v/>
      </c>
      <c r="CX131" s="15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5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53"/>
      <c r="FS131" s="140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4"/>
      <c r="IB131" s="13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53"/>
      <c r="I132" s="140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5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53"/>
      <c r="BE132" s="140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4"/>
      <c r="CQ132" s="52" t="str">
        <f t="shared" si="383"/>
        <v/>
      </c>
      <c r="CX132" s="15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5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53"/>
      <c r="FS132" s="140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4"/>
      <c r="IB132" s="13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53"/>
      <c r="I133" s="140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5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53"/>
      <c r="BE133" s="140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4"/>
      <c r="CQ133" s="52" t="str">
        <f t="shared" si="383"/>
        <v/>
      </c>
      <c r="CX133" s="15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5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53"/>
      <c r="FS133" s="140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4"/>
      <c r="IB133" s="13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53"/>
      <c r="I134" s="140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5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53"/>
      <c r="BE134" s="140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4"/>
      <c r="CQ134" s="52" t="str">
        <f t="shared" si="383"/>
        <v/>
      </c>
      <c r="CX134" s="15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5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53"/>
      <c r="FS134" s="140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4"/>
      <c r="IB134" s="13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53"/>
      <c r="I135" s="140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5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53"/>
      <c r="BE135" s="140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4"/>
      <c r="CQ135" s="52" t="str">
        <f t="shared" si="383"/>
        <v/>
      </c>
      <c r="CX135" s="15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5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53"/>
      <c r="FS135" s="140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4"/>
      <c r="IB135" s="13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53"/>
      <c r="I136" s="140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5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53"/>
      <c r="BE136" s="140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4"/>
      <c r="CQ136" s="52" t="str">
        <f t="shared" si="383"/>
        <v/>
      </c>
      <c r="CX136" s="15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5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53"/>
      <c r="FS136" s="140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4"/>
      <c r="IB136" s="13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53"/>
      <c r="I137" s="140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5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53"/>
      <c r="BE137" s="140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4"/>
      <c r="CQ137" s="52" t="str">
        <f t="shared" si="383"/>
        <v/>
      </c>
      <c r="CX137" s="15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5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53"/>
      <c r="FS137" s="140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4"/>
      <c r="IB137" s="13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53"/>
      <c r="I138" s="140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5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53"/>
      <c r="BE138" s="140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4"/>
      <c r="CQ138" s="52" t="str">
        <f t="shared" si="383"/>
        <v/>
      </c>
      <c r="CX138" s="15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5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53"/>
      <c r="FS138" s="140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4"/>
      <c r="IB138" s="13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53"/>
      <c r="I139" s="140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5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53"/>
      <c r="BE139" s="140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4"/>
      <c r="CQ139" s="52" t="str">
        <f t="shared" si="383"/>
        <v/>
      </c>
      <c r="CX139" s="15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5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53"/>
      <c r="FS139" s="140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4"/>
      <c r="IB139" s="13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53"/>
      <c r="I140" s="140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5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53"/>
      <c r="BE140" s="140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4"/>
      <c r="CQ140" s="52" t="str">
        <f t="shared" si="383"/>
        <v/>
      </c>
      <c r="CX140" s="15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5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53"/>
      <c r="FS140" s="140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4"/>
      <c r="IB140" s="13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53"/>
      <c r="I141" s="140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5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53"/>
      <c r="BE141" s="140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4"/>
      <c r="CQ141" s="52" t="str">
        <f t="shared" si="383"/>
        <v/>
      </c>
      <c r="CX141" s="15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5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53"/>
      <c r="FS141" s="140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4"/>
      <c r="IB141" s="13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53"/>
      <c r="I142" s="140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5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53"/>
      <c r="BE142" s="140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4"/>
      <c r="CQ142" s="52" t="str">
        <f t="shared" si="383"/>
        <v/>
      </c>
      <c r="CX142" s="15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5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53"/>
      <c r="FS142" s="140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4"/>
      <c r="IB142" s="13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53"/>
      <c r="I143" s="140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5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53"/>
      <c r="BE143" s="140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4"/>
      <c r="CQ143" s="52" t="str">
        <f t="shared" si="383"/>
        <v/>
      </c>
      <c r="CX143" s="15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5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53"/>
      <c r="FS143" s="140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4"/>
      <c r="IB143" s="13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53"/>
      <c r="I144" s="140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5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53"/>
      <c r="BE144" s="140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4"/>
      <c r="CQ144" s="52" t="str">
        <f t="shared" si="383"/>
        <v/>
      </c>
      <c r="CX144" s="15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5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53"/>
      <c r="FS144" s="140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4"/>
      <c r="IB144" s="13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53"/>
      <c r="I145" s="140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5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53"/>
      <c r="BE145" s="140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4"/>
      <c r="CQ145" s="52" t="str">
        <f t="shared" si="383"/>
        <v/>
      </c>
      <c r="CX145" s="15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5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53"/>
      <c r="FS145" s="140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4"/>
      <c r="IB145" s="13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53"/>
      <c r="I146" s="140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5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53"/>
      <c r="BE146" s="140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4"/>
      <c r="CQ146" s="52" t="str">
        <f t="shared" si="383"/>
        <v/>
      </c>
      <c r="CX146" s="15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5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53"/>
      <c r="FS146" s="140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4"/>
      <c r="IB146" s="13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53"/>
      <c r="I147" s="140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5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53"/>
      <c r="BE147" s="140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4"/>
      <c r="CQ147" s="52" t="str">
        <f t="shared" si="383"/>
        <v/>
      </c>
      <c r="CX147" s="15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5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53"/>
      <c r="FS147" s="140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4"/>
      <c r="IB147" s="13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53"/>
      <c r="I148" s="140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5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53"/>
      <c r="BE148" s="140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4"/>
      <c r="CQ148" s="52" t="str">
        <f t="shared" si="383"/>
        <v/>
      </c>
      <c r="CX148" s="15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5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53"/>
      <c r="FS148" s="140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4"/>
      <c r="IB148" s="13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53"/>
      <c r="I149" s="140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5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53"/>
      <c r="BE149" s="140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4"/>
      <c r="CQ149" s="52" t="str">
        <f t="shared" si="383"/>
        <v/>
      </c>
      <c r="CX149" s="15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5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53"/>
      <c r="FS149" s="140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4"/>
      <c r="IB149" s="13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53"/>
      <c r="I150" s="140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5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53"/>
      <c r="BE150" s="140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4"/>
      <c r="CQ150" s="52" t="str">
        <f t="shared" si="383"/>
        <v/>
      </c>
      <c r="CX150" s="15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5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53"/>
      <c r="FS150" s="140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4"/>
      <c r="IB150" s="13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53"/>
      <c r="I151" s="140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5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53"/>
      <c r="BE151" s="140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4"/>
      <c r="CQ151" s="52" t="str">
        <f t="shared" si="383"/>
        <v/>
      </c>
      <c r="CX151" s="15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5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53"/>
      <c r="FS151" s="140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4"/>
      <c r="IB151" s="13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53"/>
      <c r="I152" s="140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5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53"/>
      <c r="BE152" s="140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4"/>
      <c r="CQ152" s="52" t="str">
        <f t="shared" si="383"/>
        <v/>
      </c>
      <c r="CX152" s="15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5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53"/>
      <c r="FS152" s="140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4"/>
      <c r="IB152" s="13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53"/>
      <c r="I153" s="140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5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53"/>
      <c r="BE153" s="140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4"/>
      <c r="CQ153" s="52" t="str">
        <f t="shared" si="383"/>
        <v/>
      </c>
      <c r="CX153" s="15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5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53"/>
      <c r="FS153" s="140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4"/>
      <c r="IB153" s="13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53"/>
      <c r="I154" s="140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5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53"/>
      <c r="BE154" s="140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4"/>
      <c r="CQ154" s="52" t="str">
        <f t="shared" si="383"/>
        <v/>
      </c>
      <c r="CX154" s="15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5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53"/>
      <c r="FS154" s="140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4"/>
      <c r="IB154" s="13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53"/>
      <c r="I155" s="140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5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53"/>
      <c r="BE155" s="140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4"/>
      <c r="CQ155" s="52" t="str">
        <f t="shared" si="383"/>
        <v/>
      </c>
      <c r="CX155" s="15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5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53"/>
      <c r="FS155" s="140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4"/>
      <c r="IB155" s="13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53"/>
      <c r="I156" s="140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5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53"/>
      <c r="BE156" s="140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4"/>
      <c r="CQ156" s="52" t="str">
        <f t="shared" si="383"/>
        <v/>
      </c>
      <c r="CX156" s="15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5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53"/>
      <c r="FS156" s="140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4"/>
      <c r="IB156" s="13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53"/>
      <c r="I157" s="140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5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53"/>
      <c r="BE157" s="140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4"/>
      <c r="CQ157" s="52" t="str">
        <f t="shared" si="383"/>
        <v/>
      </c>
      <c r="CX157" s="15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5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53"/>
      <c r="FS157" s="140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4"/>
      <c r="IB157" s="13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53"/>
      <c r="I158" s="140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5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53"/>
      <c r="BE158" s="140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4"/>
      <c r="CQ158" s="52" t="str">
        <f t="shared" si="383"/>
        <v/>
      </c>
      <c r="CX158" s="15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5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53"/>
      <c r="FS158" s="140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4"/>
      <c r="IB158" s="13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53"/>
      <c r="I159" s="140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5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53"/>
      <c r="BE159" s="140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4"/>
      <c r="CQ159" s="52" t="str">
        <f t="shared" si="383"/>
        <v/>
      </c>
      <c r="CX159" s="15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5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53"/>
      <c r="FS159" s="140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4"/>
      <c r="IB159" s="13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53"/>
      <c r="I160" s="140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5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53"/>
      <c r="BE160" s="140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4"/>
      <c r="CQ160" s="52" t="str">
        <f t="shared" si="383"/>
        <v/>
      </c>
      <c r="CX160" s="15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5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53"/>
      <c r="FS160" s="140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4"/>
      <c r="IB160" s="13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53"/>
      <c r="I161" s="140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5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53"/>
      <c r="BE161" s="140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4"/>
      <c r="CQ161" s="52" t="str">
        <f t="shared" si="383"/>
        <v/>
      </c>
      <c r="CX161" s="15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5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53"/>
      <c r="FS161" s="140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4"/>
      <c r="IB161" s="13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53"/>
      <c r="I162" s="140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5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53"/>
      <c r="BE162" s="140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4"/>
      <c r="CQ162" s="52" t="str">
        <f t="shared" ref="CQ162:CQ201" si="582">IF(AND(Sufficient_data="Yes",Include_study?="Yes"),c_/(c_+d_),"")</f>
        <v/>
      </c>
      <c r="CX162" s="15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5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53"/>
      <c r="FS162" s="140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4"/>
      <c r="IB162" s="13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53"/>
      <c r="I163" s="140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5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53"/>
      <c r="BE163" s="140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4"/>
      <c r="CQ163" s="52" t="str">
        <f t="shared" si="582"/>
        <v/>
      </c>
      <c r="CX163" s="15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5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53"/>
      <c r="FS163" s="140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4"/>
      <c r="IB163" s="13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53"/>
      <c r="I164" s="140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5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53"/>
      <c r="BE164" s="140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4"/>
      <c r="CQ164" s="52" t="str">
        <f t="shared" si="582"/>
        <v/>
      </c>
      <c r="CX164" s="15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5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53"/>
      <c r="FS164" s="140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4"/>
      <c r="IB164" s="13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53"/>
      <c r="I165" s="140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5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53"/>
      <c r="BE165" s="140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4"/>
      <c r="CQ165" s="52" t="str">
        <f t="shared" si="582"/>
        <v/>
      </c>
      <c r="CX165" s="15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5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53"/>
      <c r="FS165" s="140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4"/>
      <c r="IB165" s="13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53"/>
      <c r="I166" s="140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5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53"/>
      <c r="BE166" s="140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4"/>
      <c r="CQ166" s="52" t="str">
        <f t="shared" si="582"/>
        <v/>
      </c>
      <c r="CX166" s="15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5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53"/>
      <c r="FS166" s="140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4"/>
      <c r="IB166" s="13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53"/>
      <c r="I167" s="140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5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53"/>
      <c r="BE167" s="140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4"/>
      <c r="CQ167" s="52" t="str">
        <f t="shared" si="582"/>
        <v/>
      </c>
      <c r="CX167" s="15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5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53"/>
      <c r="FS167" s="140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4"/>
      <c r="IB167" s="13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53"/>
      <c r="I168" s="140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5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53"/>
      <c r="BE168" s="140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4"/>
      <c r="CQ168" s="52" t="str">
        <f t="shared" si="582"/>
        <v/>
      </c>
      <c r="CX168" s="15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5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53"/>
      <c r="FS168" s="140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4"/>
      <c r="IB168" s="13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53"/>
      <c r="I169" s="140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5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53"/>
      <c r="BE169" s="140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4"/>
      <c r="CQ169" s="52" t="str">
        <f t="shared" si="582"/>
        <v/>
      </c>
      <c r="CX169" s="15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5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53"/>
      <c r="FS169" s="140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4"/>
      <c r="IB169" s="13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53"/>
      <c r="I170" s="140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5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53"/>
      <c r="BE170" s="140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4"/>
      <c r="CQ170" s="52" t="str">
        <f t="shared" si="582"/>
        <v/>
      </c>
      <c r="CX170" s="15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5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53"/>
      <c r="FS170" s="140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4"/>
      <c r="IB170" s="13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53"/>
      <c r="I171" s="140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5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53"/>
      <c r="BE171" s="140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4"/>
      <c r="CQ171" s="52" t="str">
        <f t="shared" si="582"/>
        <v/>
      </c>
      <c r="CX171" s="15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5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53"/>
      <c r="FS171" s="140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4"/>
      <c r="IB171" s="13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53"/>
      <c r="I172" s="140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5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53"/>
      <c r="BE172" s="140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4"/>
      <c r="CQ172" s="52" t="str">
        <f t="shared" si="582"/>
        <v/>
      </c>
      <c r="CX172" s="15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5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53"/>
      <c r="FS172" s="140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4"/>
      <c r="IB172" s="13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53"/>
      <c r="I173" s="140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5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53"/>
      <c r="BE173" s="140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4"/>
      <c r="CQ173" s="52" t="str">
        <f t="shared" si="582"/>
        <v/>
      </c>
      <c r="CX173" s="15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5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53"/>
      <c r="FS173" s="140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4"/>
      <c r="IB173" s="13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53"/>
      <c r="I174" s="140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5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53"/>
      <c r="BE174" s="140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4"/>
      <c r="CQ174" s="52" t="str">
        <f t="shared" si="582"/>
        <v/>
      </c>
      <c r="CX174" s="15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5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53"/>
      <c r="FS174" s="140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4"/>
      <c r="IB174" s="13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53"/>
      <c r="I175" s="140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5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53"/>
      <c r="BE175" s="140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4"/>
      <c r="CQ175" s="52" t="str">
        <f t="shared" si="582"/>
        <v/>
      </c>
      <c r="CX175" s="15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5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53"/>
      <c r="FS175" s="140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4"/>
      <c r="IB175" s="13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53"/>
      <c r="I176" s="140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5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53"/>
      <c r="BE176" s="140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4"/>
      <c r="CQ176" s="52" t="str">
        <f t="shared" si="582"/>
        <v/>
      </c>
      <c r="CX176" s="15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5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53"/>
      <c r="FS176" s="140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4"/>
      <c r="IB176" s="13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53"/>
      <c r="I177" s="140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5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53"/>
      <c r="BE177" s="140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4"/>
      <c r="CQ177" s="52" t="str">
        <f t="shared" si="582"/>
        <v/>
      </c>
      <c r="CX177" s="15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5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53"/>
      <c r="FS177" s="140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4"/>
      <c r="IB177" s="13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53"/>
      <c r="I178" s="140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5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53"/>
      <c r="BE178" s="140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4"/>
      <c r="CQ178" s="52" t="str">
        <f t="shared" si="582"/>
        <v/>
      </c>
      <c r="CX178" s="15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5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53"/>
      <c r="FS178" s="140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4"/>
      <c r="IB178" s="13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53"/>
      <c r="I179" s="140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5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53"/>
      <c r="BE179" s="140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4"/>
      <c r="CQ179" s="52" t="str">
        <f t="shared" si="582"/>
        <v/>
      </c>
      <c r="CX179" s="15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5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53"/>
      <c r="FS179" s="140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4"/>
      <c r="IB179" s="13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53"/>
      <c r="I180" s="140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5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53"/>
      <c r="BE180" s="140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4"/>
      <c r="CQ180" s="52" t="str">
        <f t="shared" si="582"/>
        <v/>
      </c>
      <c r="CX180" s="15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5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53"/>
      <c r="FS180" s="140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4"/>
      <c r="IB180" s="13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53"/>
      <c r="I181" s="140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5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53"/>
      <c r="BE181" s="140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4"/>
      <c r="CQ181" s="52" t="str">
        <f t="shared" si="582"/>
        <v/>
      </c>
      <c r="CX181" s="15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5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53"/>
      <c r="FS181" s="140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4"/>
      <c r="IB181" s="13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53"/>
      <c r="I182" s="140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5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53"/>
      <c r="BE182" s="140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4"/>
      <c r="CQ182" s="52" t="str">
        <f t="shared" si="582"/>
        <v/>
      </c>
      <c r="CX182" s="15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5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53"/>
      <c r="FS182" s="140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4"/>
      <c r="IB182" s="13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53"/>
      <c r="I183" s="140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5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53"/>
      <c r="BE183" s="140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4"/>
      <c r="CQ183" s="52" t="str">
        <f t="shared" si="582"/>
        <v/>
      </c>
      <c r="CX183" s="15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5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53"/>
      <c r="FS183" s="140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4"/>
      <c r="IB183" s="13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53"/>
      <c r="I184" s="140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5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53"/>
      <c r="BE184" s="140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4"/>
      <c r="CQ184" s="52" t="str">
        <f t="shared" si="582"/>
        <v/>
      </c>
      <c r="CX184" s="15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5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53"/>
      <c r="FS184" s="140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4"/>
      <c r="IB184" s="13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53"/>
      <c r="I185" s="140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5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53"/>
      <c r="BE185" s="140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4"/>
      <c r="CQ185" s="52" t="str">
        <f t="shared" si="582"/>
        <v/>
      </c>
      <c r="CX185" s="15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5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53"/>
      <c r="FS185" s="140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4"/>
      <c r="IB185" s="13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53"/>
      <c r="I186" s="140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5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53"/>
      <c r="BE186" s="140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4"/>
      <c r="CQ186" s="52" t="str">
        <f t="shared" si="582"/>
        <v/>
      </c>
      <c r="CX186" s="15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5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53"/>
      <c r="FS186" s="140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4"/>
      <c r="IB186" s="13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53"/>
      <c r="I187" s="140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5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53"/>
      <c r="BE187" s="140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4"/>
      <c r="CQ187" s="52" t="str">
        <f t="shared" si="582"/>
        <v/>
      </c>
      <c r="CX187" s="15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5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53"/>
      <c r="FS187" s="140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4"/>
      <c r="IB187" s="13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53"/>
      <c r="I188" s="140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5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53"/>
      <c r="BE188" s="140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4"/>
      <c r="CQ188" s="52" t="str">
        <f t="shared" si="582"/>
        <v/>
      </c>
      <c r="CX188" s="15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5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53"/>
      <c r="FS188" s="140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4"/>
      <c r="IB188" s="13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53"/>
      <c r="I189" s="140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5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53"/>
      <c r="BE189" s="140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4"/>
      <c r="CQ189" s="52" t="str">
        <f t="shared" si="582"/>
        <v/>
      </c>
      <c r="CX189" s="15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5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53"/>
      <c r="FS189" s="140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4"/>
      <c r="IB189" s="13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53"/>
      <c r="I190" s="140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5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53"/>
      <c r="BE190" s="140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4"/>
      <c r="CQ190" s="52" t="str">
        <f t="shared" si="582"/>
        <v/>
      </c>
      <c r="CX190" s="15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5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53"/>
      <c r="FS190" s="140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4"/>
      <c r="IB190" s="13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53"/>
      <c r="I191" s="140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5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53"/>
      <c r="BE191" s="140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4"/>
      <c r="CQ191" s="52" t="str">
        <f t="shared" si="582"/>
        <v/>
      </c>
      <c r="CX191" s="15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5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53"/>
      <c r="FS191" s="140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4"/>
      <c r="IB191" s="13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53"/>
      <c r="I192" s="140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5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53"/>
      <c r="BE192" s="140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4"/>
      <c r="CQ192" s="52" t="str">
        <f t="shared" si="582"/>
        <v/>
      </c>
      <c r="CX192" s="15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5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53"/>
      <c r="FS192" s="140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4"/>
      <c r="IB192" s="13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53"/>
      <c r="I193" s="140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5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53"/>
      <c r="BE193" s="140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4"/>
      <c r="CQ193" s="52" t="str">
        <f t="shared" si="582"/>
        <v/>
      </c>
      <c r="CX193" s="15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5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53"/>
      <c r="FS193" s="140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4"/>
      <c r="IB193" s="13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53"/>
      <c r="I194" s="140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5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53"/>
      <c r="BE194" s="140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4"/>
      <c r="CQ194" s="52" t="str">
        <f t="shared" si="582"/>
        <v/>
      </c>
      <c r="CX194" s="15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5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53"/>
      <c r="FS194" s="140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4"/>
      <c r="IB194" s="13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53"/>
      <c r="I195" s="140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5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53"/>
      <c r="BE195" s="140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4"/>
      <c r="CQ195" s="52" t="str">
        <f t="shared" si="582"/>
        <v/>
      </c>
      <c r="CX195" s="15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5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53"/>
      <c r="FS195" s="140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4"/>
      <c r="IB195" s="13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53"/>
      <c r="I196" s="140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5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53"/>
      <c r="BE196" s="140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4"/>
      <c r="CQ196" s="52" t="str">
        <f t="shared" si="582"/>
        <v/>
      </c>
      <c r="CX196" s="15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5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53"/>
      <c r="FS196" s="140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4"/>
      <c r="IB196" s="13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53"/>
      <c r="I197" s="140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5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53"/>
      <c r="BE197" s="140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4"/>
      <c r="CQ197" s="52" t="str">
        <f t="shared" si="582"/>
        <v/>
      </c>
      <c r="CX197" s="15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5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53"/>
      <c r="FS197" s="140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4"/>
      <c r="IB197" s="13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53"/>
      <c r="I198" s="140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5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53"/>
      <c r="BE198" s="140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4"/>
      <c r="CQ198" s="52" t="str">
        <f t="shared" si="582"/>
        <v/>
      </c>
      <c r="CX198" s="15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5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53"/>
      <c r="FS198" s="140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4"/>
      <c r="IB198" s="13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53"/>
      <c r="I199" s="140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5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53"/>
      <c r="BE199" s="140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4"/>
      <c r="CQ199" s="52" t="str">
        <f t="shared" si="582"/>
        <v/>
      </c>
      <c r="CX199" s="15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5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53"/>
      <c r="FS199" s="140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4"/>
      <c r="IB199" s="13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53"/>
      <c r="I200" s="140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5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53"/>
      <c r="BE200" s="140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4"/>
      <c r="CQ200" s="52" t="str">
        <f t="shared" si="582"/>
        <v/>
      </c>
      <c r="CX200" s="15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5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53"/>
      <c r="FS200" s="140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4"/>
      <c r="IB200" s="13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4"/>
      <c r="I201" s="141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4"/>
      <c r="BE201" s="141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5"/>
      <c r="CQ201" s="53" t="str">
        <f t="shared" si="582"/>
        <v/>
      </c>
      <c r="CX201" s="15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4"/>
      <c r="FS201" s="141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5"/>
      <c r="IB201" s="13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Sheet1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2023-08-30T06:40:49Z</dcterms:modified>
  <cp:category/>
  <cp:contentStatus/>
</cp:coreProperties>
</file>