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500773\OneDrive - ku.ac.ae\Documents\RA_2023\Leontios\meta-analysis\Meta_essential\Emotional model metaanalysis\Modality\"/>
    </mc:Choice>
  </mc:AlternateContent>
  <xr:revisionPtr revIDLastSave="16" documentId="11_3941113910D89F07FAFEECD31A950AD6C6A89D07" xr6:coauthVersionLast="47" xr6:coauthVersionMax="47" xr10:uidLastSave="{69B90BFD-79E4-4349-96BB-7EDE254EF6CB}"/>
  <bookViews>
    <workbookView xWindow="-110" yWindow="-110" windowWidth="19420" windowHeight="10300" tabRatio="805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Final Image" sheetId="11" r:id="rId6"/>
    <sheet name="Calculations" sheetId="2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" i="1" l="1"/>
  <c r="J20" i="1"/>
  <c r="J19" i="1"/>
  <c r="J14" i="1"/>
  <c r="J15" i="1"/>
  <c r="J16" i="1"/>
  <c r="J12" i="1"/>
  <c r="B4" i="8"/>
  <c r="B3" i="2"/>
  <c r="B4" i="2"/>
  <c r="B5" i="2"/>
  <c r="AM9" i="2"/>
  <c r="CZ9" i="2" s="1"/>
  <c r="B10" i="2"/>
  <c r="J11" i="1"/>
  <c r="C11" i="2" s="1"/>
  <c r="J13" i="1"/>
  <c r="J17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E1" i="8"/>
  <c r="E77" i="8"/>
  <c r="GM45" i="2"/>
  <c r="GM85" i="2"/>
  <c r="GM109" i="2"/>
  <c r="GA45" i="2"/>
  <c r="GA85" i="2"/>
  <c r="GN45" i="2"/>
  <c r="GN53" i="2"/>
  <c r="GN109" i="2"/>
  <c r="GO53" i="2"/>
  <c r="GP53" i="2" s="1"/>
  <c r="GB69" i="2"/>
  <c r="GB109" i="2"/>
  <c r="GQ61" i="2"/>
  <c r="GC69" i="2"/>
  <c r="GC77" i="2"/>
  <c r="GC125" i="2"/>
  <c r="GC189" i="2"/>
  <c r="GV3" i="2"/>
  <c r="HA1" i="2"/>
  <c r="BH77" i="2"/>
  <c r="BI77" i="2" s="1"/>
  <c r="BH85" i="2"/>
  <c r="BI85" i="2" s="1"/>
  <c r="FT45" i="2"/>
  <c r="FT155" i="2"/>
  <c r="W53" i="8"/>
  <c r="W61" i="8"/>
  <c r="W163" i="8"/>
  <c r="EP1" i="2"/>
  <c r="GL77" i="2"/>
  <c r="GT53" i="2"/>
  <c r="GT69" i="2"/>
  <c r="GT93" i="2"/>
  <c r="B4" i="9"/>
  <c r="DD37" i="2"/>
  <c r="DD109" i="2"/>
  <c r="DD165" i="2"/>
  <c r="DB1" i="2"/>
  <c r="DB53" i="2"/>
  <c r="DL53" i="2" s="1"/>
  <c r="DB101" i="2"/>
  <c r="DL101" i="2" s="1"/>
  <c r="DE45" i="2"/>
  <c r="DE77" i="2"/>
  <c r="B21" i="9"/>
  <c r="J32" i="10"/>
  <c r="DQ53" i="2"/>
  <c r="DS53" i="2" s="1"/>
  <c r="DQ77" i="2"/>
  <c r="DS77" i="2" s="1"/>
  <c r="DQ85" i="2"/>
  <c r="DS85" i="2" s="1"/>
  <c r="DQ93" i="2"/>
  <c r="DS93" i="2" s="1"/>
  <c r="DA10" i="2"/>
  <c r="DA13" i="2"/>
  <c r="DJ93" i="2"/>
  <c r="DJ109" i="2"/>
  <c r="EG1" i="2"/>
  <c r="EE1" i="2"/>
  <c r="EF1" i="2"/>
  <c r="DG1" i="2"/>
  <c r="DI53" i="2"/>
  <c r="DI69" i="2"/>
  <c r="DI93" i="2"/>
  <c r="DI109" i="2"/>
  <c r="DH37" i="2"/>
  <c r="DH45" i="2"/>
  <c r="DH77" i="2"/>
  <c r="DH85" i="2"/>
  <c r="DH93" i="2"/>
  <c r="DH125" i="2"/>
  <c r="DZ1" i="2"/>
  <c r="B9" i="5"/>
  <c r="AU179" i="2"/>
  <c r="FX151" i="2"/>
  <c r="FY109" i="2"/>
  <c r="FX109" i="2"/>
  <c r="FX101" i="2"/>
  <c r="IF93" i="2"/>
  <c r="IF85" i="2"/>
  <c r="FX85" i="2"/>
  <c r="AU85" i="2"/>
  <c r="FY83" i="2"/>
  <c r="FY77" i="2"/>
  <c r="FX77" i="2"/>
  <c r="FX69" i="2"/>
  <c r="FY67" i="2"/>
  <c r="FY51" i="2"/>
  <c r="AU45" i="2"/>
  <c r="BF53" i="2"/>
  <c r="BF77" i="2"/>
  <c r="BF85" i="2"/>
  <c r="BF91" i="2"/>
  <c r="BF109" i="2"/>
  <c r="BF181" i="2"/>
  <c r="BF195" i="2"/>
  <c r="BF1" i="2"/>
  <c r="AQ45" i="2"/>
  <c r="AQ69" i="2"/>
  <c r="AQ85" i="2"/>
  <c r="AQ147" i="2"/>
  <c r="BV83" i="2"/>
  <c r="BV85" i="2"/>
  <c r="BX85" i="2" s="1"/>
  <c r="BV99" i="2"/>
  <c r="BV101" i="2"/>
  <c r="BY101" i="2" s="1"/>
  <c r="BV131" i="2"/>
  <c r="BV147" i="2"/>
  <c r="J51" i="2"/>
  <c r="J85" i="2"/>
  <c r="J101" i="2"/>
  <c r="J125" i="2"/>
  <c r="J133" i="2"/>
  <c r="J165" i="2"/>
  <c r="J197" i="2"/>
  <c r="BW43" i="2"/>
  <c r="BW45" i="2"/>
  <c r="BW53" i="2"/>
  <c r="BW75" i="2"/>
  <c r="BW77" i="2"/>
  <c r="BW115" i="2"/>
  <c r="BW117" i="2"/>
  <c r="BW131" i="2"/>
  <c r="BW147" i="2"/>
  <c r="BW163" i="2"/>
  <c r="BW173" i="2"/>
  <c r="BW179" i="2"/>
  <c r="BW189" i="2"/>
  <c r="BW195" i="2"/>
  <c r="BW197" i="2"/>
  <c r="K76" i="2"/>
  <c r="K85" i="2"/>
  <c r="K101" i="2"/>
  <c r="K109" i="2"/>
  <c r="K139" i="2"/>
  <c r="K155" i="2"/>
  <c r="K165" i="2"/>
  <c r="K171" i="2"/>
  <c r="K181" i="2"/>
  <c r="K187" i="2"/>
  <c r="K189" i="2"/>
  <c r="BM10" i="2"/>
  <c r="CI45" i="2"/>
  <c r="CJ45" i="2" s="1"/>
  <c r="CI51" i="2"/>
  <c r="CJ51" i="2" s="1"/>
  <c r="CI61" i="2"/>
  <c r="CJ61" i="2" s="1"/>
  <c r="CI69" i="2"/>
  <c r="CK69" i="2" s="1"/>
  <c r="CI77" i="2"/>
  <c r="CK77" i="2" s="1"/>
  <c r="CI83" i="2"/>
  <c r="CI93" i="2"/>
  <c r="CJ93" i="2" s="1"/>
  <c r="CI101" i="2"/>
  <c r="CK101" i="2" s="1"/>
  <c r="CI107" i="2"/>
  <c r="CI123" i="2"/>
  <c r="CI133" i="2"/>
  <c r="CK133" i="2" s="1"/>
  <c r="CI165" i="2"/>
  <c r="CK165" i="2" s="1"/>
  <c r="CI197" i="2"/>
  <c r="CK197" i="2" s="1"/>
  <c r="CG52" i="2"/>
  <c r="CG53" i="2"/>
  <c r="CG83" i="2"/>
  <c r="CG85" i="2"/>
  <c r="CG93" i="2"/>
  <c r="CG99" i="2"/>
  <c r="CG117" i="2"/>
  <c r="CG123" i="2"/>
  <c r="CG125" i="2"/>
  <c r="CG157" i="2"/>
  <c r="CG179" i="2"/>
  <c r="CG181" i="2"/>
  <c r="CG195" i="2"/>
  <c r="B4" i="10"/>
  <c r="G195" i="10"/>
  <c r="G179" i="10"/>
  <c r="G165" i="10"/>
  <c r="G163" i="10"/>
  <c r="G149" i="10"/>
  <c r="G147" i="10"/>
  <c r="G141" i="10"/>
  <c r="G131" i="10"/>
  <c r="G125" i="10"/>
  <c r="G117" i="10"/>
  <c r="G116" i="10"/>
  <c r="G107" i="10"/>
  <c r="G93" i="10"/>
  <c r="G91" i="10"/>
  <c r="G85" i="10"/>
  <c r="G51" i="10"/>
  <c r="FE18" i="2"/>
  <c r="FE19" i="2"/>
  <c r="FE37" i="2"/>
  <c r="FE77" i="2"/>
  <c r="FE83" i="2"/>
  <c r="FE99" i="2"/>
  <c r="FE109" i="2"/>
  <c r="FE133" i="2"/>
  <c r="FE141" i="2"/>
  <c r="FE165" i="2"/>
  <c r="FE173" i="2"/>
  <c r="FE187" i="2"/>
  <c r="F18" i="10"/>
  <c r="F19" i="10"/>
  <c r="F35" i="10"/>
  <c r="F45" i="10"/>
  <c r="F51" i="10"/>
  <c r="F53" i="10"/>
  <c r="F69" i="10"/>
  <c r="F76" i="10"/>
  <c r="F77" i="10"/>
  <c r="F91" i="10"/>
  <c r="F109" i="10"/>
  <c r="F115" i="10"/>
  <c r="F131" i="10"/>
  <c r="F133" i="10"/>
  <c r="F147" i="10"/>
  <c r="F163" i="10"/>
  <c r="F179" i="10"/>
  <c r="F189" i="10"/>
  <c r="F1" i="10"/>
  <c r="FF18" i="2"/>
  <c r="FF19" i="2"/>
  <c r="FF35" i="2"/>
  <c r="FF37" i="2"/>
  <c r="FF51" i="2"/>
  <c r="FF53" i="2"/>
  <c r="FF61" i="2"/>
  <c r="FF75" i="2"/>
  <c r="FF77" i="2"/>
  <c r="FF85" i="2"/>
  <c r="FF91" i="2"/>
  <c r="FF109" i="2"/>
  <c r="FF115" i="2"/>
  <c r="FF117" i="2"/>
  <c r="FF131" i="2"/>
  <c r="FF133" i="2"/>
  <c r="FF141" i="2"/>
  <c r="FF147" i="2"/>
  <c r="FF163" i="2"/>
  <c r="FF165" i="2"/>
  <c r="FF179" i="2"/>
  <c r="FF197" i="2"/>
  <c r="E10" i="10"/>
  <c r="FB10" i="2" s="1"/>
  <c r="E11" i="10"/>
  <c r="FB11" i="2" s="1"/>
  <c r="FG18" i="2"/>
  <c r="FG45" i="2"/>
  <c r="FG60" i="2"/>
  <c r="FG61" i="2"/>
  <c r="FG69" i="2"/>
  <c r="FG77" i="2"/>
  <c r="FG83" i="2"/>
  <c r="FG93" i="2"/>
  <c r="FG101" i="2"/>
  <c r="FG103" i="2"/>
  <c r="FG107" i="2"/>
  <c r="FG123" i="2"/>
  <c r="FG125" i="2"/>
  <c r="FG149" i="2"/>
  <c r="FG157" i="2"/>
  <c r="FG181" i="2"/>
  <c r="FG189" i="2"/>
  <c r="FG195" i="2"/>
  <c r="FH18" i="2"/>
  <c r="FH43" i="2"/>
  <c r="FH52" i="2"/>
  <c r="FH69" i="2"/>
  <c r="FH83" i="2"/>
  <c r="FH85" i="2"/>
  <c r="FH93" i="2"/>
  <c r="FH107" i="2"/>
  <c r="FH108" i="2"/>
  <c r="FH109" i="2"/>
  <c r="FH117" i="2"/>
  <c r="FH131" i="2"/>
  <c r="FH147" i="2"/>
  <c r="FH163" i="2"/>
  <c r="FH173" i="2"/>
  <c r="FH179" i="2"/>
  <c r="FH180" i="2"/>
  <c r="FH197" i="2"/>
  <c r="FJ18" i="2"/>
  <c r="FJ19" i="2"/>
  <c r="FJ51" i="2"/>
  <c r="FJ69" i="2"/>
  <c r="FJ85" i="2"/>
  <c r="FJ91" i="2"/>
  <c r="FJ101" i="2"/>
  <c r="FJ107" i="2"/>
  <c r="FJ109" i="2"/>
  <c r="FJ131" i="2"/>
  <c r="FJ132" i="2"/>
  <c r="FJ133" i="2"/>
  <c r="FJ147" i="2"/>
  <c r="FJ149" i="2"/>
  <c r="FJ157" i="2"/>
  <c r="FJ163" i="2"/>
  <c r="FJ179" i="2"/>
  <c r="FJ181" i="2"/>
  <c r="E18" i="10"/>
  <c r="E19" i="10"/>
  <c r="E35" i="10"/>
  <c r="E53" i="10"/>
  <c r="E59" i="10"/>
  <c r="E61" i="10"/>
  <c r="E75" i="10"/>
  <c r="E91" i="10"/>
  <c r="E109" i="10"/>
  <c r="E115" i="10"/>
  <c r="E117" i="10"/>
  <c r="E131" i="10"/>
  <c r="E133" i="10"/>
  <c r="E141" i="10"/>
  <c r="E147" i="10"/>
  <c r="E156" i="10"/>
  <c r="E165" i="10"/>
  <c r="E171" i="10"/>
  <c r="E181" i="10"/>
  <c r="E189" i="10"/>
  <c r="E195" i="10"/>
  <c r="FK18" i="2"/>
  <c r="FK19" i="2"/>
  <c r="FK37" i="2"/>
  <c r="FK51" i="2"/>
  <c r="FK67" i="2"/>
  <c r="FK91" i="2"/>
  <c r="FK93" i="2"/>
  <c r="FK107" i="2"/>
  <c r="FK117" i="2"/>
  <c r="FK125" i="2"/>
  <c r="FK131" i="2"/>
  <c r="FK147" i="2"/>
  <c r="FK149" i="2"/>
  <c r="FK163" i="2"/>
  <c r="FK171" i="2"/>
  <c r="FK173" i="2"/>
  <c r="FK179" i="2"/>
  <c r="FK195" i="2"/>
  <c r="FK197" i="2"/>
  <c r="FK199" i="2"/>
  <c r="FM18" i="2"/>
  <c r="FM19" i="2"/>
  <c r="FM43" i="2"/>
  <c r="FM45" i="2"/>
  <c r="FM51" i="2"/>
  <c r="FM53" i="2"/>
  <c r="FM61" i="2"/>
  <c r="FM69" i="2"/>
  <c r="FM77" i="2"/>
  <c r="FM85" i="2"/>
  <c r="FM91" i="2"/>
  <c r="FM93" i="2"/>
  <c r="FM101" i="2"/>
  <c r="FM107" i="2"/>
  <c r="FM109" i="2"/>
  <c r="FM117" i="2"/>
  <c r="FM125" i="2"/>
  <c r="FM131" i="2"/>
  <c r="FM133" i="2"/>
  <c r="FM139" i="2"/>
  <c r="FM141" i="2"/>
  <c r="FM147" i="2"/>
  <c r="FM149" i="2"/>
  <c r="FM155" i="2"/>
  <c r="FM157" i="2"/>
  <c r="FM163" i="2"/>
  <c r="FM165" i="2"/>
  <c r="FM171" i="2"/>
  <c r="FM173" i="2"/>
  <c r="FM179" i="2"/>
  <c r="FM181" i="2"/>
  <c r="FM189" i="2"/>
  <c r="FM195" i="2"/>
  <c r="FM197" i="2"/>
  <c r="FL18" i="2"/>
  <c r="FL19" i="2"/>
  <c r="FL35" i="2"/>
  <c r="FL37" i="2"/>
  <c r="FL45" i="2"/>
  <c r="FL51" i="2"/>
  <c r="FL53" i="2"/>
  <c r="FL61" i="2"/>
  <c r="FL63" i="2"/>
  <c r="FL67" i="2"/>
  <c r="FL69" i="2"/>
  <c r="FL75" i="2"/>
  <c r="FL77" i="2"/>
  <c r="FL85" i="2"/>
  <c r="FL91" i="2"/>
  <c r="FL92" i="2"/>
  <c r="FL93" i="2"/>
  <c r="FL99" i="2"/>
  <c r="FL101" i="2"/>
  <c r="FL107" i="2"/>
  <c r="FL109" i="2"/>
  <c r="FL115" i="2"/>
  <c r="FL117" i="2"/>
  <c r="FL125" i="2"/>
  <c r="FL133" i="2"/>
  <c r="FL141" i="2"/>
  <c r="FL149" i="2"/>
  <c r="FL157" i="2"/>
  <c r="FL165" i="2"/>
  <c r="FL173" i="2"/>
  <c r="FL181" i="2"/>
  <c r="FL187" i="2"/>
  <c r="FL189" i="2"/>
  <c r="FL197" i="2"/>
  <c r="G18" i="10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187" i="2"/>
  <c r="Z187" i="2"/>
  <c r="T187" i="2"/>
  <c r="N187" i="2"/>
  <c r="Y187" i="2"/>
  <c r="AG107" i="2"/>
  <c r="AF107" i="2"/>
  <c r="N107" i="2"/>
  <c r="Y107" i="2"/>
  <c r="FW99" i="2"/>
  <c r="M99" i="2"/>
  <c r="Y99" i="2"/>
  <c r="N99" i="2"/>
  <c r="S99" i="2"/>
  <c r="T91" i="2"/>
  <c r="M91" i="2"/>
  <c r="AF91" i="2"/>
  <c r="N91" i="2"/>
  <c r="Z83" i="2"/>
  <c r="T83" i="2"/>
  <c r="M83" i="2"/>
  <c r="N83" i="2"/>
  <c r="AG75" i="2"/>
  <c r="Z75" i="2"/>
  <c r="T75" i="2"/>
  <c r="AF75" i="2"/>
  <c r="AG67" i="2"/>
  <c r="T67" i="2"/>
  <c r="M67" i="2"/>
  <c r="S67" i="2"/>
  <c r="Z59" i="2"/>
  <c r="T59" i="2"/>
  <c r="M59" i="2"/>
  <c r="N59" i="2"/>
  <c r="AG51" i="2"/>
  <c r="Z51" i="2"/>
  <c r="T51" i="2"/>
  <c r="Y51" i="2"/>
  <c r="AF43" i="2"/>
  <c r="AG43" i="2"/>
  <c r="Z43" i="2"/>
  <c r="M43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195" i="2"/>
  <c r="AG195" i="2"/>
  <c r="Z195" i="2"/>
  <c r="M195" i="2"/>
  <c r="S195" i="2"/>
  <c r="Y195" i="2"/>
  <c r="T195" i="2"/>
  <c r="AF195" i="2"/>
  <c r="FW191" i="2"/>
  <c r="T183" i="2"/>
  <c r="FW179" i="2"/>
  <c r="AG179" i="2"/>
  <c r="Z179" i="2"/>
  <c r="M179" i="2"/>
  <c r="Y179" i="2"/>
  <c r="T179" i="2"/>
  <c r="N179" i="2"/>
  <c r="AF179" i="2"/>
  <c r="N175" i="2"/>
  <c r="FW171" i="2"/>
  <c r="AG171" i="2"/>
  <c r="T171" i="2"/>
  <c r="M171" i="2"/>
  <c r="AF171" i="2"/>
  <c r="N171" i="2"/>
  <c r="Y171" i="2"/>
  <c r="S171" i="2"/>
  <c r="AG163" i="2"/>
  <c r="Z163" i="2"/>
  <c r="T163" i="2"/>
  <c r="M163" i="2"/>
  <c r="Y163" i="2"/>
  <c r="N163" i="2"/>
  <c r="AF163" i="2"/>
  <c r="S163" i="2"/>
  <c r="T159" i="2"/>
  <c r="M159" i="2"/>
  <c r="S159" i="2"/>
  <c r="N159" i="2"/>
  <c r="FW155" i="2"/>
  <c r="AG155" i="2"/>
  <c r="Z155" i="2"/>
  <c r="T155" i="2"/>
  <c r="M155" i="2"/>
  <c r="AF155" i="2"/>
  <c r="N155" i="2"/>
  <c r="Y155" i="2"/>
  <c r="S155" i="2"/>
  <c r="FW151" i="2"/>
  <c r="AG151" i="2"/>
  <c r="Z151" i="2"/>
  <c r="T151" i="2"/>
  <c r="M151" i="2"/>
  <c r="AF151" i="2"/>
  <c r="S151" i="2"/>
  <c r="Y151" i="2"/>
  <c r="N151" i="2"/>
  <c r="FW147" i="2"/>
  <c r="AG147" i="2"/>
  <c r="Z147" i="2"/>
  <c r="T147" i="2"/>
  <c r="M147" i="2"/>
  <c r="Y147" i="2"/>
  <c r="N147" i="2"/>
  <c r="AF147" i="2"/>
  <c r="S147" i="2"/>
  <c r="FW143" i="2"/>
  <c r="AG143" i="2"/>
  <c r="Z143" i="2"/>
  <c r="T143" i="2"/>
  <c r="M143" i="2"/>
  <c r="Y143" i="2"/>
  <c r="S143" i="2"/>
  <c r="AF143" i="2"/>
  <c r="N143" i="2"/>
  <c r="FW139" i="2"/>
  <c r="AG139" i="2"/>
  <c r="Z139" i="2"/>
  <c r="T139" i="2"/>
  <c r="M139" i="2"/>
  <c r="AF139" i="2"/>
  <c r="N139" i="2"/>
  <c r="Y139" i="2"/>
  <c r="S139" i="2"/>
  <c r="FW135" i="2"/>
  <c r="AG135" i="2"/>
  <c r="Z135" i="2"/>
  <c r="T135" i="2"/>
  <c r="M135" i="2"/>
  <c r="AF135" i="2"/>
  <c r="S135" i="2"/>
  <c r="Y135" i="2"/>
  <c r="N135" i="2"/>
  <c r="FW131" i="2"/>
  <c r="AG131" i="2"/>
  <c r="Z131" i="2"/>
  <c r="T131" i="2"/>
  <c r="M131" i="2"/>
  <c r="Y131" i="2"/>
  <c r="N131" i="2"/>
  <c r="AF131" i="2"/>
  <c r="S131" i="2"/>
  <c r="FW127" i="2"/>
  <c r="AG127" i="2"/>
  <c r="Z127" i="2"/>
  <c r="T127" i="2"/>
  <c r="M127" i="2"/>
  <c r="Y127" i="2"/>
  <c r="S127" i="2"/>
  <c r="AF127" i="2"/>
  <c r="N127" i="2"/>
  <c r="FW123" i="2"/>
  <c r="AG123" i="2"/>
  <c r="Z123" i="2"/>
  <c r="T123" i="2"/>
  <c r="M123" i="2"/>
  <c r="AF123" i="2"/>
  <c r="N123" i="2"/>
  <c r="Y123" i="2"/>
  <c r="S123" i="2"/>
  <c r="FW119" i="2"/>
  <c r="AG119" i="2"/>
  <c r="Z119" i="2"/>
  <c r="T119" i="2"/>
  <c r="M119" i="2"/>
  <c r="AF119" i="2"/>
  <c r="S119" i="2"/>
  <c r="Y119" i="2"/>
  <c r="N119" i="2"/>
  <c r="FW115" i="2"/>
  <c r="AG115" i="2"/>
  <c r="Z115" i="2"/>
  <c r="T115" i="2"/>
  <c r="M115" i="2"/>
  <c r="Y115" i="2"/>
  <c r="N115" i="2"/>
  <c r="AF115" i="2"/>
  <c r="S115" i="2"/>
  <c r="FW111" i="2"/>
  <c r="AG111" i="2"/>
  <c r="Z111" i="2"/>
  <c r="T111" i="2"/>
  <c r="M111" i="2"/>
  <c r="Y111" i="2"/>
  <c r="S111" i="2"/>
  <c r="AF111" i="2"/>
  <c r="N111" i="2"/>
  <c r="FW103" i="2"/>
  <c r="AG103" i="2"/>
  <c r="Z103" i="2"/>
  <c r="T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IL196" i="2"/>
  <c r="F196" i="8"/>
  <c r="DC196" i="2"/>
  <c r="B192" i="2"/>
  <c r="E188" i="2"/>
  <c r="F188" i="2"/>
  <c r="AR188" i="2"/>
  <c r="B180" i="2"/>
  <c r="C180" i="2"/>
  <c r="A162" i="1"/>
  <c r="F180" i="2"/>
  <c r="IM180" i="2"/>
  <c r="AV180" i="8"/>
  <c r="AU180" i="8"/>
  <c r="F180" i="8"/>
  <c r="AO180" i="2"/>
  <c r="AY180" i="2" s="1"/>
  <c r="AR180" i="2"/>
  <c r="C172" i="2"/>
  <c r="D172" i="2"/>
  <c r="A154" i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46" i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38" i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30" i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22" i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14" i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06" i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98" i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90" i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82" i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74" i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66" i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58" i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50" i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42" i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34" i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26" i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IC36" i="2" s="1"/>
  <c r="C36" i="2"/>
  <c r="D36" i="2"/>
  <c r="E28" i="2"/>
  <c r="B28" i="2"/>
  <c r="C28" i="2"/>
  <c r="D28" i="2"/>
  <c r="ID28" i="2" s="1"/>
  <c r="E20" i="2"/>
  <c r="B20" i="2"/>
  <c r="C20" i="2"/>
  <c r="D20" i="2"/>
  <c r="D199" i="2"/>
  <c r="E199" i="2"/>
  <c r="C199" i="2"/>
  <c r="B199" i="2"/>
  <c r="A181" i="1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A173" i="1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C187" i="2"/>
  <c r="D187" i="2"/>
  <c r="E187" i="2"/>
  <c r="B187" i="2"/>
  <c r="A169" i="1"/>
  <c r="F187" i="2"/>
  <c r="JH187" i="2"/>
  <c r="JI187" i="2" s="1"/>
  <c r="JJ187" i="2" s="1"/>
  <c r="BG187" i="8"/>
  <c r="IV187" i="2" s="1"/>
  <c r="IW187" i="2" s="1"/>
  <c r="IM187" i="2"/>
  <c r="IL187" i="2"/>
  <c r="CY187" i="2"/>
  <c r="AV187" i="8"/>
  <c r="AU187" i="8"/>
  <c r="F187" i="8"/>
  <c r="FD187" i="2"/>
  <c r="DF187" i="2"/>
  <c r="DC187" i="2"/>
  <c r="AR187" i="2"/>
  <c r="AO187" i="2"/>
  <c r="AW187" i="2" s="1"/>
  <c r="DG187" i="2"/>
  <c r="C183" i="2"/>
  <c r="D183" i="2"/>
  <c r="E183" i="2"/>
  <c r="B183" i="2"/>
  <c r="A165" i="1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E179" i="2"/>
  <c r="B179" i="2"/>
  <c r="C179" i="2"/>
  <c r="D179" i="2"/>
  <c r="A161" i="1"/>
  <c r="F179" i="2"/>
  <c r="JH179" i="2"/>
  <c r="JI179" i="2" s="1"/>
  <c r="JJ179" i="2" s="1"/>
  <c r="BG179" i="8"/>
  <c r="IY179" i="2" s="1"/>
  <c r="IL179" i="2"/>
  <c r="AV179" i="8"/>
  <c r="IM179" i="2"/>
  <c r="CY179" i="2"/>
  <c r="AU179" i="8"/>
  <c r="F179" i="8"/>
  <c r="FD179" i="2"/>
  <c r="DF179" i="2"/>
  <c r="DC179" i="2"/>
  <c r="AR179" i="2"/>
  <c r="AO179" i="2"/>
  <c r="AW179" i="2" s="1"/>
  <c r="DG179" i="2"/>
  <c r="E175" i="2"/>
  <c r="B175" i="2"/>
  <c r="C175" i="2"/>
  <c r="D175" i="2"/>
  <c r="A157" i="1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E171" i="2"/>
  <c r="B171" i="2"/>
  <c r="C171" i="2"/>
  <c r="D171" i="2"/>
  <c r="A153" i="1"/>
  <c r="F171" i="2"/>
  <c r="JH171" i="2"/>
  <c r="JI171" i="2" s="1"/>
  <c r="JJ171" i="2" s="1"/>
  <c r="BG171" i="8"/>
  <c r="IY171" i="2" s="1"/>
  <c r="IM171" i="2"/>
  <c r="AV171" i="8"/>
  <c r="IL171" i="2"/>
  <c r="CY171" i="2"/>
  <c r="AU171" i="8"/>
  <c r="F171" i="8"/>
  <c r="FD171" i="2"/>
  <c r="DF171" i="2"/>
  <c r="DC171" i="2"/>
  <c r="AR171" i="2"/>
  <c r="AO171" i="2"/>
  <c r="AW171" i="2" s="1"/>
  <c r="DG171" i="2"/>
  <c r="E167" i="2"/>
  <c r="B167" i="2"/>
  <c r="C167" i="2"/>
  <c r="D167" i="2"/>
  <c r="A149" i="1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E163" i="2"/>
  <c r="C163" i="2"/>
  <c r="D163" i="2"/>
  <c r="B163" i="2"/>
  <c r="A145" i="1"/>
  <c r="F163" i="2"/>
  <c r="JH163" i="2"/>
  <c r="JI163" i="2" s="1"/>
  <c r="JJ163" i="2" s="1"/>
  <c r="BG163" i="8"/>
  <c r="IV163" i="2" s="1"/>
  <c r="IW163" i="2" s="1"/>
  <c r="IL163" i="2"/>
  <c r="AV163" i="8"/>
  <c r="IM163" i="2"/>
  <c r="CY163" i="2"/>
  <c r="AU163" i="8"/>
  <c r="F163" i="8"/>
  <c r="FD163" i="2"/>
  <c r="DF163" i="2"/>
  <c r="DC163" i="2"/>
  <c r="AR163" i="2"/>
  <c r="AO163" i="2"/>
  <c r="AY163" i="2" s="1"/>
  <c r="DG163" i="2"/>
  <c r="E159" i="2"/>
  <c r="C159" i="2"/>
  <c r="D159" i="2"/>
  <c r="B159" i="2"/>
  <c r="A141" i="1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E155" i="2"/>
  <c r="C155" i="2"/>
  <c r="D155" i="2"/>
  <c r="B155" i="2"/>
  <c r="A137" i="1"/>
  <c r="F155" i="2"/>
  <c r="JH155" i="2"/>
  <c r="JI155" i="2" s="1"/>
  <c r="JJ155" i="2" s="1"/>
  <c r="BG155" i="8"/>
  <c r="IV155" i="2" s="1"/>
  <c r="IW155" i="2" s="1"/>
  <c r="IM155" i="2"/>
  <c r="AV155" i="8"/>
  <c r="IL155" i="2"/>
  <c r="CY155" i="2"/>
  <c r="AU155" i="8"/>
  <c r="F155" i="8"/>
  <c r="FD155" i="2"/>
  <c r="DF155" i="2"/>
  <c r="DC155" i="2"/>
  <c r="AR155" i="2"/>
  <c r="AO155" i="2"/>
  <c r="AW155" i="2" s="1"/>
  <c r="DG155" i="2"/>
  <c r="E151" i="2"/>
  <c r="C151" i="2"/>
  <c r="D151" i="2"/>
  <c r="B151" i="2"/>
  <c r="A133" i="1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E147" i="2"/>
  <c r="C147" i="2"/>
  <c r="D147" i="2"/>
  <c r="B147" i="2"/>
  <c r="A129" i="1"/>
  <c r="F147" i="2"/>
  <c r="JH147" i="2"/>
  <c r="JI147" i="2" s="1"/>
  <c r="JJ147" i="2" s="1"/>
  <c r="BG147" i="8"/>
  <c r="IY147" i="2" s="1"/>
  <c r="IL147" i="2"/>
  <c r="AV147" i="8"/>
  <c r="IM147" i="2"/>
  <c r="CY147" i="2"/>
  <c r="AU147" i="8"/>
  <c r="F147" i="8"/>
  <c r="FD147" i="2"/>
  <c r="DF147" i="2"/>
  <c r="DC147" i="2"/>
  <c r="AR147" i="2"/>
  <c r="AO147" i="2"/>
  <c r="AY147" i="2" s="1"/>
  <c r="DG147" i="2"/>
  <c r="E143" i="2"/>
  <c r="C143" i="2"/>
  <c r="D143" i="2"/>
  <c r="B143" i="2"/>
  <c r="A125" i="1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E139" i="2"/>
  <c r="C139" i="2"/>
  <c r="D139" i="2"/>
  <c r="B139" i="2"/>
  <c r="A121" i="1"/>
  <c r="F139" i="2"/>
  <c r="JH139" i="2"/>
  <c r="JI139" i="2" s="1"/>
  <c r="JJ139" i="2" s="1"/>
  <c r="BG139" i="8"/>
  <c r="IY139" i="2" s="1"/>
  <c r="AV139" i="8"/>
  <c r="IM139" i="2"/>
  <c r="IL139" i="2"/>
  <c r="CY139" i="2"/>
  <c r="AU139" i="8"/>
  <c r="F139" i="8"/>
  <c r="FD139" i="2"/>
  <c r="DF139" i="2"/>
  <c r="DC139" i="2"/>
  <c r="AR139" i="2"/>
  <c r="AO139" i="2"/>
  <c r="AY139" i="2" s="1"/>
  <c r="DG139" i="2"/>
  <c r="E135" i="2"/>
  <c r="C135" i="2"/>
  <c r="D135" i="2"/>
  <c r="B135" i="2"/>
  <c r="A117" i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E131" i="2"/>
  <c r="C131" i="2"/>
  <c r="D131" i="2"/>
  <c r="B131" i="2"/>
  <c r="A113" i="1"/>
  <c r="F131" i="2"/>
  <c r="JH131" i="2"/>
  <c r="JI131" i="2" s="1"/>
  <c r="JJ131" i="2" s="1"/>
  <c r="BG131" i="8"/>
  <c r="IV131" i="2" s="1"/>
  <c r="IW131" i="2" s="1"/>
  <c r="IL131" i="2"/>
  <c r="AV131" i="8"/>
  <c r="IM131" i="2"/>
  <c r="CY131" i="2"/>
  <c r="AU131" i="8"/>
  <c r="F131" i="8"/>
  <c r="FD131" i="2"/>
  <c r="DF131" i="2"/>
  <c r="DC131" i="2"/>
  <c r="AO131" i="2"/>
  <c r="AW131" i="2" s="1"/>
  <c r="AR131" i="2"/>
  <c r="DG131" i="2"/>
  <c r="E127" i="2"/>
  <c r="C127" i="2"/>
  <c r="D127" i="2"/>
  <c r="B127" i="2"/>
  <c r="A109" i="1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E123" i="2"/>
  <c r="C123" i="2"/>
  <c r="D123" i="2"/>
  <c r="B123" i="2"/>
  <c r="A105" i="1"/>
  <c r="F123" i="2"/>
  <c r="JH123" i="2"/>
  <c r="JI123" i="2" s="1"/>
  <c r="JJ123" i="2" s="1"/>
  <c r="BG123" i="8"/>
  <c r="IY123" i="2" s="1"/>
  <c r="AV123" i="8"/>
  <c r="IM123" i="2"/>
  <c r="IL123" i="2"/>
  <c r="CY123" i="2"/>
  <c r="AU123" i="8"/>
  <c r="F123" i="8"/>
  <c r="FD123" i="2"/>
  <c r="DF123" i="2"/>
  <c r="DC123" i="2"/>
  <c r="AR123" i="2"/>
  <c r="AO123" i="2"/>
  <c r="AY123" i="2" s="1"/>
  <c r="DG123" i="2"/>
  <c r="E119" i="2"/>
  <c r="C119" i="2"/>
  <c r="D119" i="2"/>
  <c r="B119" i="2"/>
  <c r="A101" i="1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E115" i="2"/>
  <c r="C115" i="2"/>
  <c r="D115" i="2"/>
  <c r="B115" i="2"/>
  <c r="A97" i="1"/>
  <c r="F115" i="2"/>
  <c r="JH115" i="2"/>
  <c r="JI115" i="2" s="1"/>
  <c r="JJ115" i="2" s="1"/>
  <c r="BG115" i="8"/>
  <c r="IY115" i="2" s="1"/>
  <c r="IL115" i="2"/>
  <c r="AV115" i="8"/>
  <c r="IM115" i="2"/>
  <c r="CY115" i="2"/>
  <c r="AU115" i="8"/>
  <c r="F115" i="8"/>
  <c r="FD115" i="2"/>
  <c r="DF115" i="2"/>
  <c r="DC115" i="2"/>
  <c r="AR115" i="2"/>
  <c r="AO115" i="2"/>
  <c r="AW115" i="2" s="1"/>
  <c r="DG115" i="2"/>
  <c r="E111" i="2"/>
  <c r="C111" i="2"/>
  <c r="D111" i="2"/>
  <c r="B111" i="2"/>
  <c r="A93" i="1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E107" i="2"/>
  <c r="C107" i="2"/>
  <c r="D107" i="2"/>
  <c r="B107" i="2"/>
  <c r="A89" i="1"/>
  <c r="F107" i="2"/>
  <c r="JH107" i="2"/>
  <c r="JI107" i="2" s="1"/>
  <c r="JJ107" i="2" s="1"/>
  <c r="BG107" i="8"/>
  <c r="IY107" i="2" s="1"/>
  <c r="AV107" i="8"/>
  <c r="IM107" i="2"/>
  <c r="IL107" i="2"/>
  <c r="CY107" i="2"/>
  <c r="AU107" i="8"/>
  <c r="F107" i="8"/>
  <c r="FD107" i="2"/>
  <c r="DF107" i="2"/>
  <c r="DC107" i="2"/>
  <c r="AR107" i="2"/>
  <c r="AO107" i="2"/>
  <c r="AY107" i="2" s="1"/>
  <c r="DG107" i="2"/>
  <c r="B103" i="2"/>
  <c r="E103" i="2"/>
  <c r="C103" i="2"/>
  <c r="D103" i="2"/>
  <c r="A85" i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B99" i="2"/>
  <c r="E99" i="2"/>
  <c r="C99" i="2"/>
  <c r="D99" i="2"/>
  <c r="A81" i="1"/>
  <c r="F99" i="2"/>
  <c r="JH99" i="2"/>
  <c r="JI99" i="2" s="1"/>
  <c r="JJ99" i="2" s="1"/>
  <c r="BG99" i="8"/>
  <c r="IY99" i="2" s="1"/>
  <c r="IL99" i="2"/>
  <c r="AV99" i="8"/>
  <c r="IM99" i="2"/>
  <c r="CY99" i="2"/>
  <c r="AU99" i="8"/>
  <c r="F99" i="8"/>
  <c r="FD99" i="2"/>
  <c r="DF99" i="2"/>
  <c r="DC99" i="2"/>
  <c r="AR99" i="2"/>
  <c r="AO99" i="2"/>
  <c r="AY99" i="2" s="1"/>
  <c r="DG99" i="2"/>
  <c r="B95" i="2"/>
  <c r="D95" i="2"/>
  <c r="E95" i="2"/>
  <c r="C95" i="2"/>
  <c r="A77" i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B91" i="2"/>
  <c r="D91" i="2"/>
  <c r="E91" i="2"/>
  <c r="C91" i="2"/>
  <c r="A73" i="1"/>
  <c r="F91" i="2"/>
  <c r="JH91" i="2"/>
  <c r="JI91" i="2" s="1"/>
  <c r="JJ91" i="2" s="1"/>
  <c r="BG91" i="8"/>
  <c r="IY91" i="2" s="1"/>
  <c r="AV91" i="8"/>
  <c r="IM91" i="2"/>
  <c r="IL91" i="2"/>
  <c r="CY91" i="2"/>
  <c r="AU91" i="8"/>
  <c r="F91" i="8"/>
  <c r="FD91" i="2"/>
  <c r="DF91" i="2"/>
  <c r="DC91" i="2"/>
  <c r="AR91" i="2"/>
  <c r="AO91" i="2"/>
  <c r="AY91" i="2" s="1"/>
  <c r="DG91" i="2"/>
  <c r="B87" i="2"/>
  <c r="D87" i="2"/>
  <c r="E87" i="2"/>
  <c r="C87" i="2"/>
  <c r="A69" i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B83" i="2"/>
  <c r="C83" i="2"/>
  <c r="D83" i="2"/>
  <c r="E83" i="2"/>
  <c r="A65" i="1"/>
  <c r="F83" i="2"/>
  <c r="JH83" i="2"/>
  <c r="JI83" i="2" s="1"/>
  <c r="JJ83" i="2" s="1"/>
  <c r="BG83" i="8"/>
  <c r="IY83" i="2" s="1"/>
  <c r="IL83" i="2"/>
  <c r="AV83" i="8"/>
  <c r="IM83" i="2"/>
  <c r="CY83" i="2"/>
  <c r="AU83" i="8"/>
  <c r="F83" i="8"/>
  <c r="FD83" i="2"/>
  <c r="DF83" i="2"/>
  <c r="DC83" i="2"/>
  <c r="AR83" i="2"/>
  <c r="AO83" i="2"/>
  <c r="AY83" i="2" s="1"/>
  <c r="DG83" i="2"/>
  <c r="B79" i="2"/>
  <c r="C79" i="2"/>
  <c r="D79" i="2"/>
  <c r="E79" i="2"/>
  <c r="A61" i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B75" i="2"/>
  <c r="C75" i="2"/>
  <c r="D75" i="2"/>
  <c r="E75" i="2"/>
  <c r="A57" i="1"/>
  <c r="F75" i="2"/>
  <c r="JH75" i="2"/>
  <c r="JI75" i="2" s="1"/>
  <c r="JJ75" i="2" s="1"/>
  <c r="BG75" i="8"/>
  <c r="IY75" i="2" s="1"/>
  <c r="AV75" i="8"/>
  <c r="AU75" i="8"/>
  <c r="IL75" i="2"/>
  <c r="IM75" i="2"/>
  <c r="CY75" i="2"/>
  <c r="F75" i="8"/>
  <c r="FD75" i="2"/>
  <c r="DF75" i="2"/>
  <c r="DC75" i="2"/>
  <c r="AR75" i="2"/>
  <c r="AO75" i="2"/>
  <c r="AY75" i="2" s="1"/>
  <c r="DG75" i="2"/>
  <c r="B71" i="2"/>
  <c r="C71" i="2"/>
  <c r="D71" i="2"/>
  <c r="E71" i="2"/>
  <c r="A53" i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B67" i="2"/>
  <c r="C67" i="2"/>
  <c r="D67" i="2"/>
  <c r="E67" i="2"/>
  <c r="A49" i="1"/>
  <c r="F67" i="2"/>
  <c r="JH67" i="2"/>
  <c r="JI67" i="2" s="1"/>
  <c r="JJ67" i="2" s="1"/>
  <c r="BG67" i="8"/>
  <c r="IY67" i="2" s="1"/>
  <c r="AU67" i="8"/>
  <c r="IL67" i="2"/>
  <c r="AV67" i="8"/>
  <c r="IM67" i="2"/>
  <c r="CY67" i="2"/>
  <c r="F67" i="8"/>
  <c r="FD67" i="2"/>
  <c r="DF67" i="2"/>
  <c r="DC67" i="2"/>
  <c r="AR67" i="2"/>
  <c r="AO67" i="2"/>
  <c r="AY67" i="2" s="1"/>
  <c r="DG67" i="2"/>
  <c r="B63" i="2"/>
  <c r="C63" i="2"/>
  <c r="D63" i="2"/>
  <c r="E63" i="2"/>
  <c r="A45" i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B59" i="2"/>
  <c r="C59" i="2"/>
  <c r="D59" i="2"/>
  <c r="E59" i="2"/>
  <c r="A41" i="1"/>
  <c r="F59" i="2"/>
  <c r="JH59" i="2"/>
  <c r="JI59" i="2" s="1"/>
  <c r="JJ59" i="2" s="1"/>
  <c r="IL59" i="2"/>
  <c r="BG59" i="8"/>
  <c r="IY59" i="2" s="1"/>
  <c r="AV59" i="8"/>
  <c r="AU59" i="8"/>
  <c r="IM59" i="2"/>
  <c r="CY59" i="2"/>
  <c r="F59" i="8"/>
  <c r="FD59" i="2"/>
  <c r="DF59" i="2"/>
  <c r="DC59" i="2"/>
  <c r="AR59" i="2"/>
  <c r="AO59" i="2"/>
  <c r="AY59" i="2" s="1"/>
  <c r="DG59" i="2"/>
  <c r="B55" i="2"/>
  <c r="C55" i="2"/>
  <c r="D55" i="2"/>
  <c r="E55" i="2"/>
  <c r="A37" i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B51" i="2"/>
  <c r="C51" i="2"/>
  <c r="D51" i="2"/>
  <c r="E51" i="2"/>
  <c r="A33" i="1"/>
  <c r="F51" i="2"/>
  <c r="JH51" i="2"/>
  <c r="JI51" i="2" s="1"/>
  <c r="JJ51" i="2" s="1"/>
  <c r="IL51" i="2"/>
  <c r="BG51" i="8"/>
  <c r="IY51" i="2" s="1"/>
  <c r="AU51" i="8"/>
  <c r="AV51" i="8"/>
  <c r="IM51" i="2"/>
  <c r="CY51" i="2"/>
  <c r="F51" i="8"/>
  <c r="FD51" i="2"/>
  <c r="DF51" i="2"/>
  <c r="DC51" i="2"/>
  <c r="AR51" i="2"/>
  <c r="AO51" i="2"/>
  <c r="AX51" i="2" s="1"/>
  <c r="DG51" i="2"/>
  <c r="B47" i="2"/>
  <c r="C47" i="2"/>
  <c r="D47" i="2"/>
  <c r="E47" i="2"/>
  <c r="A29" i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E43" i="2"/>
  <c r="D43" i="2"/>
  <c r="B43" i="2"/>
  <c r="C43" i="2"/>
  <c r="A25" i="1"/>
  <c r="E39" i="2"/>
  <c r="D39" i="2"/>
  <c r="B39" i="2"/>
  <c r="C39" i="2"/>
  <c r="E35" i="2"/>
  <c r="D35" i="2"/>
  <c r="CQ35" i="2" s="1"/>
  <c r="B35" i="2"/>
  <c r="F35" i="2" s="1"/>
  <c r="L35" i="2" s="1"/>
  <c r="F35" i="8" s="1"/>
  <c r="GE35" i="2" s="1"/>
  <c r="C35" i="2"/>
  <c r="E31" i="2"/>
  <c r="D31" i="2"/>
  <c r="B31" i="2"/>
  <c r="C31" i="2"/>
  <c r="AI31" i="8" s="1"/>
  <c r="E19" i="2"/>
  <c r="D19" i="2"/>
  <c r="B19" i="2"/>
  <c r="C19" i="2"/>
  <c r="D195" i="2"/>
  <c r="E195" i="2"/>
  <c r="C195" i="2"/>
  <c r="B195" i="2"/>
  <c r="A177" i="1"/>
  <c r="F195" i="2"/>
  <c r="JH195" i="2"/>
  <c r="JI195" i="2" s="1"/>
  <c r="JJ195" i="2" s="1"/>
  <c r="BG195" i="8"/>
  <c r="IY195" i="2" s="1"/>
  <c r="IL195" i="2"/>
  <c r="IM195" i="2"/>
  <c r="CY195" i="2"/>
  <c r="AU195" i="8"/>
  <c r="AV195" i="8"/>
  <c r="F195" i="8"/>
  <c r="FD195" i="2"/>
  <c r="DF195" i="2"/>
  <c r="DC195" i="2"/>
  <c r="AO195" i="2"/>
  <c r="AR195" i="2"/>
  <c r="DG195" i="2"/>
  <c r="F134" i="2"/>
  <c r="IL78" i="2"/>
  <c r="AR70" i="2"/>
  <c r="E18" i="2"/>
  <c r="C18" i="2"/>
  <c r="D18" i="2"/>
  <c r="B18" i="2"/>
  <c r="E197" i="2"/>
  <c r="D197" i="2"/>
  <c r="C197" i="2"/>
  <c r="A179" i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71" i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63" i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55" i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47" i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39" i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31" i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23" i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15" i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07" i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99" i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91" i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83" i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75" i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67" i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59" i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51" i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43" i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35" i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27" i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IC37" i="2" s="1"/>
  <c r="D37" i="2"/>
  <c r="E29" i="2"/>
  <c r="B29" i="2"/>
  <c r="C29" i="2"/>
  <c r="D29" i="2"/>
  <c r="FD19" i="2"/>
  <c r="FD20" i="2"/>
  <c r="FD18" i="2"/>
  <c r="F36" i="2"/>
  <c r="AC36" i="2" s="1"/>
  <c r="AD36" i="2" s="1"/>
  <c r="CY36" i="2"/>
  <c r="FD36" i="2"/>
  <c r="F43" i="2"/>
  <c r="JH43" i="2"/>
  <c r="JI43" i="2" s="1"/>
  <c r="JJ43" i="2" s="1"/>
  <c r="IL43" i="2"/>
  <c r="AV43" i="8"/>
  <c r="BG43" i="8"/>
  <c r="IV43" i="2" s="1"/>
  <c r="IW43" i="2" s="1"/>
  <c r="IM43" i="2"/>
  <c r="AU43" i="8"/>
  <c r="F43" i="8"/>
  <c r="FD43" i="2"/>
  <c r="CY43" i="2"/>
  <c r="DF43" i="2"/>
  <c r="DC43" i="2"/>
  <c r="AR43" i="2"/>
  <c r="AO43" i="2"/>
  <c r="AW43" i="2" s="1"/>
  <c r="DG43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D37" i="2"/>
  <c r="CY37" i="2"/>
  <c r="DC37" i="2"/>
  <c r="DF37" i="2"/>
  <c r="DG37" i="2"/>
  <c r="FD35" i="2"/>
  <c r="CY35" i="2"/>
  <c r="FD31" i="2"/>
  <c r="CY31" i="2"/>
  <c r="BT196" i="2"/>
  <c r="BU196" i="2"/>
  <c r="BT188" i="2"/>
  <c r="BU188" i="2"/>
  <c r="BT180" i="2"/>
  <c r="BU180" i="2"/>
  <c r="BT172" i="2"/>
  <c r="BU172" i="2"/>
  <c r="BT164" i="2"/>
  <c r="BU164" i="2"/>
  <c r="BT156" i="2"/>
  <c r="BU156" i="2"/>
  <c r="BT148" i="2"/>
  <c r="BU148" i="2"/>
  <c r="BT140" i="2"/>
  <c r="BU140" i="2"/>
  <c r="BT132" i="2"/>
  <c r="BU132" i="2"/>
  <c r="BT124" i="2"/>
  <c r="BU124" i="2"/>
  <c r="BT116" i="2"/>
  <c r="BU116" i="2"/>
  <c r="BT108" i="2"/>
  <c r="BU108" i="2"/>
  <c r="BT100" i="2"/>
  <c r="BU100" i="2"/>
  <c r="BT92" i="2"/>
  <c r="BU92" i="2"/>
  <c r="BT84" i="2"/>
  <c r="BU84" i="2"/>
  <c r="BT76" i="2"/>
  <c r="BU76" i="2"/>
  <c r="BT68" i="2"/>
  <c r="BU68" i="2"/>
  <c r="BT60" i="2"/>
  <c r="BU60" i="2"/>
  <c r="BT52" i="2"/>
  <c r="BU52" i="2"/>
  <c r="BT44" i="2"/>
  <c r="BU44" i="2"/>
  <c r="BT199" i="2"/>
  <c r="BU199" i="2"/>
  <c r="BT197" i="2"/>
  <c r="BU197" i="2"/>
  <c r="BT195" i="2"/>
  <c r="BU195" i="2"/>
  <c r="BT191" i="2"/>
  <c r="BU191" i="2"/>
  <c r="BT189" i="2"/>
  <c r="BU189" i="2"/>
  <c r="BT187" i="2"/>
  <c r="BU187" i="2"/>
  <c r="BT183" i="2"/>
  <c r="BU183" i="2"/>
  <c r="BT181" i="2"/>
  <c r="BU181" i="2"/>
  <c r="BT179" i="2"/>
  <c r="BU179" i="2"/>
  <c r="BT175" i="2"/>
  <c r="BU175" i="2"/>
  <c r="BT173" i="2"/>
  <c r="BU173" i="2"/>
  <c r="BT171" i="2"/>
  <c r="BU171" i="2"/>
  <c r="BT167" i="2"/>
  <c r="BU167" i="2"/>
  <c r="BT165" i="2"/>
  <c r="BU165" i="2"/>
  <c r="BT163" i="2"/>
  <c r="BU163" i="2"/>
  <c r="BT159" i="2"/>
  <c r="BU159" i="2"/>
  <c r="BT157" i="2"/>
  <c r="BU157" i="2"/>
  <c r="BT155" i="2"/>
  <c r="BU155" i="2"/>
  <c r="BT151" i="2"/>
  <c r="BU151" i="2"/>
  <c r="BT149" i="2"/>
  <c r="BU149" i="2"/>
  <c r="BT147" i="2"/>
  <c r="BU147" i="2"/>
  <c r="BT143" i="2"/>
  <c r="BU143" i="2"/>
  <c r="BT141" i="2"/>
  <c r="BU141" i="2"/>
  <c r="BT139" i="2"/>
  <c r="BU139" i="2"/>
  <c r="BT135" i="2"/>
  <c r="BU135" i="2"/>
  <c r="BT133" i="2"/>
  <c r="BU133" i="2"/>
  <c r="BT131" i="2"/>
  <c r="BU131" i="2"/>
  <c r="BT127" i="2"/>
  <c r="BU127" i="2"/>
  <c r="BT125" i="2"/>
  <c r="BU125" i="2"/>
  <c r="BT123" i="2"/>
  <c r="BU123" i="2"/>
  <c r="BT119" i="2"/>
  <c r="BU119" i="2"/>
  <c r="BT117" i="2"/>
  <c r="BU117" i="2"/>
  <c r="BT115" i="2"/>
  <c r="BU115" i="2"/>
  <c r="BT111" i="2"/>
  <c r="BU111" i="2"/>
  <c r="BT109" i="2"/>
  <c r="BU109" i="2"/>
  <c r="BT107" i="2"/>
  <c r="BU107" i="2"/>
  <c r="BT103" i="2"/>
  <c r="BU103" i="2"/>
  <c r="BT101" i="2"/>
  <c r="BU101" i="2"/>
  <c r="BT99" i="2"/>
  <c r="BU99" i="2"/>
  <c r="BT95" i="2"/>
  <c r="BU95" i="2"/>
  <c r="BT93" i="2"/>
  <c r="BU93" i="2"/>
  <c r="BT91" i="2"/>
  <c r="BU91" i="2"/>
  <c r="BT87" i="2"/>
  <c r="BU87" i="2"/>
  <c r="BT85" i="2"/>
  <c r="BU85" i="2"/>
  <c r="BT83" i="2"/>
  <c r="BU83" i="2"/>
  <c r="BT79" i="2"/>
  <c r="BU79" i="2"/>
  <c r="BT77" i="2"/>
  <c r="BU77" i="2"/>
  <c r="BT75" i="2"/>
  <c r="BU75" i="2"/>
  <c r="BT71" i="2"/>
  <c r="BU71" i="2"/>
  <c r="BT69" i="2"/>
  <c r="BU69" i="2"/>
  <c r="BT67" i="2"/>
  <c r="BU67" i="2"/>
  <c r="BT63" i="2"/>
  <c r="BU63" i="2"/>
  <c r="BT61" i="2"/>
  <c r="BU61" i="2"/>
  <c r="BT59" i="2"/>
  <c r="BU59" i="2"/>
  <c r="BT55" i="2"/>
  <c r="BU55" i="2"/>
  <c r="BT53" i="2"/>
  <c r="BU53" i="2"/>
  <c r="BT51" i="2"/>
  <c r="BU51" i="2"/>
  <c r="BT47" i="2"/>
  <c r="BU47" i="2"/>
  <c r="BT45" i="2"/>
  <c r="BU45" i="2"/>
  <c r="BT43" i="2"/>
  <c r="BU43" i="2"/>
  <c r="BT39" i="2"/>
  <c r="BU39" i="2"/>
  <c r="BR199" i="2"/>
  <c r="BS199" i="2"/>
  <c r="BR195" i="2"/>
  <c r="BS195" i="2"/>
  <c r="BR191" i="2"/>
  <c r="BS191" i="2"/>
  <c r="BR189" i="2"/>
  <c r="BS189" i="2"/>
  <c r="BR187" i="2"/>
  <c r="BS187" i="2"/>
  <c r="BR183" i="2"/>
  <c r="BS183" i="2"/>
  <c r="BR181" i="2"/>
  <c r="BS181" i="2"/>
  <c r="BR179" i="2"/>
  <c r="BS179" i="2"/>
  <c r="BR175" i="2"/>
  <c r="BS175" i="2"/>
  <c r="BR173" i="2"/>
  <c r="BS173" i="2"/>
  <c r="BR171" i="2"/>
  <c r="BS171" i="2"/>
  <c r="BR167" i="2"/>
  <c r="BS167" i="2"/>
  <c r="BR165" i="2"/>
  <c r="BS165" i="2"/>
  <c r="BR163" i="2"/>
  <c r="BS163" i="2"/>
  <c r="BR159" i="2"/>
  <c r="BS159" i="2"/>
  <c r="BR157" i="2"/>
  <c r="BS157" i="2"/>
  <c r="BR155" i="2"/>
  <c r="BS155" i="2"/>
  <c r="BR151" i="2"/>
  <c r="BS151" i="2"/>
  <c r="BR149" i="2"/>
  <c r="BS149" i="2"/>
  <c r="BR147" i="2"/>
  <c r="BS147" i="2"/>
  <c r="BR143" i="2"/>
  <c r="BS143" i="2"/>
  <c r="BR141" i="2"/>
  <c r="BS141" i="2"/>
  <c r="BR139" i="2"/>
  <c r="BS139" i="2"/>
  <c r="BR135" i="2"/>
  <c r="BS135" i="2"/>
  <c r="BR133" i="2"/>
  <c r="BS133" i="2"/>
  <c r="BR131" i="2"/>
  <c r="BS131" i="2"/>
  <c r="BR127" i="2"/>
  <c r="BS127" i="2"/>
  <c r="BR125" i="2"/>
  <c r="BS125" i="2"/>
  <c r="BR123" i="2"/>
  <c r="BS123" i="2"/>
  <c r="BR119" i="2"/>
  <c r="BS119" i="2"/>
  <c r="BR117" i="2"/>
  <c r="BS117" i="2"/>
  <c r="BR115" i="2"/>
  <c r="BS115" i="2"/>
  <c r="BR111" i="2"/>
  <c r="BS111" i="2"/>
  <c r="BR109" i="2"/>
  <c r="BS109" i="2"/>
  <c r="BR107" i="2"/>
  <c r="BS107" i="2"/>
  <c r="BR103" i="2"/>
  <c r="BS103" i="2"/>
  <c r="BR101" i="2"/>
  <c r="BS101" i="2"/>
  <c r="BR99" i="2"/>
  <c r="BS99" i="2"/>
  <c r="BR95" i="2"/>
  <c r="BS95" i="2"/>
  <c r="BR93" i="2"/>
  <c r="BS93" i="2"/>
  <c r="BR91" i="2"/>
  <c r="BS91" i="2"/>
  <c r="BR87" i="2"/>
  <c r="BS87" i="2"/>
  <c r="BR85" i="2"/>
  <c r="BS85" i="2"/>
  <c r="BR83" i="2"/>
  <c r="BS83" i="2"/>
  <c r="BR79" i="2"/>
  <c r="BS79" i="2"/>
  <c r="BR77" i="2"/>
  <c r="BS77" i="2"/>
  <c r="BR75" i="2"/>
  <c r="BS75" i="2"/>
  <c r="BR71" i="2"/>
  <c r="BS71" i="2"/>
  <c r="BR69" i="2"/>
  <c r="BS69" i="2"/>
  <c r="BR67" i="2"/>
  <c r="BS67" i="2"/>
  <c r="BR63" i="2"/>
  <c r="BS63" i="2"/>
  <c r="BR61" i="2"/>
  <c r="BS61" i="2"/>
  <c r="BR59" i="2"/>
  <c r="BS59" i="2"/>
  <c r="BR55" i="2"/>
  <c r="BS55" i="2"/>
  <c r="BR53" i="2"/>
  <c r="BS53" i="2"/>
  <c r="BR51" i="2"/>
  <c r="BS51" i="2"/>
  <c r="BR47" i="2"/>
  <c r="BS47" i="2"/>
  <c r="BR45" i="2"/>
  <c r="BS45" i="2"/>
  <c r="BR43" i="2"/>
  <c r="BS43" i="2"/>
  <c r="BR39" i="2"/>
  <c r="BS39" i="2"/>
  <c r="BR197" i="2"/>
  <c r="BS197" i="2"/>
  <c r="BR196" i="2"/>
  <c r="BS196" i="2"/>
  <c r="BS190" i="2"/>
  <c r="BR188" i="2"/>
  <c r="BS188" i="2"/>
  <c r="BR180" i="2"/>
  <c r="BS180" i="2"/>
  <c r="BR172" i="2"/>
  <c r="BS172" i="2"/>
  <c r="BR164" i="2"/>
  <c r="BS164" i="2"/>
  <c r="BR156" i="2"/>
  <c r="BS156" i="2"/>
  <c r="BS150" i="2"/>
  <c r="BR148" i="2"/>
  <c r="BS148" i="2"/>
  <c r="BR140" i="2"/>
  <c r="BS140" i="2"/>
  <c r="BR132" i="2"/>
  <c r="BS132" i="2"/>
  <c r="BR124" i="2"/>
  <c r="BS124" i="2"/>
  <c r="BR116" i="2"/>
  <c r="BS116" i="2"/>
  <c r="BR108" i="2"/>
  <c r="BS108" i="2"/>
  <c r="BR100" i="2"/>
  <c r="BS100" i="2"/>
  <c r="BR92" i="2"/>
  <c r="BS92" i="2"/>
  <c r="BR84" i="2"/>
  <c r="BS84" i="2"/>
  <c r="BR76" i="2"/>
  <c r="BS76" i="2"/>
  <c r="BR68" i="2"/>
  <c r="BS68" i="2"/>
  <c r="BR60" i="2"/>
  <c r="BS60" i="2"/>
  <c r="BR52" i="2"/>
  <c r="BS52" i="2"/>
  <c r="BR44" i="2"/>
  <c r="BS44" i="2"/>
  <c r="BP173" i="2"/>
  <c r="BQ173" i="2"/>
  <c r="BP171" i="2"/>
  <c r="BQ171" i="2"/>
  <c r="BP167" i="2"/>
  <c r="BQ167" i="2"/>
  <c r="BP165" i="2"/>
  <c r="BQ165" i="2"/>
  <c r="BP163" i="2"/>
  <c r="BQ163" i="2"/>
  <c r="BP159" i="2"/>
  <c r="BQ159" i="2"/>
  <c r="BP157" i="2"/>
  <c r="BQ157" i="2"/>
  <c r="BP155" i="2"/>
  <c r="BQ155" i="2"/>
  <c r="BP151" i="2"/>
  <c r="BQ151" i="2"/>
  <c r="BP149" i="2"/>
  <c r="BQ149" i="2"/>
  <c r="BP147" i="2"/>
  <c r="BQ147" i="2"/>
  <c r="BP143" i="2"/>
  <c r="BQ143" i="2"/>
  <c r="BP141" i="2"/>
  <c r="BQ141" i="2"/>
  <c r="BP139" i="2"/>
  <c r="BQ139" i="2"/>
  <c r="BP135" i="2"/>
  <c r="BQ135" i="2"/>
  <c r="BP133" i="2"/>
  <c r="BQ133" i="2"/>
  <c r="BP131" i="2"/>
  <c r="BQ131" i="2"/>
  <c r="BP127" i="2"/>
  <c r="BQ127" i="2"/>
  <c r="BP125" i="2"/>
  <c r="BQ125" i="2"/>
  <c r="BP123" i="2"/>
  <c r="BQ123" i="2"/>
  <c r="BP119" i="2"/>
  <c r="BQ119" i="2"/>
  <c r="BP117" i="2"/>
  <c r="BQ117" i="2"/>
  <c r="BP115" i="2"/>
  <c r="BQ115" i="2"/>
  <c r="BP111" i="2"/>
  <c r="BQ111" i="2"/>
  <c r="BP109" i="2"/>
  <c r="BQ109" i="2"/>
  <c r="BP107" i="2"/>
  <c r="BQ107" i="2"/>
  <c r="BP103" i="2"/>
  <c r="BQ103" i="2"/>
  <c r="BP101" i="2"/>
  <c r="BQ101" i="2"/>
  <c r="BP99" i="2"/>
  <c r="BQ99" i="2"/>
  <c r="BP95" i="2"/>
  <c r="BQ95" i="2"/>
  <c r="BP93" i="2"/>
  <c r="BQ93" i="2"/>
  <c r="BP91" i="2"/>
  <c r="BQ91" i="2"/>
  <c r="BP87" i="2"/>
  <c r="BQ87" i="2"/>
  <c r="BP85" i="2"/>
  <c r="BQ85" i="2"/>
  <c r="BP83" i="2"/>
  <c r="BQ83" i="2"/>
  <c r="BP79" i="2"/>
  <c r="BQ79" i="2"/>
  <c r="BP77" i="2"/>
  <c r="BQ77" i="2"/>
  <c r="BP75" i="2"/>
  <c r="BQ75" i="2"/>
  <c r="BP71" i="2"/>
  <c r="BQ71" i="2"/>
  <c r="BP69" i="2"/>
  <c r="BQ69" i="2"/>
  <c r="BP67" i="2"/>
  <c r="BQ67" i="2"/>
  <c r="BP63" i="2"/>
  <c r="BQ63" i="2"/>
  <c r="BP61" i="2"/>
  <c r="BQ61" i="2"/>
  <c r="BP59" i="2"/>
  <c r="BQ59" i="2"/>
  <c r="BP55" i="2"/>
  <c r="BQ55" i="2"/>
  <c r="BP53" i="2"/>
  <c r="BQ53" i="2"/>
  <c r="BP51" i="2"/>
  <c r="BQ51" i="2"/>
  <c r="BP47" i="2"/>
  <c r="BQ47" i="2"/>
  <c r="BP45" i="2"/>
  <c r="BQ45" i="2"/>
  <c r="BP43" i="2"/>
  <c r="BQ43" i="2"/>
  <c r="BP39" i="2"/>
  <c r="BQ39" i="2"/>
  <c r="BP199" i="2"/>
  <c r="BQ199" i="2"/>
  <c r="BP197" i="2"/>
  <c r="BQ197" i="2"/>
  <c r="BP195" i="2"/>
  <c r="BQ195" i="2"/>
  <c r="BP191" i="2"/>
  <c r="BQ191" i="2"/>
  <c r="BP189" i="2"/>
  <c r="BQ189" i="2"/>
  <c r="BP187" i="2"/>
  <c r="BQ187" i="2"/>
  <c r="BP183" i="2"/>
  <c r="BQ183" i="2"/>
  <c r="BP181" i="2"/>
  <c r="BQ181" i="2"/>
  <c r="BP179" i="2"/>
  <c r="BQ179" i="2"/>
  <c r="BP175" i="2"/>
  <c r="BQ175" i="2"/>
  <c r="BP196" i="2"/>
  <c r="BQ196" i="2"/>
  <c r="BP188" i="2"/>
  <c r="BQ188" i="2"/>
  <c r="BP180" i="2"/>
  <c r="BQ180" i="2"/>
  <c r="BP172" i="2"/>
  <c r="BQ172" i="2"/>
  <c r="BP164" i="2"/>
  <c r="BQ164" i="2"/>
  <c r="BP156" i="2"/>
  <c r="BQ156" i="2"/>
  <c r="BP148" i="2"/>
  <c r="BQ148" i="2"/>
  <c r="BP140" i="2"/>
  <c r="BQ140" i="2"/>
  <c r="BP132" i="2"/>
  <c r="BQ132" i="2"/>
  <c r="BP124" i="2"/>
  <c r="BQ124" i="2"/>
  <c r="BP116" i="2"/>
  <c r="BQ116" i="2"/>
  <c r="BP108" i="2"/>
  <c r="BQ108" i="2"/>
  <c r="BP100" i="2"/>
  <c r="BQ100" i="2"/>
  <c r="BP92" i="2"/>
  <c r="BQ92" i="2"/>
  <c r="BP84" i="2"/>
  <c r="BQ84" i="2"/>
  <c r="BP76" i="2"/>
  <c r="BQ76" i="2"/>
  <c r="BP68" i="2"/>
  <c r="BQ68" i="2"/>
  <c r="BP60" i="2"/>
  <c r="BQ60" i="2"/>
  <c r="BP52" i="2"/>
  <c r="BQ52" i="2"/>
  <c r="BP44" i="2"/>
  <c r="BQ44" i="2"/>
  <c r="AM180" i="2"/>
  <c r="AP180" i="2"/>
  <c r="AT180" i="2"/>
  <c r="AS180" i="2"/>
  <c r="IE180" i="2"/>
  <c r="AM172" i="2"/>
  <c r="AP172" i="2"/>
  <c r="AT172" i="2"/>
  <c r="AS172" i="2"/>
  <c r="IE172" i="2"/>
  <c r="AM164" i="2"/>
  <c r="AP164" i="2"/>
  <c r="AT164" i="2"/>
  <c r="AS164" i="2"/>
  <c r="IE164" i="2"/>
  <c r="AM156" i="2"/>
  <c r="AP156" i="2"/>
  <c r="AT156" i="2"/>
  <c r="AS156" i="2"/>
  <c r="IE156" i="2"/>
  <c r="AM148" i="2"/>
  <c r="AP148" i="2"/>
  <c r="AT148" i="2"/>
  <c r="AS148" i="2"/>
  <c r="IE148" i="2"/>
  <c r="AM140" i="2"/>
  <c r="AP140" i="2"/>
  <c r="AT140" i="2"/>
  <c r="AS140" i="2"/>
  <c r="IE140" i="2"/>
  <c r="AM132" i="2"/>
  <c r="AP132" i="2"/>
  <c r="AT132" i="2"/>
  <c r="AS132" i="2"/>
  <c r="IE132" i="2"/>
  <c r="AM124" i="2"/>
  <c r="AP124" i="2"/>
  <c r="AT124" i="2"/>
  <c r="AS124" i="2"/>
  <c r="IE124" i="2"/>
  <c r="AM116" i="2"/>
  <c r="AP116" i="2"/>
  <c r="AS116" i="2"/>
  <c r="AT116" i="2"/>
  <c r="IE116" i="2"/>
  <c r="AM108" i="2"/>
  <c r="AP108" i="2"/>
  <c r="AS108" i="2"/>
  <c r="AT108" i="2"/>
  <c r="IE108" i="2"/>
  <c r="AM100" i="2"/>
  <c r="AP100" i="2"/>
  <c r="AS100" i="2"/>
  <c r="AT100" i="2"/>
  <c r="IE100" i="2"/>
  <c r="AM92" i="2"/>
  <c r="AP92" i="2"/>
  <c r="AS92" i="2"/>
  <c r="AT92" i="2"/>
  <c r="IE92" i="2"/>
  <c r="AM84" i="2"/>
  <c r="AP84" i="2"/>
  <c r="AS84" i="2"/>
  <c r="AT84" i="2"/>
  <c r="IE84" i="2"/>
  <c r="AM76" i="2"/>
  <c r="AP76" i="2"/>
  <c r="AS76" i="2"/>
  <c r="AT76" i="2"/>
  <c r="IE76" i="2"/>
  <c r="AM68" i="2"/>
  <c r="AP68" i="2"/>
  <c r="AS68" i="2"/>
  <c r="AT68" i="2"/>
  <c r="IE68" i="2"/>
  <c r="AM60" i="2"/>
  <c r="AP60" i="2"/>
  <c r="AS60" i="2"/>
  <c r="AT60" i="2"/>
  <c r="IE60" i="2"/>
  <c r="AM52" i="2"/>
  <c r="AP52" i="2"/>
  <c r="AS52" i="2"/>
  <c r="AT52" i="2"/>
  <c r="IE52" i="2"/>
  <c r="AM44" i="2"/>
  <c r="AP44" i="2"/>
  <c r="AS44" i="2"/>
  <c r="AT44" i="2"/>
  <c r="IE44" i="2"/>
  <c r="AM36" i="2"/>
  <c r="AG36" i="8" s="1"/>
  <c r="AM28" i="2"/>
  <c r="BE28" i="8" s="1"/>
  <c r="AM20" i="2"/>
  <c r="CZ20" i="2" s="1"/>
  <c r="AM18" i="2"/>
  <c r="AT18" i="8" s="1"/>
  <c r="AM10" i="2"/>
  <c r="BE10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5" i="2"/>
  <c r="AT195" i="2"/>
  <c r="AP195" i="2"/>
  <c r="AS195" i="2"/>
  <c r="IE195" i="2"/>
  <c r="AM191" i="2"/>
  <c r="AT191" i="2"/>
  <c r="AP191" i="2"/>
  <c r="AS191" i="2"/>
  <c r="IE191" i="2"/>
  <c r="AM189" i="2"/>
  <c r="AT189" i="2"/>
  <c r="AS189" i="2"/>
  <c r="AP189" i="2"/>
  <c r="IE189" i="2"/>
  <c r="AM187" i="2"/>
  <c r="AT187" i="2"/>
  <c r="AP187" i="2"/>
  <c r="AS187" i="2"/>
  <c r="IE187" i="2"/>
  <c r="AM183" i="2"/>
  <c r="AT183" i="2"/>
  <c r="AP183" i="2"/>
  <c r="AS183" i="2"/>
  <c r="IE183" i="2"/>
  <c r="AM181" i="2"/>
  <c r="AT181" i="2"/>
  <c r="AS181" i="2"/>
  <c r="AP181" i="2"/>
  <c r="IE181" i="2"/>
  <c r="AM179" i="2"/>
  <c r="AT179" i="2"/>
  <c r="AP179" i="2"/>
  <c r="AS179" i="2"/>
  <c r="IE179" i="2"/>
  <c r="AM175" i="2"/>
  <c r="AT175" i="2"/>
  <c r="AP175" i="2"/>
  <c r="AS175" i="2"/>
  <c r="IE175" i="2"/>
  <c r="AM173" i="2"/>
  <c r="AT173" i="2"/>
  <c r="AS173" i="2"/>
  <c r="AP173" i="2"/>
  <c r="IE173" i="2"/>
  <c r="AM171" i="2"/>
  <c r="AT171" i="2"/>
  <c r="AP171" i="2"/>
  <c r="AS171" i="2"/>
  <c r="IE171" i="2"/>
  <c r="AM167" i="2"/>
  <c r="AT167" i="2"/>
  <c r="AP167" i="2"/>
  <c r="AS167" i="2"/>
  <c r="IE167" i="2"/>
  <c r="AM165" i="2"/>
  <c r="AT165" i="2"/>
  <c r="AS165" i="2"/>
  <c r="AP165" i="2"/>
  <c r="IE165" i="2"/>
  <c r="AM163" i="2"/>
  <c r="AT163" i="2"/>
  <c r="AP163" i="2"/>
  <c r="AS163" i="2"/>
  <c r="IE163" i="2"/>
  <c r="AM159" i="2"/>
  <c r="AT159" i="2"/>
  <c r="AP159" i="2"/>
  <c r="AS159" i="2"/>
  <c r="IE159" i="2"/>
  <c r="AM157" i="2"/>
  <c r="AT157" i="2"/>
  <c r="AS157" i="2"/>
  <c r="AP157" i="2"/>
  <c r="IE157" i="2"/>
  <c r="AM155" i="2"/>
  <c r="AT155" i="2"/>
  <c r="AP155" i="2"/>
  <c r="AS155" i="2"/>
  <c r="IE155" i="2"/>
  <c r="AM151" i="2"/>
  <c r="AT151" i="2"/>
  <c r="AP151" i="2"/>
  <c r="AS151" i="2"/>
  <c r="IE151" i="2"/>
  <c r="AM149" i="2"/>
  <c r="AT149" i="2"/>
  <c r="AS149" i="2"/>
  <c r="AP149" i="2"/>
  <c r="IE149" i="2"/>
  <c r="AM147" i="2"/>
  <c r="AT147" i="2"/>
  <c r="AP147" i="2"/>
  <c r="AS147" i="2"/>
  <c r="IE147" i="2"/>
  <c r="AM143" i="2"/>
  <c r="AT143" i="2"/>
  <c r="AP143" i="2"/>
  <c r="AS143" i="2"/>
  <c r="IE143" i="2"/>
  <c r="AM141" i="2"/>
  <c r="AT141" i="2"/>
  <c r="AS141" i="2"/>
  <c r="AP141" i="2"/>
  <c r="IE141" i="2"/>
  <c r="AM139" i="2"/>
  <c r="AT139" i="2"/>
  <c r="AP139" i="2"/>
  <c r="AS139" i="2"/>
  <c r="IE139" i="2"/>
  <c r="AM135" i="2"/>
  <c r="AT135" i="2"/>
  <c r="AP135" i="2"/>
  <c r="AS135" i="2"/>
  <c r="IE135" i="2"/>
  <c r="AM133" i="2"/>
  <c r="AT133" i="2"/>
  <c r="AS133" i="2"/>
  <c r="AP133" i="2"/>
  <c r="IE133" i="2"/>
  <c r="AM131" i="2"/>
  <c r="AT131" i="2"/>
  <c r="AP131" i="2"/>
  <c r="AS131" i="2"/>
  <c r="IE131" i="2"/>
  <c r="AM127" i="2"/>
  <c r="AT127" i="2"/>
  <c r="AP127" i="2"/>
  <c r="AS127" i="2"/>
  <c r="IE127" i="2"/>
  <c r="AM125" i="2"/>
  <c r="AT125" i="2"/>
  <c r="AS125" i="2"/>
  <c r="AP125" i="2"/>
  <c r="IE125" i="2"/>
  <c r="AM123" i="2"/>
  <c r="AT123" i="2"/>
  <c r="AP123" i="2"/>
  <c r="AS123" i="2"/>
  <c r="IE123" i="2"/>
  <c r="AM119" i="2"/>
  <c r="AT119" i="2"/>
  <c r="AP119" i="2"/>
  <c r="AS119" i="2"/>
  <c r="IE119" i="2"/>
  <c r="AM117" i="2"/>
  <c r="AT117" i="2"/>
  <c r="AP117" i="2"/>
  <c r="AS117" i="2"/>
  <c r="IE117" i="2"/>
  <c r="AM115" i="2"/>
  <c r="AT115" i="2"/>
  <c r="AP115" i="2"/>
  <c r="AS115" i="2"/>
  <c r="IE115" i="2"/>
  <c r="AM111" i="2"/>
  <c r="AT111" i="2"/>
  <c r="AP111" i="2"/>
  <c r="AS111" i="2"/>
  <c r="IE111" i="2"/>
  <c r="AM109" i="2"/>
  <c r="AT109" i="2"/>
  <c r="AP109" i="2"/>
  <c r="AS109" i="2"/>
  <c r="IE109" i="2"/>
  <c r="AM107" i="2"/>
  <c r="AT107" i="2"/>
  <c r="AP107" i="2"/>
  <c r="AS107" i="2"/>
  <c r="IE107" i="2"/>
  <c r="AM103" i="2"/>
  <c r="AT103" i="2"/>
  <c r="AP103" i="2"/>
  <c r="AS103" i="2"/>
  <c r="IE103" i="2"/>
  <c r="AM101" i="2"/>
  <c r="AT101" i="2"/>
  <c r="AP101" i="2"/>
  <c r="AS101" i="2"/>
  <c r="IE101" i="2"/>
  <c r="AM99" i="2"/>
  <c r="AT99" i="2"/>
  <c r="AP99" i="2"/>
  <c r="AS99" i="2"/>
  <c r="IE99" i="2"/>
  <c r="AM95" i="2"/>
  <c r="AT95" i="2"/>
  <c r="AP95" i="2"/>
  <c r="AS95" i="2"/>
  <c r="IE95" i="2"/>
  <c r="AM93" i="2"/>
  <c r="AT93" i="2"/>
  <c r="AP93" i="2"/>
  <c r="AS93" i="2"/>
  <c r="IE93" i="2"/>
  <c r="AM91" i="2"/>
  <c r="AT91" i="2"/>
  <c r="AP91" i="2"/>
  <c r="AS91" i="2"/>
  <c r="IE91" i="2"/>
  <c r="AM87" i="2"/>
  <c r="AT87" i="2"/>
  <c r="AP87" i="2"/>
  <c r="AS87" i="2"/>
  <c r="IE87" i="2"/>
  <c r="AM85" i="2"/>
  <c r="AT85" i="2"/>
  <c r="AP85" i="2"/>
  <c r="AS85" i="2"/>
  <c r="IE85" i="2"/>
  <c r="AM83" i="2"/>
  <c r="AT83" i="2"/>
  <c r="AP83" i="2"/>
  <c r="AS83" i="2"/>
  <c r="IE83" i="2"/>
  <c r="AM79" i="2"/>
  <c r="AT79" i="2"/>
  <c r="AP79" i="2"/>
  <c r="AS79" i="2"/>
  <c r="IE79" i="2"/>
  <c r="AM77" i="2"/>
  <c r="AT77" i="2"/>
  <c r="AP77" i="2"/>
  <c r="AS77" i="2"/>
  <c r="IE77" i="2"/>
  <c r="AM75" i="2"/>
  <c r="AT75" i="2"/>
  <c r="AP75" i="2"/>
  <c r="AS75" i="2"/>
  <c r="IE75" i="2"/>
  <c r="AM71" i="2"/>
  <c r="AT71" i="2"/>
  <c r="AP71" i="2"/>
  <c r="AS71" i="2"/>
  <c r="IE71" i="2"/>
  <c r="AM69" i="2"/>
  <c r="AT69" i="2"/>
  <c r="AP69" i="2"/>
  <c r="AS69" i="2"/>
  <c r="IE69" i="2"/>
  <c r="AM67" i="2"/>
  <c r="AT67" i="2"/>
  <c r="AP67" i="2"/>
  <c r="AS67" i="2"/>
  <c r="IE67" i="2"/>
  <c r="AM63" i="2"/>
  <c r="AT63" i="2"/>
  <c r="AP63" i="2"/>
  <c r="AS63" i="2"/>
  <c r="IE63" i="2"/>
  <c r="AM61" i="2"/>
  <c r="AT61" i="2"/>
  <c r="AP61" i="2"/>
  <c r="AS61" i="2"/>
  <c r="IE61" i="2"/>
  <c r="AM59" i="2"/>
  <c r="AP59" i="2"/>
  <c r="AT59" i="2"/>
  <c r="AS59" i="2"/>
  <c r="IE59" i="2"/>
  <c r="AM55" i="2"/>
  <c r="AP55" i="2"/>
  <c r="AT55" i="2"/>
  <c r="AS55" i="2"/>
  <c r="IE55" i="2"/>
  <c r="AM53" i="2"/>
  <c r="AP53" i="2"/>
  <c r="AT53" i="2"/>
  <c r="AS53" i="2"/>
  <c r="IE53" i="2"/>
  <c r="AM51" i="2"/>
  <c r="AP51" i="2"/>
  <c r="AT51" i="2"/>
  <c r="AS51" i="2"/>
  <c r="IE51" i="2"/>
  <c r="AM47" i="2"/>
  <c r="AP47" i="2"/>
  <c r="AT47" i="2"/>
  <c r="AS47" i="2"/>
  <c r="IE47" i="2"/>
  <c r="AM45" i="2"/>
  <c r="AP45" i="2"/>
  <c r="AT45" i="2"/>
  <c r="AS45" i="2"/>
  <c r="IE45" i="2"/>
  <c r="AP43" i="2"/>
  <c r="AP39" i="2"/>
  <c r="AM37" i="2"/>
  <c r="V37" i="8" s="1"/>
  <c r="AM35" i="2"/>
  <c r="AM31" i="2"/>
  <c r="BE31" i="8" s="1"/>
  <c r="AM29" i="2"/>
  <c r="AG29" i="8" s="1"/>
  <c r="AM19" i="2"/>
  <c r="D19" i="8" s="1"/>
  <c r="AM13" i="2"/>
  <c r="CZ13" i="2" s="1"/>
  <c r="AM11" i="2"/>
  <c r="D11" i="8" s="1"/>
  <c r="AM43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FZ195" i="2"/>
  <c r="V195" i="8"/>
  <c r="AG195" i="8"/>
  <c r="AH195" i="8"/>
  <c r="AI195" i="8"/>
  <c r="IC195" i="2"/>
  <c r="ID195" i="2"/>
  <c r="AC195" i="2"/>
  <c r="GD195" i="2"/>
  <c r="CH195" i="2"/>
  <c r="AD195" i="2"/>
  <c r="CE195" i="2"/>
  <c r="CF195" i="2"/>
  <c r="W195" i="2"/>
  <c r="X195" i="2"/>
  <c r="Q195" i="2"/>
  <c r="GE195" i="2"/>
  <c r="AE195" i="2"/>
  <c r="R195" i="2"/>
  <c r="L195" i="2"/>
  <c r="FB195" i="2"/>
  <c r="FC195" i="2"/>
  <c r="DM195" i="2"/>
  <c r="DN195" i="2"/>
  <c r="CZ195" i="2"/>
  <c r="DA195" i="2"/>
  <c r="AN195" i="2"/>
  <c r="AJ195" i="2"/>
  <c r="AK195" i="2" s="1"/>
  <c r="JA195" i="2"/>
  <c r="IO195" i="2"/>
  <c r="D195" i="8"/>
  <c r="AT195" i="8"/>
  <c r="BF195" i="8"/>
  <c r="IX195" i="2" s="1"/>
  <c r="BE195" i="8"/>
  <c r="HT195" i="2"/>
  <c r="HU195" i="2"/>
  <c r="HP195" i="2"/>
  <c r="HL195" i="2"/>
  <c r="CQ195" i="2"/>
  <c r="BG195" i="2"/>
  <c r="IN195" i="2"/>
  <c r="HQ195" i="2"/>
  <c r="HM195" i="2"/>
  <c r="IZ195" i="2"/>
  <c r="HR195" i="2"/>
  <c r="HS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FZ187" i="2"/>
  <c r="V187" i="8"/>
  <c r="AG187" i="8"/>
  <c r="AH187" i="8"/>
  <c r="AI187" i="8"/>
  <c r="IC187" i="2"/>
  <c r="ID187" i="2"/>
  <c r="CH187" i="2"/>
  <c r="AC187" i="2"/>
  <c r="GD187" i="2"/>
  <c r="CE187" i="2"/>
  <c r="AD187" i="2"/>
  <c r="CF187" i="2"/>
  <c r="GE187" i="2"/>
  <c r="W187" i="2"/>
  <c r="AE187" i="2"/>
  <c r="X187" i="2"/>
  <c r="Q187" i="2"/>
  <c r="R187" i="2"/>
  <c r="L187" i="2"/>
  <c r="FB187" i="2"/>
  <c r="FC187" i="2"/>
  <c r="DM187" i="2"/>
  <c r="DN187" i="2"/>
  <c r="CZ187" i="2"/>
  <c r="DA187" i="2"/>
  <c r="AN187" i="2"/>
  <c r="AJ187" i="2"/>
  <c r="AK187" i="2" s="1"/>
  <c r="JA187" i="2"/>
  <c r="IO187" i="2"/>
  <c r="D187" i="8"/>
  <c r="AT187" i="8"/>
  <c r="BF187" i="8"/>
  <c r="IX187" i="2" s="1"/>
  <c r="BE187" i="8"/>
  <c r="HT187" i="2"/>
  <c r="HU187" i="2"/>
  <c r="HP187" i="2"/>
  <c r="HL187" i="2"/>
  <c r="CQ187" i="2"/>
  <c r="BG187" i="2"/>
  <c r="IN187" i="2"/>
  <c r="HQ187" i="2"/>
  <c r="HM187" i="2"/>
  <c r="IZ187" i="2"/>
  <c r="HR187" i="2"/>
  <c r="HS187" i="2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9" i="2"/>
  <c r="V179" i="8"/>
  <c r="AG179" i="8"/>
  <c r="AH179" i="8"/>
  <c r="AI179" i="8"/>
  <c r="IC179" i="2"/>
  <c r="ID179" i="2"/>
  <c r="CE179" i="2"/>
  <c r="AC179" i="2"/>
  <c r="GD179" i="2"/>
  <c r="CF179" i="2"/>
  <c r="AD179" i="2"/>
  <c r="CH179" i="2"/>
  <c r="W179" i="2"/>
  <c r="AE179" i="2"/>
  <c r="X179" i="2"/>
  <c r="Q179" i="2"/>
  <c r="R179" i="2"/>
  <c r="L179" i="2"/>
  <c r="GE179" i="2"/>
  <c r="FB179" i="2"/>
  <c r="FC179" i="2"/>
  <c r="DM179" i="2"/>
  <c r="DN179" i="2"/>
  <c r="CZ179" i="2"/>
  <c r="DA179" i="2"/>
  <c r="AN179" i="2"/>
  <c r="AJ179" i="2"/>
  <c r="AK179" i="2" s="1"/>
  <c r="JA179" i="2"/>
  <c r="IO179" i="2"/>
  <c r="D179" i="8"/>
  <c r="AT179" i="8"/>
  <c r="BF179" i="8"/>
  <c r="IX179" i="2" s="1"/>
  <c r="BE179" i="8"/>
  <c r="HT179" i="2"/>
  <c r="HU179" i="2"/>
  <c r="HP179" i="2"/>
  <c r="HL179" i="2"/>
  <c r="CQ179" i="2"/>
  <c r="BG179" i="2"/>
  <c r="IN179" i="2"/>
  <c r="HQ179" i="2"/>
  <c r="HM179" i="2"/>
  <c r="IZ179" i="2"/>
  <c r="HR179" i="2"/>
  <c r="HS179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FZ171" i="2"/>
  <c r="V171" i="8"/>
  <c r="AG171" i="8"/>
  <c r="AH171" i="8"/>
  <c r="AI171" i="8"/>
  <c r="IC171" i="2"/>
  <c r="ID171" i="2"/>
  <c r="CE171" i="2"/>
  <c r="AC171" i="2"/>
  <c r="GD171" i="2"/>
  <c r="CF171" i="2"/>
  <c r="AD171" i="2"/>
  <c r="CH171" i="2"/>
  <c r="GE171" i="2"/>
  <c r="W171" i="2"/>
  <c r="X171" i="2"/>
  <c r="Q171" i="2"/>
  <c r="R171" i="2"/>
  <c r="L171" i="2"/>
  <c r="AE171" i="2"/>
  <c r="FB171" i="2"/>
  <c r="FC171" i="2"/>
  <c r="AN171" i="2"/>
  <c r="DM171" i="2"/>
  <c r="DN171" i="2"/>
  <c r="CZ171" i="2"/>
  <c r="AJ171" i="2"/>
  <c r="AK171" i="2" s="1"/>
  <c r="DA171" i="2"/>
  <c r="JA171" i="2"/>
  <c r="IO171" i="2"/>
  <c r="D171" i="8"/>
  <c r="AT171" i="8"/>
  <c r="BF171" i="8"/>
  <c r="IX171" i="2" s="1"/>
  <c r="BE171" i="8"/>
  <c r="HT171" i="2"/>
  <c r="HU171" i="2"/>
  <c r="HP171" i="2"/>
  <c r="HL171" i="2"/>
  <c r="CQ171" i="2"/>
  <c r="BG171" i="2"/>
  <c r="IN171" i="2"/>
  <c r="HQ171" i="2"/>
  <c r="HM171" i="2"/>
  <c r="IZ171" i="2"/>
  <c r="HR171" i="2"/>
  <c r="HS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FZ163" i="2"/>
  <c r="V163" i="8"/>
  <c r="AG163" i="8"/>
  <c r="AH163" i="8"/>
  <c r="AI163" i="8"/>
  <c r="IC163" i="2"/>
  <c r="ID163" i="2"/>
  <c r="CE163" i="2"/>
  <c r="AC163" i="2"/>
  <c r="GD163" i="2"/>
  <c r="CF163" i="2"/>
  <c r="AD163" i="2"/>
  <c r="CH163" i="2"/>
  <c r="W163" i="2"/>
  <c r="Q163" i="2"/>
  <c r="GE163" i="2"/>
  <c r="R163" i="2"/>
  <c r="X163" i="2"/>
  <c r="AE163" i="2"/>
  <c r="L163" i="2"/>
  <c r="FB163" i="2"/>
  <c r="FC163" i="2"/>
  <c r="AN163" i="2"/>
  <c r="DM163" i="2"/>
  <c r="DN163" i="2"/>
  <c r="CZ163" i="2"/>
  <c r="AJ163" i="2"/>
  <c r="AK163" i="2" s="1"/>
  <c r="DA163" i="2"/>
  <c r="JA163" i="2"/>
  <c r="IO163" i="2"/>
  <c r="D163" i="8"/>
  <c r="AT163" i="8"/>
  <c r="BF163" i="8"/>
  <c r="IX163" i="2" s="1"/>
  <c r="BE163" i="8"/>
  <c r="HT163" i="2"/>
  <c r="HU163" i="2"/>
  <c r="HP163" i="2"/>
  <c r="HL163" i="2"/>
  <c r="CQ163" i="2"/>
  <c r="BG163" i="2"/>
  <c r="IN163" i="2"/>
  <c r="HQ163" i="2"/>
  <c r="HM163" i="2"/>
  <c r="IZ163" i="2"/>
  <c r="HR163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FZ155" i="2"/>
  <c r="V155" i="8"/>
  <c r="AG155" i="8"/>
  <c r="AH155" i="8"/>
  <c r="AI155" i="8"/>
  <c r="IC155" i="2"/>
  <c r="ID155" i="2"/>
  <c r="CE155" i="2"/>
  <c r="AC155" i="2"/>
  <c r="GD155" i="2"/>
  <c r="CF155" i="2"/>
  <c r="AD155" i="2"/>
  <c r="CH155" i="2"/>
  <c r="GE155" i="2"/>
  <c r="W155" i="2"/>
  <c r="Q155" i="2"/>
  <c r="AE155" i="2"/>
  <c r="X155" i="2"/>
  <c r="L155" i="2"/>
  <c r="R155" i="2"/>
  <c r="FB155" i="2"/>
  <c r="FC155" i="2"/>
  <c r="AN155" i="2"/>
  <c r="DM155" i="2"/>
  <c r="DN155" i="2"/>
  <c r="CZ155" i="2"/>
  <c r="AJ155" i="2"/>
  <c r="AK155" i="2" s="1"/>
  <c r="DA155" i="2"/>
  <c r="JA155" i="2"/>
  <c r="IO155" i="2"/>
  <c r="D155" i="8"/>
  <c r="AT155" i="8"/>
  <c r="BF155" i="8"/>
  <c r="IX155" i="2" s="1"/>
  <c r="BE155" i="8"/>
  <c r="HT155" i="2"/>
  <c r="HU155" i="2"/>
  <c r="HP155" i="2"/>
  <c r="HL155" i="2"/>
  <c r="CQ155" i="2"/>
  <c r="BG155" i="2"/>
  <c r="IN155" i="2"/>
  <c r="HQ155" i="2"/>
  <c r="HM155" i="2"/>
  <c r="IZ155" i="2"/>
  <c r="HR155" i="2"/>
  <c r="HS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FZ147" i="2"/>
  <c r="V147" i="8"/>
  <c r="AG147" i="8"/>
  <c r="AH147" i="8"/>
  <c r="AI147" i="8"/>
  <c r="IC147" i="2"/>
  <c r="ID147" i="2"/>
  <c r="CF147" i="2"/>
  <c r="AC147" i="2"/>
  <c r="GD147" i="2"/>
  <c r="AD147" i="2"/>
  <c r="CE147" i="2"/>
  <c r="CH147" i="2"/>
  <c r="W147" i="2"/>
  <c r="Q147" i="2"/>
  <c r="AE147" i="2"/>
  <c r="GE147" i="2"/>
  <c r="X147" i="2"/>
  <c r="L147" i="2"/>
  <c r="R147" i="2"/>
  <c r="FB147" i="2"/>
  <c r="FC147" i="2"/>
  <c r="AN147" i="2"/>
  <c r="DM147" i="2"/>
  <c r="DN147" i="2"/>
  <c r="CZ147" i="2"/>
  <c r="AJ147" i="2"/>
  <c r="AK147" i="2" s="1"/>
  <c r="DA147" i="2"/>
  <c r="JA147" i="2"/>
  <c r="IO147" i="2"/>
  <c r="D147" i="8"/>
  <c r="AT147" i="8"/>
  <c r="BF147" i="8"/>
  <c r="IX147" i="2" s="1"/>
  <c r="BE147" i="8"/>
  <c r="HT147" i="2"/>
  <c r="HU147" i="2"/>
  <c r="HP147" i="2"/>
  <c r="HL147" i="2"/>
  <c r="CQ147" i="2"/>
  <c r="BG147" i="2"/>
  <c r="IN147" i="2"/>
  <c r="HQ147" i="2"/>
  <c r="HM147" i="2"/>
  <c r="IZ147" i="2"/>
  <c r="HR147" i="2"/>
  <c r="HS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FZ139" i="2"/>
  <c r="V139" i="8"/>
  <c r="AG139" i="8"/>
  <c r="AH139" i="8"/>
  <c r="AI139" i="8"/>
  <c r="IC139" i="2"/>
  <c r="ID139" i="2"/>
  <c r="CF139" i="2"/>
  <c r="AC139" i="2"/>
  <c r="GD139" i="2"/>
  <c r="AD139" i="2"/>
  <c r="CE139" i="2"/>
  <c r="CH139" i="2"/>
  <c r="GE139" i="2"/>
  <c r="W139" i="2"/>
  <c r="Q139" i="2"/>
  <c r="X139" i="2"/>
  <c r="L139" i="2"/>
  <c r="AE139" i="2"/>
  <c r="R139" i="2"/>
  <c r="FB139" i="2"/>
  <c r="FC139" i="2"/>
  <c r="AN139" i="2"/>
  <c r="DM139" i="2"/>
  <c r="DN139" i="2"/>
  <c r="CZ139" i="2"/>
  <c r="AJ139" i="2"/>
  <c r="AK139" i="2" s="1"/>
  <c r="DA139" i="2"/>
  <c r="JA139" i="2"/>
  <c r="IO139" i="2"/>
  <c r="D139" i="8"/>
  <c r="AT139" i="8"/>
  <c r="BF139" i="8"/>
  <c r="IX139" i="2" s="1"/>
  <c r="BE139" i="8"/>
  <c r="HT139" i="2"/>
  <c r="HU139" i="2"/>
  <c r="HP139" i="2"/>
  <c r="HL139" i="2"/>
  <c r="CQ139" i="2"/>
  <c r="BG139" i="2"/>
  <c r="IN139" i="2"/>
  <c r="HQ139" i="2"/>
  <c r="HM139" i="2"/>
  <c r="IZ139" i="2"/>
  <c r="HR139" i="2"/>
  <c r="HS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FZ131" i="2"/>
  <c r="V131" i="8"/>
  <c r="AG131" i="8"/>
  <c r="AH131" i="8"/>
  <c r="AI131" i="8"/>
  <c r="IC131" i="2"/>
  <c r="ID131" i="2"/>
  <c r="CF131" i="2"/>
  <c r="AC131" i="2"/>
  <c r="GD131" i="2"/>
  <c r="AD131" i="2"/>
  <c r="CE131" i="2"/>
  <c r="CH131" i="2"/>
  <c r="W131" i="2"/>
  <c r="Q131" i="2"/>
  <c r="X131" i="2"/>
  <c r="GE131" i="2"/>
  <c r="AE131" i="2"/>
  <c r="L131" i="2"/>
  <c r="R131" i="2"/>
  <c r="FB131" i="2"/>
  <c r="FC131" i="2"/>
  <c r="AN131" i="2"/>
  <c r="DM131" i="2"/>
  <c r="DN131" i="2"/>
  <c r="CZ131" i="2"/>
  <c r="AJ131" i="2"/>
  <c r="AK131" i="2" s="1"/>
  <c r="DA131" i="2"/>
  <c r="JA131" i="2"/>
  <c r="IO131" i="2"/>
  <c r="D131" i="8"/>
  <c r="AT131" i="8"/>
  <c r="BF131" i="8"/>
  <c r="IX131" i="2" s="1"/>
  <c r="BE131" i="8"/>
  <c r="HT131" i="2"/>
  <c r="HU131" i="2"/>
  <c r="HP131" i="2"/>
  <c r="HL131" i="2"/>
  <c r="CQ131" i="2"/>
  <c r="BG131" i="2"/>
  <c r="IN131" i="2"/>
  <c r="HQ131" i="2"/>
  <c r="HM131" i="2"/>
  <c r="IZ131" i="2"/>
  <c r="HR131" i="2"/>
  <c r="HS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FZ123" i="2"/>
  <c r="V123" i="8"/>
  <c r="AG123" i="8"/>
  <c r="AH123" i="8"/>
  <c r="AI123" i="8"/>
  <c r="IC123" i="2"/>
  <c r="ID123" i="2"/>
  <c r="GD123" i="2"/>
  <c r="GE123" i="2"/>
  <c r="AC123" i="2"/>
  <c r="CH123" i="2"/>
  <c r="AD123" i="2"/>
  <c r="CF123" i="2"/>
  <c r="CE123" i="2"/>
  <c r="W123" i="2"/>
  <c r="Q123" i="2"/>
  <c r="AE123" i="2"/>
  <c r="X123" i="2"/>
  <c r="L123" i="2"/>
  <c r="R123" i="2"/>
  <c r="FB123" i="2"/>
  <c r="DM123" i="2"/>
  <c r="FC123" i="2"/>
  <c r="DN123" i="2"/>
  <c r="AN123" i="2"/>
  <c r="CZ123" i="2"/>
  <c r="AJ123" i="2"/>
  <c r="AK123" i="2" s="1"/>
  <c r="DA123" i="2"/>
  <c r="JA123" i="2"/>
  <c r="IO123" i="2"/>
  <c r="D123" i="8"/>
  <c r="AT123" i="8"/>
  <c r="BF123" i="8"/>
  <c r="IX123" i="2" s="1"/>
  <c r="BE123" i="8"/>
  <c r="HT123" i="2"/>
  <c r="HU123" i="2"/>
  <c r="HP123" i="2"/>
  <c r="HL123" i="2"/>
  <c r="CQ123" i="2"/>
  <c r="BG123" i="2"/>
  <c r="IN123" i="2"/>
  <c r="HQ123" i="2"/>
  <c r="HM123" i="2"/>
  <c r="IZ123" i="2"/>
  <c r="HR123" i="2"/>
  <c r="HS123" i="2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5" i="2"/>
  <c r="CZ115" i="2"/>
  <c r="DA111" i="2"/>
  <c r="CZ111" i="2"/>
  <c r="DA107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FZ99" i="2"/>
  <c r="AI99" i="8"/>
  <c r="AG99" i="8"/>
  <c r="V99" i="8"/>
  <c r="AH99" i="8"/>
  <c r="IC99" i="2"/>
  <c r="ID99" i="2"/>
  <c r="CE99" i="2"/>
  <c r="AD99" i="2"/>
  <c r="X99" i="2"/>
  <c r="CF99" i="2"/>
  <c r="AE99" i="2"/>
  <c r="GD99" i="2"/>
  <c r="CH99" i="2"/>
  <c r="GE99" i="2"/>
  <c r="W99" i="2"/>
  <c r="AC99" i="2"/>
  <c r="Q99" i="2"/>
  <c r="L99" i="2"/>
  <c r="R99" i="2"/>
  <c r="FB99" i="2"/>
  <c r="FC99" i="2"/>
  <c r="DM99" i="2"/>
  <c r="DN99" i="2"/>
  <c r="CZ99" i="2"/>
  <c r="AJ99" i="2"/>
  <c r="AK99" i="2" s="1"/>
  <c r="DA99" i="2"/>
  <c r="AN99" i="2"/>
  <c r="JA99" i="2"/>
  <c r="IO99" i="2"/>
  <c r="D99" i="8"/>
  <c r="AT99" i="8"/>
  <c r="BF99" i="8"/>
  <c r="IX99" i="2" s="1"/>
  <c r="BE99" i="8"/>
  <c r="HT99" i="2"/>
  <c r="HU99" i="2"/>
  <c r="HP99" i="2"/>
  <c r="IZ99" i="2"/>
  <c r="HQ99" i="2"/>
  <c r="BG99" i="2"/>
  <c r="IN99" i="2"/>
  <c r="HR99" i="2"/>
  <c r="HL99" i="2"/>
  <c r="HS99" i="2"/>
  <c r="HM99" i="2"/>
  <c r="CQ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FZ91" i="2"/>
  <c r="AI91" i="8"/>
  <c r="AG91" i="8"/>
  <c r="V91" i="8"/>
  <c r="AH91" i="8"/>
  <c r="IC91" i="2"/>
  <c r="ID91" i="2"/>
  <c r="CE91" i="2"/>
  <c r="AD91" i="2"/>
  <c r="X91" i="2"/>
  <c r="CF91" i="2"/>
  <c r="AE91" i="2"/>
  <c r="GD91" i="2"/>
  <c r="GE91" i="2"/>
  <c r="CH91" i="2"/>
  <c r="W91" i="2"/>
  <c r="AC91" i="2"/>
  <c r="Q91" i="2"/>
  <c r="L91" i="2"/>
  <c r="R91" i="2"/>
  <c r="FB91" i="2"/>
  <c r="DM91" i="2"/>
  <c r="FC91" i="2"/>
  <c r="DN91" i="2"/>
  <c r="CZ91" i="2"/>
  <c r="AJ91" i="2"/>
  <c r="AK91" i="2" s="1"/>
  <c r="DA91" i="2"/>
  <c r="AN91" i="2"/>
  <c r="JA91" i="2"/>
  <c r="IO91" i="2"/>
  <c r="D91" i="8"/>
  <c r="AT91" i="8"/>
  <c r="BF91" i="8"/>
  <c r="IX91" i="2" s="1"/>
  <c r="BE91" i="8"/>
  <c r="HT91" i="2"/>
  <c r="HU91" i="2"/>
  <c r="HP91" i="2"/>
  <c r="IZ91" i="2"/>
  <c r="HQ91" i="2"/>
  <c r="BG91" i="2"/>
  <c r="IN91" i="2"/>
  <c r="HR91" i="2"/>
  <c r="HL91" i="2"/>
  <c r="HS91" i="2"/>
  <c r="HM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FZ83" i="2"/>
  <c r="AI83" i="8"/>
  <c r="AG83" i="8"/>
  <c r="V83" i="8"/>
  <c r="AH83" i="8"/>
  <c r="IC83" i="2"/>
  <c r="ID83" i="2"/>
  <c r="CF83" i="2"/>
  <c r="AD83" i="2"/>
  <c r="X83" i="2"/>
  <c r="AE83" i="2"/>
  <c r="GD83" i="2"/>
  <c r="CE83" i="2"/>
  <c r="W83" i="2"/>
  <c r="GE83" i="2"/>
  <c r="AC83" i="2"/>
  <c r="Q83" i="2"/>
  <c r="CH83" i="2"/>
  <c r="L83" i="2"/>
  <c r="R83" i="2"/>
  <c r="FB83" i="2"/>
  <c r="FC83" i="2"/>
  <c r="DM83" i="2"/>
  <c r="DN83" i="2"/>
  <c r="CZ83" i="2"/>
  <c r="AJ83" i="2"/>
  <c r="AK83" i="2" s="1"/>
  <c r="DA83" i="2"/>
  <c r="AN83" i="2"/>
  <c r="JA83" i="2"/>
  <c r="IO83" i="2"/>
  <c r="D83" i="8"/>
  <c r="AT83" i="8"/>
  <c r="BF83" i="8"/>
  <c r="IX83" i="2" s="1"/>
  <c r="BE83" i="8"/>
  <c r="HT83" i="2"/>
  <c r="HU83" i="2"/>
  <c r="HP83" i="2"/>
  <c r="IZ83" i="2"/>
  <c r="HQ83" i="2"/>
  <c r="BG83" i="2"/>
  <c r="IN83" i="2"/>
  <c r="HR83" i="2"/>
  <c r="HL83" i="2"/>
  <c r="HS83" i="2"/>
  <c r="HM83" i="2"/>
  <c r="CQ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FZ75" i="2"/>
  <c r="AI75" i="8"/>
  <c r="AG75" i="8"/>
  <c r="V75" i="8"/>
  <c r="AH75" i="8"/>
  <c r="IC75" i="2"/>
  <c r="ID75" i="2"/>
  <c r="CF75" i="2"/>
  <c r="AD75" i="2"/>
  <c r="X75" i="2"/>
  <c r="AE75" i="2"/>
  <c r="GD75" i="2"/>
  <c r="GE75" i="2"/>
  <c r="CE75" i="2"/>
  <c r="W75" i="2"/>
  <c r="CH75" i="2"/>
  <c r="AC75" i="2"/>
  <c r="Q75" i="2"/>
  <c r="L75" i="2"/>
  <c r="R75" i="2"/>
  <c r="FB75" i="2"/>
  <c r="DM75" i="2"/>
  <c r="FC75" i="2"/>
  <c r="DN75" i="2"/>
  <c r="CZ75" i="2"/>
  <c r="AJ75" i="2"/>
  <c r="AK75" i="2" s="1"/>
  <c r="DA75" i="2"/>
  <c r="AN75" i="2"/>
  <c r="JA75" i="2"/>
  <c r="IO75" i="2"/>
  <c r="D75" i="8"/>
  <c r="AT75" i="8"/>
  <c r="BF75" i="8"/>
  <c r="IX75" i="2" s="1"/>
  <c r="BE75" i="8"/>
  <c r="HT75" i="2"/>
  <c r="HU75" i="2"/>
  <c r="HP75" i="2"/>
  <c r="IZ75" i="2"/>
  <c r="HQ75" i="2"/>
  <c r="BG75" i="2"/>
  <c r="IN75" i="2"/>
  <c r="HR75" i="2"/>
  <c r="HL75" i="2"/>
  <c r="HS75" i="2"/>
  <c r="HM75" i="2"/>
  <c r="CQ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FZ67" i="2"/>
  <c r="AI67" i="8"/>
  <c r="AG67" i="8"/>
  <c r="V67" i="8"/>
  <c r="AH67" i="8"/>
  <c r="IC67" i="2"/>
  <c r="ID67" i="2"/>
  <c r="AD67" i="2"/>
  <c r="X67" i="2"/>
  <c r="CH67" i="2"/>
  <c r="AE67" i="2"/>
  <c r="GD67" i="2"/>
  <c r="GE67" i="2"/>
  <c r="CE67" i="2"/>
  <c r="CF67" i="2"/>
  <c r="W67" i="2"/>
  <c r="AC67" i="2"/>
  <c r="Q67" i="2"/>
  <c r="L67" i="2"/>
  <c r="R67" i="2"/>
  <c r="FB67" i="2"/>
  <c r="FC67" i="2"/>
  <c r="DM67" i="2"/>
  <c r="DN67" i="2"/>
  <c r="CZ67" i="2"/>
  <c r="AJ67" i="2"/>
  <c r="AK67" i="2" s="1"/>
  <c r="DA67" i="2"/>
  <c r="AN67" i="2"/>
  <c r="JA67" i="2"/>
  <c r="IO67" i="2"/>
  <c r="D67" i="8"/>
  <c r="AT67" i="8"/>
  <c r="BF67" i="8"/>
  <c r="IX67" i="2" s="1"/>
  <c r="BE67" i="8"/>
  <c r="HT67" i="2"/>
  <c r="HU67" i="2"/>
  <c r="HP67" i="2"/>
  <c r="IZ67" i="2"/>
  <c r="HQ67" i="2"/>
  <c r="BG67" i="2"/>
  <c r="IN67" i="2"/>
  <c r="HR67" i="2"/>
  <c r="HL67" i="2"/>
  <c r="HS67" i="2"/>
  <c r="HM67" i="2"/>
  <c r="CQ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FZ59" i="2"/>
  <c r="AI59" i="8"/>
  <c r="AG59" i="8"/>
  <c r="V59" i="8"/>
  <c r="AH59" i="8"/>
  <c r="IC59" i="2"/>
  <c r="ID59" i="2"/>
  <c r="AD59" i="2"/>
  <c r="X59" i="2"/>
  <c r="CH59" i="2"/>
  <c r="AE59" i="2"/>
  <c r="GD59" i="2"/>
  <c r="CE59" i="2"/>
  <c r="GE59" i="2"/>
  <c r="CF59" i="2"/>
  <c r="W59" i="2"/>
  <c r="AC59" i="2"/>
  <c r="Q59" i="2"/>
  <c r="L59" i="2"/>
  <c r="R59" i="2"/>
  <c r="FB59" i="2"/>
  <c r="DM59" i="2"/>
  <c r="FC59" i="2"/>
  <c r="DN59" i="2"/>
  <c r="CZ59" i="2"/>
  <c r="AJ59" i="2"/>
  <c r="AK59" i="2" s="1"/>
  <c r="DA59" i="2"/>
  <c r="AN59" i="2"/>
  <c r="JA59" i="2"/>
  <c r="IO59" i="2"/>
  <c r="D59" i="8"/>
  <c r="AT59" i="8"/>
  <c r="BF59" i="8"/>
  <c r="IX59" i="2" s="1"/>
  <c r="BE59" i="8"/>
  <c r="HT59" i="2"/>
  <c r="HU59" i="2"/>
  <c r="HP59" i="2"/>
  <c r="IZ59" i="2"/>
  <c r="HQ59" i="2"/>
  <c r="BG59" i="2"/>
  <c r="IN59" i="2"/>
  <c r="HR59" i="2"/>
  <c r="HL59" i="2"/>
  <c r="HS59" i="2"/>
  <c r="HM59" i="2"/>
  <c r="CQ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5" i="10"/>
  <c r="D191" i="10"/>
  <c r="D187" i="10"/>
  <c r="D183" i="10"/>
  <c r="D179" i="10"/>
  <c r="D175" i="10"/>
  <c r="D171" i="10"/>
  <c r="D167" i="10"/>
  <c r="D163" i="10"/>
  <c r="D159" i="10"/>
  <c r="D155" i="10"/>
  <c r="D151" i="10"/>
  <c r="D147" i="10"/>
  <c r="D143" i="10"/>
  <c r="D139" i="10"/>
  <c r="D135" i="10"/>
  <c r="D131" i="10"/>
  <c r="D127" i="10"/>
  <c r="D123" i="10"/>
  <c r="D119" i="10"/>
  <c r="D100" i="10"/>
  <c r="D92" i="10"/>
  <c r="D84" i="10"/>
  <c r="D76" i="10"/>
  <c r="D68" i="10"/>
  <c r="D60" i="10"/>
  <c r="W198" i="2"/>
  <c r="HT194" i="2"/>
  <c r="CE190" i="2"/>
  <c r="CF190" i="2"/>
  <c r="AJ190" i="2"/>
  <c r="AK190" i="2" s="1"/>
  <c r="IO190" i="2"/>
  <c r="HL190" i="2"/>
  <c r="CQ190" i="2"/>
  <c r="CE186" i="2"/>
  <c r="AI182" i="8"/>
  <c r="W182" i="2"/>
  <c r="L182" i="2"/>
  <c r="D182" i="8"/>
  <c r="BE182" i="8"/>
  <c r="AG174" i="8"/>
  <c r="IC174" i="2"/>
  <c r="CE174" i="2"/>
  <c r="AC174" i="2"/>
  <c r="FC174" i="2"/>
  <c r="CZ174" i="2"/>
  <c r="IO174" i="2"/>
  <c r="AT174" i="8"/>
  <c r="IZ174" i="2"/>
  <c r="BG174" i="2"/>
  <c r="CQ174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CF154" i="2"/>
  <c r="JA154" i="2"/>
  <c r="HS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CE146" i="2"/>
  <c r="FC146" i="2"/>
  <c r="HM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CH138" i="2"/>
  <c r="DN138" i="2"/>
  <c r="IZ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AD130" i="2"/>
  <c r="DM130" i="2"/>
  <c r="BG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CE122" i="2"/>
  <c r="CZ122" i="2"/>
  <c r="BG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GD98" i="2"/>
  <c r="JA98" i="2"/>
  <c r="HP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W90" i="2"/>
  <c r="DA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AI82" i="8"/>
  <c r="FC82" i="2"/>
  <c r="HU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CE74" i="2"/>
  <c r="AT74" i="8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X66" i="2"/>
  <c r="AJ66" i="2"/>
  <c r="AK66" i="2" s="1"/>
  <c r="CQ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GE58" i="2"/>
  <c r="DN58" i="2"/>
  <c r="HL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AT137" i="8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IZ121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13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HP97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9" i="2"/>
  <c r="BE89" i="8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JA81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R73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W65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CE57" i="2"/>
  <c r="HR57" i="2"/>
  <c r="DA53" i="2"/>
  <c r="CZ53" i="2"/>
  <c r="D197" i="10"/>
  <c r="D189" i="10"/>
  <c r="D181" i="10"/>
  <c r="D173" i="10"/>
  <c r="D165" i="10"/>
  <c r="D157" i="10"/>
  <c r="D149" i="10"/>
  <c r="D141" i="10"/>
  <c r="D137" i="10"/>
  <c r="D133" i="10"/>
  <c r="D125" i="10"/>
  <c r="D117" i="10"/>
  <c r="D102" i="10"/>
  <c r="D94" i="10"/>
  <c r="D86" i="10"/>
  <c r="D78" i="10"/>
  <c r="D70" i="10"/>
  <c r="D62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2" i="10"/>
  <c r="D174" i="10"/>
  <c r="D170" i="10"/>
  <c r="D166" i="10"/>
  <c r="D158" i="10"/>
  <c r="D150" i="10"/>
  <c r="D142" i="10"/>
  <c r="D138" i="10"/>
  <c r="D134" i="10"/>
  <c r="D126" i="10"/>
  <c r="D118" i="10"/>
  <c r="D103" i="10"/>
  <c r="D99" i="10"/>
  <c r="D95" i="10"/>
  <c r="D91" i="10"/>
  <c r="D87" i="10"/>
  <c r="D83" i="10"/>
  <c r="D79" i="10"/>
  <c r="D75" i="10"/>
  <c r="D71" i="10"/>
  <c r="D67" i="10"/>
  <c r="D63" i="10"/>
  <c r="D59" i="10"/>
  <c r="D55" i="10"/>
  <c r="IC53" i="2"/>
  <c r="FB53" i="2"/>
  <c r="FB52" i="2"/>
  <c r="AI52" i="8"/>
  <c r="D53" i="10"/>
  <c r="FB109" i="2"/>
  <c r="FB108" i="2"/>
  <c r="FB115" i="2"/>
  <c r="FB111" i="2"/>
  <c r="FB107" i="2"/>
  <c r="FB110" i="2"/>
  <c r="AG110" i="8"/>
  <c r="V114" i="8"/>
  <c r="CZ108" i="2"/>
  <c r="V110" i="8"/>
  <c r="V115" i="8"/>
  <c r="V108" i="8"/>
  <c r="AG107" i="8"/>
  <c r="AG111" i="8"/>
  <c r="AI110" i="8"/>
  <c r="AH111" i="8"/>
  <c r="AH108" i="8"/>
  <c r="V107" i="8"/>
  <c r="V111" i="8"/>
  <c r="AG115" i="8"/>
  <c r="V52" i="8"/>
  <c r="AG53" i="8"/>
  <c r="V109" i="8"/>
  <c r="V53" i="8"/>
  <c r="AG109" i="8"/>
  <c r="AI107" i="8"/>
  <c r="AH52" i="8"/>
  <c r="AH107" i="8"/>
  <c r="AI115" i="8"/>
  <c r="AI53" i="8"/>
  <c r="AH114" i="8"/>
  <c r="ID109" i="2"/>
  <c r="AH109" i="8"/>
  <c r="ID115" i="2"/>
  <c r="AH115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AN106" i="2"/>
  <c r="ID107" i="2"/>
  <c r="IC115" i="2"/>
  <c r="X115" i="2"/>
  <c r="W115" i="2"/>
  <c r="AN115" i="2"/>
  <c r="CF115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AN114" i="2"/>
  <c r="IC107" i="2"/>
  <c r="X107" i="2"/>
  <c r="W107" i="2"/>
  <c r="AN107" i="2"/>
  <c r="CF107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7" i="8"/>
  <c r="AT107" i="8"/>
  <c r="D111" i="8"/>
  <c r="AT111" i="8"/>
  <c r="D115" i="8"/>
  <c r="AT115" i="8"/>
  <c r="BE110" i="8"/>
  <c r="D110" i="8"/>
  <c r="AT110" i="8"/>
  <c r="D108" i="8"/>
  <c r="AT108" i="8"/>
  <c r="AT105" i="8"/>
  <c r="BE107" i="8"/>
  <c r="BE111" i="8"/>
  <c r="BE114" i="8"/>
  <c r="BE115" i="8"/>
  <c r="BE109" i="8"/>
  <c r="BE113" i="8"/>
  <c r="BE108" i="8"/>
  <c r="D108" i="10"/>
  <c r="D110" i="10"/>
  <c r="D107" i="10"/>
  <c r="CQ108" i="2"/>
  <c r="D113" i="10"/>
  <c r="D111" i="10"/>
  <c r="D115" i="10"/>
  <c r="D109" i="10"/>
  <c r="CQ110" i="2"/>
  <c r="CQ106" i="2"/>
  <c r="CQ111" i="2"/>
  <c r="CQ113" i="2"/>
  <c r="CQ107" i="2"/>
  <c r="CQ115" i="2"/>
  <c r="CQ109" i="2"/>
  <c r="CE109" i="2"/>
  <c r="CE108" i="2"/>
  <c r="Q108" i="2"/>
  <c r="CH107" i="2"/>
  <c r="R107" i="2"/>
  <c r="CH108" i="2"/>
  <c r="R108" i="2"/>
  <c r="CH109" i="2"/>
  <c r="R109" i="2"/>
  <c r="CH115" i="2"/>
  <c r="R115" i="2"/>
  <c r="CH111" i="2"/>
  <c r="R111" i="2"/>
  <c r="L114" i="2"/>
  <c r="AC110" i="2"/>
  <c r="L110" i="2"/>
  <c r="AE110" i="2"/>
  <c r="AC108" i="2"/>
  <c r="L108" i="2"/>
  <c r="AE108" i="2"/>
  <c r="AE106" i="2"/>
  <c r="AE52" i="2"/>
  <c r="L52" i="2"/>
  <c r="AC52" i="2"/>
  <c r="CF52" i="2"/>
  <c r="CF110" i="2"/>
  <c r="CE115" i="2"/>
  <c r="AE115" i="2"/>
  <c r="L115" i="2"/>
  <c r="AC115" i="2"/>
  <c r="AC107" i="2"/>
  <c r="AE107" i="2"/>
  <c r="L107" i="2"/>
  <c r="AC53" i="2"/>
  <c r="L53" i="2"/>
  <c r="AE53" i="2"/>
  <c r="CE111" i="2"/>
  <c r="AC109" i="2"/>
  <c r="AE109" i="2"/>
  <c r="L109" i="2"/>
  <c r="AE111" i="2"/>
  <c r="L111" i="2"/>
  <c r="AC111" i="2"/>
  <c r="CE107" i="2"/>
  <c r="Q53" i="2"/>
  <c r="CH53" i="2"/>
  <c r="R53" i="2"/>
  <c r="BG111" i="2"/>
  <c r="BG109" i="2"/>
  <c r="BG108" i="2"/>
  <c r="GE111" i="2"/>
  <c r="Q111" i="2"/>
  <c r="AD53" i="2"/>
  <c r="AD107" i="2"/>
  <c r="CH110" i="2"/>
  <c r="R110" i="2"/>
  <c r="Q107" i="2"/>
  <c r="AD111" i="2"/>
  <c r="AD115" i="2"/>
  <c r="Q115" i="2"/>
  <c r="Q110" i="2"/>
  <c r="FC109" i="2"/>
  <c r="CH52" i="2"/>
  <c r="R52" i="2"/>
  <c r="AD52" i="2"/>
  <c r="AD108" i="2"/>
  <c r="AD110" i="2"/>
  <c r="GE109" i="2"/>
  <c r="AD109" i="2"/>
  <c r="GD109" i="2"/>
  <c r="Q109" i="2"/>
  <c r="BG52" i="2"/>
  <c r="BG53" i="2"/>
  <c r="GD111" i="2"/>
  <c r="FC108" i="2"/>
  <c r="BG107" i="2"/>
  <c r="BG110" i="2"/>
  <c r="BG115" i="2"/>
  <c r="BG114" i="2"/>
  <c r="Q52" i="2"/>
  <c r="GD108" i="2"/>
  <c r="GE115" i="2"/>
  <c r="GE52" i="2"/>
  <c r="FC53" i="2"/>
  <c r="FC111" i="2"/>
  <c r="GE110" i="2"/>
  <c r="GE53" i="2"/>
  <c r="GE107" i="2"/>
  <c r="GE108" i="2"/>
  <c r="FC52" i="2"/>
  <c r="GD52" i="2"/>
  <c r="GD53" i="2"/>
  <c r="GD115" i="2"/>
  <c r="GD107" i="2"/>
  <c r="GD110" i="2"/>
  <c r="FC107" i="2"/>
  <c r="FC115" i="2"/>
  <c r="FC110" i="2"/>
  <c r="DA18" i="2"/>
  <c r="DA14" i="2"/>
  <c r="DA20" i="2"/>
  <c r="FB19" i="2"/>
  <c r="DA19" i="2"/>
  <c r="DA15" i="2"/>
  <c r="FB20" i="2"/>
  <c r="FB15" i="2"/>
  <c r="FB18" i="2"/>
  <c r="D15" i="10"/>
  <c r="D19" i="10"/>
  <c r="D18" i="10"/>
  <c r="K5" i="5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IC43" i="2"/>
  <c r="AI39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CZ51" i="2"/>
  <c r="DA51" i="2"/>
  <c r="V51" i="8"/>
  <c r="AG51" i="8"/>
  <c r="CZ43" i="2"/>
  <c r="DA43" i="2"/>
  <c r="V43" i="8"/>
  <c r="AG43" i="8"/>
  <c r="CZ35" i="2"/>
  <c r="DA35" i="2"/>
  <c r="CZ31" i="2"/>
  <c r="DA31" i="2"/>
  <c r="AG31" i="8"/>
  <c r="CZ47" i="2"/>
  <c r="DA47" i="2"/>
  <c r="V47" i="8"/>
  <c r="CZ39" i="2"/>
  <c r="DA39" i="2"/>
  <c r="V39" i="8"/>
  <c r="AG39" i="8"/>
  <c r="AH43" i="8"/>
  <c r="DA50" i="2"/>
  <c r="DA46" i="2"/>
  <c r="CZ46" i="2"/>
  <c r="V46" i="8"/>
  <c r="V42" i="8"/>
  <c r="DA38" i="2"/>
  <c r="CZ38" i="2"/>
  <c r="DA30" i="2"/>
  <c r="CZ30" i="2"/>
  <c r="DA45" i="2"/>
  <c r="CZ45" i="2"/>
  <c r="AG45" i="8"/>
  <c r="V45" i="8"/>
  <c r="DA37" i="2"/>
  <c r="CZ37" i="2"/>
  <c r="DA29" i="2"/>
  <c r="CZ29" i="2"/>
  <c r="AJ110" i="2"/>
  <c r="AK110" i="2" s="1"/>
  <c r="AI43" i="8"/>
  <c r="ID51" i="2"/>
  <c r="AH51" i="8"/>
  <c r="AI51" i="8"/>
  <c r="AI38" i="8"/>
  <c r="AH47" i="8"/>
  <c r="AH46" i="8"/>
  <c r="AH45" i="8"/>
  <c r="AH44" i="8"/>
  <c r="AH42" i="8"/>
  <c r="AH39" i="8"/>
  <c r="AH38" i="8"/>
  <c r="IC51" i="2"/>
  <c r="W51" i="2"/>
  <c r="X51" i="2"/>
  <c r="AN51" i="2"/>
  <c r="CE51" i="2"/>
  <c r="X50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W43" i="2"/>
  <c r="AN43" i="2"/>
  <c r="CF43" i="2"/>
  <c r="IC42" i="2"/>
  <c r="AN42" i="2"/>
  <c r="W41" i="2"/>
  <c r="W39" i="2"/>
  <c r="AN39" i="2"/>
  <c r="CF39" i="2"/>
  <c r="IC38" i="2"/>
  <c r="X38" i="2"/>
  <c r="W38" i="2"/>
  <c r="AN38" i="2"/>
  <c r="CE38" i="2"/>
  <c r="ID47" i="2"/>
  <c r="CQ46" i="2"/>
  <c r="ID46" i="2"/>
  <c r="ID45" i="2"/>
  <c r="ID44" i="2"/>
  <c r="ID43" i="2"/>
  <c r="ID39" i="2"/>
  <c r="ID38" i="2"/>
  <c r="CQ47" i="2"/>
  <c r="CQ42" i="2"/>
  <c r="CQ51" i="2"/>
  <c r="CQ38" i="2"/>
  <c r="CQ44" i="2"/>
  <c r="CQ39" i="2"/>
  <c r="D44" i="8"/>
  <c r="AT44" i="8"/>
  <c r="BE44" i="8"/>
  <c r="FB44" i="2"/>
  <c r="D44" i="10"/>
  <c r="FB36" i="2"/>
  <c r="D36" i="10"/>
  <c r="FB29" i="2"/>
  <c r="D51" i="8"/>
  <c r="AT51" i="8"/>
  <c r="BE51" i="8"/>
  <c r="FB51" i="2"/>
  <c r="D51" i="10"/>
  <c r="D47" i="8"/>
  <c r="AT47" i="8"/>
  <c r="BE47" i="8"/>
  <c r="FB47" i="2"/>
  <c r="D47" i="10"/>
  <c r="D43" i="8"/>
  <c r="AT43" i="8"/>
  <c r="BE43" i="8"/>
  <c r="FB43" i="2"/>
  <c r="D43" i="10"/>
  <c r="D39" i="8"/>
  <c r="AT39" i="8"/>
  <c r="BE39" i="8"/>
  <c r="FB39" i="2"/>
  <c r="D39" i="10"/>
  <c r="FB35" i="2"/>
  <c r="D28" i="10"/>
  <c r="D50" i="8"/>
  <c r="FB50" i="2"/>
  <c r="D46" i="8"/>
  <c r="AT46" i="8"/>
  <c r="BE46" i="8"/>
  <c r="FB46" i="2"/>
  <c r="D46" i="10"/>
  <c r="AT42" i="8"/>
  <c r="D38" i="8"/>
  <c r="AT38" i="8"/>
  <c r="BE38" i="8"/>
  <c r="FB38" i="2"/>
  <c r="D38" i="10"/>
  <c r="FB31" i="2"/>
  <c r="FB45" i="2"/>
  <c r="FB37" i="2"/>
  <c r="FB30" i="2"/>
  <c r="D30" i="10"/>
  <c r="CQ45" i="2"/>
  <c r="GV17" i="2"/>
  <c r="HH1" i="2"/>
  <c r="BE29" i="8"/>
  <c r="CQ36" i="2"/>
  <c r="CQ49" i="2"/>
  <c r="D20" i="10"/>
  <c r="CQ43" i="2"/>
  <c r="X39" i="2"/>
  <c r="IC39" i="2"/>
  <c r="X41" i="2"/>
  <c r="X43" i="2"/>
  <c r="IC31" i="2"/>
  <c r="AJ45" i="2"/>
  <c r="AK45" i="2" s="1"/>
  <c r="AJ108" i="2"/>
  <c r="AK108" i="2" s="1"/>
  <c r="AJ53" i="2"/>
  <c r="AK53" i="2" s="1"/>
  <c r="AJ111" i="2"/>
  <c r="AK111" i="2" s="1"/>
  <c r="AG46" i="8"/>
  <c r="AG50" i="8"/>
  <c r="V31" i="8"/>
  <c r="AG35" i="8"/>
  <c r="D37" i="10"/>
  <c r="AJ107" i="2"/>
  <c r="AK107" i="2" s="1"/>
  <c r="AJ115" i="2"/>
  <c r="AK115" i="2" s="1"/>
  <c r="AG38" i="8"/>
  <c r="AJ47" i="2"/>
  <c r="AK47" i="2" s="1"/>
  <c r="V35" i="8"/>
  <c r="AJ51" i="2"/>
  <c r="AK51" i="2" s="1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50" i="2"/>
  <c r="AK50" i="2" s="1"/>
  <c r="AH35" i="8"/>
  <c r="CE39" i="2"/>
  <c r="CE46" i="2"/>
  <c r="CF51" i="2"/>
  <c r="CE43" i="2"/>
  <c r="CF47" i="2"/>
  <c r="Q47" i="2"/>
  <c r="CF38" i="2"/>
  <c r="CE45" i="2"/>
  <c r="CH45" i="2"/>
  <c r="R45" i="2"/>
  <c r="CH43" i="2"/>
  <c r="R43" i="2"/>
  <c r="CH39" i="2"/>
  <c r="R39" i="2"/>
  <c r="Q43" i="2"/>
  <c r="CH46" i="2"/>
  <c r="R46" i="2"/>
  <c r="Q51" i="2"/>
  <c r="L50" i="2"/>
  <c r="AC43" i="2"/>
  <c r="AE43" i="2"/>
  <c r="IE43" i="2"/>
  <c r="L43" i="2"/>
  <c r="AC45" i="2"/>
  <c r="L45" i="2"/>
  <c r="AE45" i="2"/>
  <c r="DC30" i="2"/>
  <c r="DG30" i="2"/>
  <c r="DN107" i="2"/>
  <c r="DM107" i="2"/>
  <c r="DM111" i="2"/>
  <c r="DN111" i="2"/>
  <c r="AC46" i="2"/>
  <c r="AE46" i="2"/>
  <c r="L46" i="2"/>
  <c r="CF44" i="2"/>
  <c r="DN53" i="2"/>
  <c r="DM53" i="2"/>
  <c r="DN108" i="2"/>
  <c r="DM108" i="2"/>
  <c r="DG36" i="2"/>
  <c r="DC36" i="2"/>
  <c r="AE38" i="2"/>
  <c r="IE38" i="2"/>
  <c r="AC38" i="2"/>
  <c r="L38" i="2"/>
  <c r="AC51" i="2"/>
  <c r="AE51" i="2"/>
  <c r="L51" i="2"/>
  <c r="L39" i="2"/>
  <c r="AE39" i="2"/>
  <c r="IE39" i="2"/>
  <c r="AC39" i="2"/>
  <c r="AE44" i="2"/>
  <c r="L44" i="2"/>
  <c r="AC44" i="2"/>
  <c r="CH51" i="2"/>
  <c r="R51" i="2"/>
  <c r="DM52" i="2"/>
  <c r="DN52" i="2"/>
  <c r="DM110" i="2"/>
  <c r="DN110" i="2"/>
  <c r="AE47" i="2"/>
  <c r="AC47" i="2"/>
  <c r="L47" i="2"/>
  <c r="DM115" i="2"/>
  <c r="DN115" i="2"/>
  <c r="DM109" i="2"/>
  <c r="DN109" i="2"/>
  <c r="DN106" i="2"/>
  <c r="AT35" i="8"/>
  <c r="D49" i="8"/>
  <c r="D45" i="10"/>
  <c r="D29" i="10"/>
  <c r="D31" i="10"/>
  <c r="D35" i="10"/>
  <c r="BE45" i="8"/>
  <c r="D31" i="8"/>
  <c r="BE35" i="8"/>
  <c r="D35" i="8"/>
  <c r="AT29" i="8"/>
  <c r="BE40" i="8"/>
  <c r="AT45" i="8"/>
  <c r="D45" i="8"/>
  <c r="AT31" i="8"/>
  <c r="DG31" i="2"/>
  <c r="Q39" i="2"/>
  <c r="CH38" i="2"/>
  <c r="R38" i="2"/>
  <c r="Q38" i="2"/>
  <c r="DC31" i="2"/>
  <c r="CH47" i="2"/>
  <c r="R47" i="2"/>
  <c r="DG35" i="2"/>
  <c r="DC35" i="2"/>
  <c r="AD45" i="2"/>
  <c r="AD47" i="2"/>
  <c r="Q46" i="2"/>
  <c r="AD38" i="2"/>
  <c r="AD43" i="2"/>
  <c r="Q45" i="2"/>
  <c r="AD51" i="2"/>
  <c r="CH44" i="2"/>
  <c r="R44" i="2"/>
  <c r="AD46" i="2"/>
  <c r="Q42" i="2"/>
  <c r="AD44" i="2"/>
  <c r="AD39" i="2"/>
  <c r="BG39" i="2"/>
  <c r="BG45" i="2"/>
  <c r="BG43" i="2"/>
  <c r="BG47" i="2"/>
  <c r="BG51" i="2"/>
  <c r="BG46" i="2"/>
  <c r="BG44" i="2"/>
  <c r="BG38" i="2"/>
  <c r="AS43" i="2"/>
  <c r="AT43" i="2"/>
  <c r="AT42" i="2"/>
  <c r="AT41" i="2"/>
  <c r="AS39" i="2"/>
  <c r="AT39" i="2"/>
  <c r="AS38" i="2"/>
  <c r="AT38" i="2"/>
  <c r="GE44" i="2"/>
  <c r="FC31" i="2"/>
  <c r="FC19" i="2"/>
  <c r="FC37" i="2"/>
  <c r="FC18" i="2"/>
  <c r="GE47" i="2"/>
  <c r="GE46" i="2"/>
  <c r="GE45" i="2"/>
  <c r="GE38" i="2"/>
  <c r="FC20" i="2"/>
  <c r="FC47" i="2"/>
  <c r="FC15" i="2"/>
  <c r="FC42" i="2"/>
  <c r="FC30" i="2"/>
  <c r="FC51" i="2"/>
  <c r="FC44" i="2"/>
  <c r="GE43" i="2"/>
  <c r="Q44" i="2"/>
  <c r="FC43" i="2"/>
  <c r="GE51" i="2"/>
  <c r="GE39" i="2"/>
  <c r="FC46" i="2"/>
  <c r="FC36" i="2"/>
  <c r="FC45" i="2"/>
  <c r="FC38" i="2"/>
  <c r="FC39" i="2"/>
  <c r="GD45" i="2"/>
  <c r="GD47" i="2"/>
  <c r="GD44" i="2"/>
  <c r="GD46" i="2"/>
  <c r="GD51" i="2"/>
  <c r="GD43" i="2"/>
  <c r="GD42" i="2"/>
  <c r="GD39" i="2"/>
  <c r="GD38" i="2"/>
  <c r="DN36" i="2"/>
  <c r="DN38" i="2"/>
  <c r="DM38" i="2"/>
  <c r="DM50" i="2"/>
  <c r="DN51" i="2"/>
  <c r="DM51" i="2"/>
  <c r="DN42" i="2"/>
  <c r="DN45" i="2"/>
  <c r="DM45" i="2"/>
  <c r="DM36" i="2"/>
  <c r="DM39" i="2"/>
  <c r="DN39" i="2"/>
  <c r="DN30" i="2"/>
  <c r="DM30" i="2"/>
  <c r="DN37" i="2"/>
  <c r="DM37" i="2"/>
  <c r="DN46" i="2"/>
  <c r="DM46" i="2"/>
  <c r="DN43" i="2"/>
  <c r="DM43" i="2"/>
  <c r="DM44" i="2"/>
  <c r="DN44" i="2"/>
  <c r="DM47" i="2"/>
  <c r="DN47" i="2"/>
  <c r="FC35" i="2"/>
  <c r="DN31" i="2"/>
  <c r="DM31" i="2"/>
  <c r="DN35" i="2"/>
  <c r="DM35" i="2"/>
  <c r="HQ51" i="2"/>
  <c r="HQ42" i="2"/>
  <c r="HQ43" i="2"/>
  <c r="HP51" i="2"/>
  <c r="HQ47" i="2"/>
  <c r="HP47" i="2"/>
  <c r="HQ50" i="2"/>
  <c r="HQ52" i="2"/>
  <c r="HP52" i="2"/>
  <c r="HQ53" i="2"/>
  <c r="HP53" i="2"/>
  <c r="HQ38" i="2"/>
  <c r="HP38" i="2"/>
  <c r="HQ46" i="2"/>
  <c r="HP46" i="2"/>
  <c r="HQ45" i="2"/>
  <c r="HP43" i="2"/>
  <c r="HQ44" i="2"/>
  <c r="HP44" i="2"/>
  <c r="HQ39" i="2"/>
  <c r="HQ108" i="2"/>
  <c r="HP108" i="2"/>
  <c r="HQ115" i="2"/>
  <c r="HP115" i="2"/>
  <c r="HQ107" i="2"/>
  <c r="HP107" i="2"/>
  <c r="HQ110" i="2"/>
  <c r="HP110" i="2"/>
  <c r="HQ109" i="2"/>
  <c r="HP109" i="2"/>
  <c r="HQ106" i="2"/>
  <c r="HQ111" i="2"/>
  <c r="HP111" i="2"/>
  <c r="HP114" i="2"/>
  <c r="HS51" i="2"/>
  <c r="HS53" i="2"/>
  <c r="HS43" i="2"/>
  <c r="HS38" i="2"/>
  <c r="HS52" i="2"/>
  <c r="HS50" i="2"/>
  <c r="HS39" i="2"/>
  <c r="HS45" i="2"/>
  <c r="HP39" i="2"/>
  <c r="HP45" i="2"/>
  <c r="HS44" i="2"/>
  <c r="HS46" i="2"/>
  <c r="HS47" i="2"/>
  <c r="HS110" i="2"/>
  <c r="HS111" i="2"/>
  <c r="HS107" i="2"/>
  <c r="HS115" i="2"/>
  <c r="HS109" i="2"/>
  <c r="HS108" i="2"/>
  <c r="HR44" i="2"/>
  <c r="HR42" i="2"/>
  <c r="HR53" i="2"/>
  <c r="HR45" i="2"/>
  <c r="HL43" i="2"/>
  <c r="IN43" i="2"/>
  <c r="HR51" i="2"/>
  <c r="HR46" i="2"/>
  <c r="HR38" i="2"/>
  <c r="HR39" i="2"/>
  <c r="HR43" i="2"/>
  <c r="HL46" i="2"/>
  <c r="IN46" i="2"/>
  <c r="HL51" i="2"/>
  <c r="IN51" i="2"/>
  <c r="HL47" i="2"/>
  <c r="IN47" i="2"/>
  <c r="HL44" i="2"/>
  <c r="IN44" i="2"/>
  <c r="HR52" i="2"/>
  <c r="HR47" i="2"/>
  <c r="HL39" i="2"/>
  <c r="IN39" i="2"/>
  <c r="IN38" i="2"/>
  <c r="HL38" i="2"/>
  <c r="HL52" i="2"/>
  <c r="IN52" i="2"/>
  <c r="HL42" i="2"/>
  <c r="HL45" i="2"/>
  <c r="IN45" i="2"/>
  <c r="HL53" i="2"/>
  <c r="IN53" i="2"/>
  <c r="HL108" i="2"/>
  <c r="IN109" i="2"/>
  <c r="HL109" i="2"/>
  <c r="HL114" i="2"/>
  <c r="HL115" i="2"/>
  <c r="IN107" i="2"/>
  <c r="IN108" i="2"/>
  <c r="HL107" i="2"/>
  <c r="HL110" i="2"/>
  <c r="IN110" i="2"/>
  <c r="IN115" i="2"/>
  <c r="IN114" i="2"/>
  <c r="IN111" i="2"/>
  <c r="HL111" i="2"/>
  <c r="HR111" i="2"/>
  <c r="HR107" i="2"/>
  <c r="HR114" i="2"/>
  <c r="HR115" i="2"/>
  <c r="HR109" i="2"/>
  <c r="HR106" i="2"/>
  <c r="HR108" i="2"/>
  <c r="HR110" i="2"/>
  <c r="HR105" i="2"/>
  <c r="HT44" i="2"/>
  <c r="HM38" i="2"/>
  <c r="HU38" i="2"/>
  <c r="HT38" i="2"/>
  <c r="HT51" i="2"/>
  <c r="HU51" i="2"/>
  <c r="HU53" i="2"/>
  <c r="HT53" i="2"/>
  <c r="HM42" i="2"/>
  <c r="HM51" i="2"/>
  <c r="HM39" i="2"/>
  <c r="HM44" i="2"/>
  <c r="HM45" i="2"/>
  <c r="HU43" i="2"/>
  <c r="HT43" i="2"/>
  <c r="HM50" i="2"/>
  <c r="HT45" i="2"/>
  <c r="HU45" i="2"/>
  <c r="HT42" i="2"/>
  <c r="HU42" i="2"/>
  <c r="HU50" i="2"/>
  <c r="HU47" i="2"/>
  <c r="HT47" i="2"/>
  <c r="HT52" i="2"/>
  <c r="HU52" i="2"/>
  <c r="HM52" i="2"/>
  <c r="HM46" i="2"/>
  <c r="HM43" i="2"/>
  <c r="HT49" i="2"/>
  <c r="HU49" i="2"/>
  <c r="HU46" i="2"/>
  <c r="HT46" i="2"/>
  <c r="HM53" i="2"/>
  <c r="HU44" i="2"/>
  <c r="HM47" i="2"/>
  <c r="HT39" i="2"/>
  <c r="HU39" i="2"/>
  <c r="IO114" i="2"/>
  <c r="IO108" i="2"/>
  <c r="IO110" i="2"/>
  <c r="IO111" i="2"/>
  <c r="IO115" i="2"/>
  <c r="IO105" i="2"/>
  <c r="IO109" i="2"/>
  <c r="IO107" i="2"/>
  <c r="HM111" i="2"/>
  <c r="HM106" i="2"/>
  <c r="HM105" i="2"/>
  <c r="HM110" i="2"/>
  <c r="HM108" i="2"/>
  <c r="HM115" i="2"/>
  <c r="HM109" i="2"/>
  <c r="HM107" i="2"/>
  <c r="HU105" i="2"/>
  <c r="HT109" i="2"/>
  <c r="HU109" i="2"/>
  <c r="HT107" i="2"/>
  <c r="HU107" i="2"/>
  <c r="HT110" i="2"/>
  <c r="HU110" i="2"/>
  <c r="HT113" i="2"/>
  <c r="HU113" i="2"/>
  <c r="HT111" i="2"/>
  <c r="HU111" i="2"/>
  <c r="HT108" i="2"/>
  <c r="HU108" i="2"/>
  <c r="HT115" i="2"/>
  <c r="HU115" i="2"/>
  <c r="HT106" i="2"/>
  <c r="HT114" i="2"/>
  <c r="CV11" i="2"/>
  <c r="CV19" i="2"/>
  <c r="CV3" i="2"/>
  <c r="DF35" i="2"/>
  <c r="DF31" i="2"/>
  <c r="DF36" i="2"/>
  <c r="DF30" i="2"/>
  <c r="CV4" i="2"/>
  <c r="CV12" i="2"/>
  <c r="CV5" i="2"/>
  <c r="CV13" i="2"/>
  <c r="CV6" i="2"/>
  <c r="CV14" i="2"/>
  <c r="CV15" i="2"/>
  <c r="CV7" i="2"/>
  <c r="FZ107" i="2"/>
  <c r="FZ50" i="2"/>
  <c r="FZ108" i="2"/>
  <c r="FZ38" i="2"/>
  <c r="FZ109" i="2"/>
  <c r="FZ47" i="2"/>
  <c r="FZ52" i="2"/>
  <c r="FZ45" i="2"/>
  <c r="FZ51" i="2"/>
  <c r="FZ115" i="2"/>
  <c r="FZ42" i="2"/>
  <c r="FZ110" i="2"/>
  <c r="FZ46" i="2"/>
  <c r="FZ43" i="2"/>
  <c r="FZ39" i="2"/>
  <c r="FZ111" i="2"/>
  <c r="FZ44" i="2"/>
  <c r="FZ53" i="2"/>
  <c r="IO50" i="2"/>
  <c r="IO51" i="2"/>
  <c r="IO42" i="2"/>
  <c r="IO47" i="2"/>
  <c r="IO38" i="2"/>
  <c r="IO53" i="2"/>
  <c r="IO43" i="2"/>
  <c r="IO46" i="2"/>
  <c r="IO52" i="2"/>
  <c r="IO45" i="2"/>
  <c r="IO44" i="2"/>
  <c r="IO39" i="2"/>
  <c r="CV20" i="2"/>
  <c r="BF43" i="8"/>
  <c r="IX43" i="2" s="1"/>
  <c r="BF39" i="8"/>
  <c r="IX39" i="2" s="1"/>
  <c r="BF41" i="8"/>
  <c r="IX41" i="2" s="1"/>
  <c r="BF38" i="8"/>
  <c r="IX38" i="2" s="1"/>
  <c r="BF115" i="8"/>
  <c r="IX115" i="2" s="1"/>
  <c r="BF110" i="8"/>
  <c r="IX110" i="2" s="1"/>
  <c r="BF111" i="8"/>
  <c r="IX111" i="2" s="1"/>
  <c r="BF105" i="8"/>
  <c r="IX105" i="2" s="1"/>
  <c r="BF107" i="8"/>
  <c r="IX107" i="2" s="1"/>
  <c r="BF109" i="8"/>
  <c r="IX109" i="2" s="1"/>
  <c r="BF47" i="8"/>
  <c r="IX47" i="2" s="1"/>
  <c r="BF53" i="8"/>
  <c r="IX53" i="2" s="1"/>
  <c r="BF51" i="8"/>
  <c r="IX51" i="2" s="1"/>
  <c r="BF44" i="8"/>
  <c r="IX44" i="2" s="1"/>
  <c r="BF46" i="8"/>
  <c r="IX46" i="2" s="1"/>
  <c r="BF45" i="8"/>
  <c r="IX45" i="2" s="1"/>
  <c r="BF52" i="8"/>
  <c r="IX52" i="2" s="1"/>
  <c r="BF108" i="8"/>
  <c r="IX108" i="2" s="1"/>
  <c r="CV24" i="2"/>
  <c r="CV23" i="2"/>
  <c r="IZ49" i="2"/>
  <c r="IZ39" i="2"/>
  <c r="IZ38" i="2"/>
  <c r="IZ51" i="2"/>
  <c r="IZ53" i="2"/>
  <c r="IZ46" i="2"/>
  <c r="IZ47" i="2"/>
  <c r="IZ50" i="2"/>
  <c r="IZ44" i="2"/>
  <c r="IZ43" i="2"/>
  <c r="IZ52" i="2"/>
  <c r="IZ45" i="2"/>
  <c r="IZ41" i="2"/>
  <c r="IZ109" i="2"/>
  <c r="IZ107" i="2"/>
  <c r="IZ111" i="2"/>
  <c r="IZ108" i="2"/>
  <c r="IZ106" i="2"/>
  <c r="IZ115" i="2"/>
  <c r="IZ110" i="2"/>
  <c r="IZ114" i="2"/>
  <c r="JA111" i="2"/>
  <c r="JA109" i="2"/>
  <c r="JA110" i="2"/>
  <c r="JA105" i="2"/>
  <c r="JA114" i="2"/>
  <c r="JA115" i="2"/>
  <c r="JA43" i="2"/>
  <c r="JA51" i="2"/>
  <c r="JA42" i="2"/>
  <c r="JA38" i="2"/>
  <c r="JA49" i="2"/>
  <c r="JA47" i="2"/>
  <c r="JA52" i="2"/>
  <c r="JA53" i="2"/>
  <c r="JA44" i="2"/>
  <c r="JA50" i="2"/>
  <c r="JA39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41" i="2"/>
  <c r="AK41" i="2" s="1"/>
  <c r="AJ43" i="2"/>
  <c r="AK43" i="2" s="1"/>
  <c r="FH31" i="2" l="1"/>
  <c r="E29" i="10"/>
  <c r="B23" i="2"/>
  <c r="L193" i="2"/>
  <c r="AE192" i="2"/>
  <c r="F191" i="10"/>
  <c r="HQ184" i="2"/>
  <c r="FZ177" i="2"/>
  <c r="HS176" i="2"/>
  <c r="DJ173" i="2"/>
  <c r="X168" i="2"/>
  <c r="AF167" i="2"/>
  <c r="GD162" i="2"/>
  <c r="V160" i="8"/>
  <c r="V152" i="8"/>
  <c r="IZ144" i="2"/>
  <c r="J143" i="2"/>
  <c r="AG137" i="8"/>
  <c r="X136" i="2"/>
  <c r="E135" i="10"/>
  <c r="AI128" i="8"/>
  <c r="AN121" i="2"/>
  <c r="CF120" i="2"/>
  <c r="FB112" i="2"/>
  <c r="GT111" i="2"/>
  <c r="GO109" i="2"/>
  <c r="GP109" i="2" s="1"/>
  <c r="DM105" i="2"/>
  <c r="AG104" i="8"/>
  <c r="GM101" i="2"/>
  <c r="JA97" i="2"/>
  <c r="AD96" i="2"/>
  <c r="E95" i="10"/>
  <c r="DA89" i="2"/>
  <c r="FB88" i="2"/>
  <c r="FT85" i="2"/>
  <c r="V80" i="8"/>
  <c r="CF73" i="2"/>
  <c r="AI72" i="8"/>
  <c r="GR69" i="2"/>
  <c r="GS69" i="2" s="1"/>
  <c r="D65" i="8"/>
  <c r="IC64" i="2"/>
  <c r="BW63" i="2"/>
  <c r="AH57" i="8"/>
  <c r="FB56" i="2"/>
  <c r="F55" i="10"/>
  <c r="CF48" i="2"/>
  <c r="BR41" i="2"/>
  <c r="CF40" i="2"/>
  <c r="AU175" i="2"/>
  <c r="G47" i="10"/>
  <c r="X36" i="2"/>
  <c r="AN31" i="2"/>
  <c r="CE31" i="2" s="1"/>
  <c r="CQ28" i="2"/>
  <c r="V28" i="8"/>
  <c r="V36" i="8"/>
  <c r="AG28" i="8"/>
  <c r="AT28" i="8"/>
  <c r="BE36" i="8"/>
  <c r="D28" i="8"/>
  <c r="F37" i="2"/>
  <c r="AN35" i="2"/>
  <c r="CF35" i="2" s="1"/>
  <c r="ID35" i="2"/>
  <c r="X35" i="2"/>
  <c r="Z35" i="2" s="1"/>
  <c r="CQ37" i="2"/>
  <c r="ID37" i="2"/>
  <c r="AH37" i="8"/>
  <c r="W36" i="2"/>
  <c r="DC34" i="2"/>
  <c r="DF34" i="2"/>
  <c r="DN34" i="2"/>
  <c r="AE37" i="2"/>
  <c r="IE37" i="2" s="1"/>
  <c r="L37" i="2"/>
  <c r="AC37" i="2"/>
  <c r="D37" i="8"/>
  <c r="AT37" i="8"/>
  <c r="BE37" i="8"/>
  <c r="AG37" i="8"/>
  <c r="BQ37" i="2"/>
  <c r="BG35" i="2"/>
  <c r="AR35" i="2"/>
  <c r="CF31" i="2"/>
  <c r="CH31" i="2" s="1"/>
  <c r="R31" i="2" s="1"/>
  <c r="X31" i="2"/>
  <c r="CQ31" i="2"/>
  <c r="AH31" i="8"/>
  <c r="F31" i="2"/>
  <c r="W31" i="2"/>
  <c r="ID31" i="2"/>
  <c r="BT35" i="2"/>
  <c r="AC35" i="2"/>
  <c r="AE35" i="2"/>
  <c r="IE35" i="2" s="1"/>
  <c r="BS35" i="2"/>
  <c r="AE36" i="2"/>
  <c r="IE36" i="2" s="1"/>
  <c r="L36" i="2"/>
  <c r="AH36" i="8"/>
  <c r="ID36" i="2"/>
  <c r="D29" i="8"/>
  <c r="W35" i="2"/>
  <c r="AI36" i="8"/>
  <c r="AT36" i="8"/>
  <c r="DF33" i="2"/>
  <c r="IC35" i="2"/>
  <c r="D36" i="8"/>
  <c r="AN37" i="2"/>
  <c r="BT37" i="2" s="1"/>
  <c r="AI37" i="8"/>
  <c r="V29" i="8"/>
  <c r="AH29" i="8"/>
  <c r="X37" i="2"/>
  <c r="DN33" i="2"/>
  <c r="AI35" i="8"/>
  <c r="AN36" i="2"/>
  <c r="CF36" i="2" s="1"/>
  <c r="W37" i="2"/>
  <c r="CE35" i="2"/>
  <c r="D20" i="8"/>
  <c r="HU162" i="2"/>
  <c r="FU194" i="2"/>
  <c r="GC194" i="2"/>
  <c r="DB194" i="2"/>
  <c r="DL194" i="2" s="1"/>
  <c r="DH194" i="2"/>
  <c r="FE194" i="2"/>
  <c r="FT194" i="2"/>
  <c r="GL194" i="2"/>
  <c r="DI194" i="2"/>
  <c r="CG194" i="2"/>
  <c r="DQ194" i="2"/>
  <c r="DS194" i="2" s="1"/>
  <c r="K194" i="2"/>
  <c r="DE194" i="2"/>
  <c r="IF194" i="2"/>
  <c r="BV194" i="2"/>
  <c r="BY194" i="2" s="1"/>
  <c r="CI194" i="2"/>
  <c r="CJ194" i="2" s="1"/>
  <c r="DD194" i="2"/>
  <c r="FY194" i="2"/>
  <c r="BF194" i="2"/>
  <c r="AQ194" i="2"/>
  <c r="J194" i="2"/>
  <c r="BW194" i="2"/>
  <c r="GR194" i="2"/>
  <c r="GS194" i="2" s="1"/>
  <c r="BH194" i="2"/>
  <c r="BI194" i="2" s="1"/>
  <c r="W194" i="8"/>
  <c r="FX194" i="2"/>
  <c r="G194" i="10"/>
  <c r="F194" i="10"/>
  <c r="GT194" i="2"/>
  <c r="AU194" i="2"/>
  <c r="FG194" i="2"/>
  <c r="FJ194" i="2"/>
  <c r="FM194" i="2"/>
  <c r="N194" i="2"/>
  <c r="D194" i="2"/>
  <c r="AV194" i="8"/>
  <c r="AR194" i="2"/>
  <c r="FF194" i="2"/>
  <c r="AG194" i="2"/>
  <c r="E194" i="2"/>
  <c r="IM194" i="2"/>
  <c r="DC194" i="2"/>
  <c r="FK194" i="2"/>
  <c r="Z194" i="2"/>
  <c r="B194" i="2"/>
  <c r="IL194" i="2"/>
  <c r="AO194" i="2"/>
  <c r="AY194" i="2" s="1"/>
  <c r="DJ194" i="2"/>
  <c r="S194" i="2"/>
  <c r="C194" i="2"/>
  <c r="AU194" i="8"/>
  <c r="DG194" i="2"/>
  <c r="FW194" i="2"/>
  <c r="M194" i="2"/>
  <c r="A176" i="1"/>
  <c r="CY194" i="2"/>
  <c r="E194" i="10"/>
  <c r="AF194" i="2"/>
  <c r="F194" i="2"/>
  <c r="F194" i="8"/>
  <c r="FH194" i="2"/>
  <c r="Y194" i="2"/>
  <c r="BG194" i="8"/>
  <c r="IY194" i="2" s="1"/>
  <c r="FD194" i="2"/>
  <c r="JH194" i="2"/>
  <c r="JI194" i="2" s="1"/>
  <c r="JJ194" i="2" s="1"/>
  <c r="BS194" i="2"/>
  <c r="AP194" i="2"/>
  <c r="AG194" i="8"/>
  <c r="AE194" i="2"/>
  <c r="R194" i="2"/>
  <c r="AN194" i="2"/>
  <c r="HU194" i="2"/>
  <c r="HS194" i="2"/>
  <c r="DF194" i="2"/>
  <c r="BT194" i="2"/>
  <c r="AT194" i="2"/>
  <c r="AH194" i="8"/>
  <c r="GD194" i="2"/>
  <c r="FB194" i="2"/>
  <c r="JA194" i="2"/>
  <c r="HP194" i="2"/>
  <c r="HM194" i="2"/>
  <c r="BU194" i="2"/>
  <c r="AS194" i="2"/>
  <c r="IC194" i="2"/>
  <c r="AC194" i="2"/>
  <c r="FC194" i="2"/>
  <c r="IO194" i="2"/>
  <c r="IZ194" i="2"/>
  <c r="CQ194" i="2"/>
  <c r="T194" i="2"/>
  <c r="BP194" i="2"/>
  <c r="IE194" i="2"/>
  <c r="GE194" i="2"/>
  <c r="CF194" i="2"/>
  <c r="DN194" i="2"/>
  <c r="D194" i="8"/>
  <c r="HQ194" i="2"/>
  <c r="BQ194" i="2"/>
  <c r="CH194" i="2"/>
  <c r="W194" i="2"/>
  <c r="CZ194" i="2"/>
  <c r="AT194" i="8"/>
  <c r="BG194" i="2"/>
  <c r="FZ194" i="2"/>
  <c r="AD194" i="2"/>
  <c r="X194" i="2"/>
  <c r="DA194" i="2"/>
  <c r="BF194" i="8"/>
  <c r="IX194" i="2" s="1"/>
  <c r="IN194" i="2"/>
  <c r="FL194" i="2"/>
  <c r="AM194" i="2"/>
  <c r="CE194" i="2"/>
  <c r="HL194" i="2"/>
  <c r="Q194" i="2"/>
  <c r="BR194" i="2"/>
  <c r="L194" i="2"/>
  <c r="DM194" i="2"/>
  <c r="AJ194" i="2"/>
  <c r="AK194" i="2" s="1"/>
  <c r="AI194" i="8"/>
  <c r="BE194" i="8"/>
  <c r="GM186" i="2"/>
  <c r="FT186" i="2"/>
  <c r="GL186" i="2"/>
  <c r="DI186" i="2"/>
  <c r="FY186" i="2"/>
  <c r="CG186" i="2"/>
  <c r="DQ186" i="2"/>
  <c r="DP186" i="2" s="1"/>
  <c r="FX186" i="2"/>
  <c r="DE186" i="2"/>
  <c r="AU186" i="2"/>
  <c r="BV186" i="2"/>
  <c r="BW186" i="2"/>
  <c r="CI186" i="2"/>
  <c r="CJ186" i="2" s="1"/>
  <c r="DD186" i="2"/>
  <c r="BF186" i="2"/>
  <c r="AQ186" i="2"/>
  <c r="J186" i="2"/>
  <c r="F186" i="10"/>
  <c r="FH186" i="2"/>
  <c r="W186" i="8"/>
  <c r="GT186" i="2"/>
  <c r="GC186" i="2"/>
  <c r="DJ186" i="2"/>
  <c r="G186" i="10"/>
  <c r="FE186" i="2"/>
  <c r="FF186" i="2"/>
  <c r="IF186" i="2"/>
  <c r="T186" i="2"/>
  <c r="A168" i="1"/>
  <c r="CY186" i="2"/>
  <c r="DB186" i="2"/>
  <c r="DL186" i="2" s="1"/>
  <c r="FK186" i="2"/>
  <c r="N186" i="2"/>
  <c r="F186" i="2"/>
  <c r="F186" i="8"/>
  <c r="AG186" i="2"/>
  <c r="BG186" i="8"/>
  <c r="IV186" i="2" s="1"/>
  <c r="IW186" i="2" s="1"/>
  <c r="FD186" i="2"/>
  <c r="GQ186" i="2"/>
  <c r="E186" i="10"/>
  <c r="Z186" i="2"/>
  <c r="JH186" i="2"/>
  <c r="JI186" i="2" s="1"/>
  <c r="JJ186" i="2" s="1"/>
  <c r="DF186" i="2"/>
  <c r="FG186" i="2"/>
  <c r="FL186" i="2"/>
  <c r="S186" i="2"/>
  <c r="C186" i="2"/>
  <c r="IM186" i="2"/>
  <c r="AR186" i="2"/>
  <c r="DH186" i="2"/>
  <c r="FW186" i="2"/>
  <c r="M186" i="2"/>
  <c r="D186" i="2"/>
  <c r="AV186" i="8"/>
  <c r="DC186" i="2"/>
  <c r="FM186" i="2"/>
  <c r="AF186" i="2"/>
  <c r="E186" i="2"/>
  <c r="IL186" i="2"/>
  <c r="AO186" i="2"/>
  <c r="AX186" i="2" s="1"/>
  <c r="FJ186" i="2"/>
  <c r="BQ186" i="2"/>
  <c r="IE186" i="2"/>
  <c r="AH186" i="8"/>
  <c r="W186" i="2"/>
  <c r="CZ186" i="2"/>
  <c r="AT186" i="8"/>
  <c r="BG186" i="2"/>
  <c r="FZ186" i="2"/>
  <c r="CF186" i="2"/>
  <c r="X186" i="2"/>
  <c r="DA186" i="2"/>
  <c r="BF186" i="8"/>
  <c r="IX186" i="2" s="1"/>
  <c r="IN186" i="2"/>
  <c r="B186" i="2"/>
  <c r="AI186" i="8"/>
  <c r="AE186" i="2"/>
  <c r="Q186" i="2"/>
  <c r="DM186" i="2"/>
  <c r="BE186" i="8"/>
  <c r="HR186" i="2"/>
  <c r="AU186" i="8"/>
  <c r="V186" i="8"/>
  <c r="IC186" i="2"/>
  <c r="L186" i="2"/>
  <c r="AJ186" i="2"/>
  <c r="AK186" i="2" s="1"/>
  <c r="HT186" i="2"/>
  <c r="HL186" i="2"/>
  <c r="Y186" i="2"/>
  <c r="DG186" i="2"/>
  <c r="BR186" i="2"/>
  <c r="AM186" i="2"/>
  <c r="AG186" i="8"/>
  <c r="ID186" i="2"/>
  <c r="R186" i="2"/>
  <c r="AN186" i="2"/>
  <c r="HU186" i="2"/>
  <c r="HS186" i="2"/>
  <c r="BT186" i="2"/>
  <c r="BS186" i="2"/>
  <c r="AP186" i="2"/>
  <c r="GE186" i="2"/>
  <c r="GD186" i="2"/>
  <c r="FB186" i="2"/>
  <c r="JA186" i="2"/>
  <c r="HP186" i="2"/>
  <c r="HM186" i="2"/>
  <c r="K186" i="2"/>
  <c r="BU186" i="2"/>
  <c r="AT186" i="2"/>
  <c r="AD186" i="2"/>
  <c r="HQ186" i="2"/>
  <c r="AS186" i="2"/>
  <c r="AC186" i="2"/>
  <c r="CQ186" i="2"/>
  <c r="CH186" i="2"/>
  <c r="D186" i="10"/>
  <c r="FC186" i="2"/>
  <c r="DN186" i="2"/>
  <c r="IO186" i="2"/>
  <c r="FU154" i="2"/>
  <c r="GA154" i="2"/>
  <c r="IF154" i="2"/>
  <c r="FE154" i="2"/>
  <c r="BH154" i="2"/>
  <c r="GT154" i="2"/>
  <c r="FY154" i="2"/>
  <c r="CG154" i="2"/>
  <c r="GO154" i="2"/>
  <c r="GP154" i="2" s="1"/>
  <c r="DJ154" i="2"/>
  <c r="FX154" i="2"/>
  <c r="GR154" i="2"/>
  <c r="GS154" i="2" s="1"/>
  <c r="GC154" i="2"/>
  <c r="FT154" i="2"/>
  <c r="DB154" i="2"/>
  <c r="DL154" i="2" s="1"/>
  <c r="DH154" i="2"/>
  <c r="AU154" i="2"/>
  <c r="BW154" i="2"/>
  <c r="FH154" i="2"/>
  <c r="GL154" i="2"/>
  <c r="DI154" i="2"/>
  <c r="DQ154" i="2"/>
  <c r="DR154" i="2" s="1"/>
  <c r="CI154" i="2"/>
  <c r="CJ154" i="2" s="1"/>
  <c r="G154" i="10"/>
  <c r="F154" i="10"/>
  <c r="DD154" i="2"/>
  <c r="DE154" i="2"/>
  <c r="BF154" i="2"/>
  <c r="BV154" i="2"/>
  <c r="J154" i="2"/>
  <c r="FG154" i="2"/>
  <c r="Z154" i="2"/>
  <c r="A136" i="1"/>
  <c r="CY154" i="2"/>
  <c r="W154" i="8"/>
  <c r="AQ154" i="2"/>
  <c r="FK154" i="2"/>
  <c r="M154" i="2"/>
  <c r="F154" i="2"/>
  <c r="F154" i="8"/>
  <c r="K154" i="2"/>
  <c r="FJ154" i="2"/>
  <c r="FM154" i="2"/>
  <c r="FW154" i="2"/>
  <c r="T154" i="2"/>
  <c r="BG154" i="8"/>
  <c r="IY154" i="2" s="1"/>
  <c r="FD154" i="2"/>
  <c r="E154" i="10"/>
  <c r="AF154" i="2"/>
  <c r="JH154" i="2"/>
  <c r="JI154" i="2" s="1"/>
  <c r="JJ154" i="2" s="1"/>
  <c r="DF154" i="2"/>
  <c r="FF154" i="2"/>
  <c r="FL154" i="2"/>
  <c r="Y154" i="2"/>
  <c r="E154" i="2"/>
  <c r="IM154" i="2"/>
  <c r="DC154" i="2"/>
  <c r="S154" i="2"/>
  <c r="B154" i="2"/>
  <c r="AV154" i="8"/>
  <c r="AO154" i="2"/>
  <c r="AX154" i="2" s="1"/>
  <c r="N154" i="2"/>
  <c r="C154" i="2"/>
  <c r="IL154" i="2"/>
  <c r="AR154" i="2"/>
  <c r="BQ154" i="2"/>
  <c r="IE154" i="2"/>
  <c r="AG154" i="2"/>
  <c r="FZ154" i="2"/>
  <c r="AE154" i="2"/>
  <c r="Q154" i="2"/>
  <c r="AJ154" i="2"/>
  <c r="AK154" i="2" s="1"/>
  <c r="D154" i="2"/>
  <c r="BR154" i="2"/>
  <c r="AM154" i="2"/>
  <c r="AI154" i="8"/>
  <c r="IC154" i="2"/>
  <c r="X154" i="2"/>
  <c r="DA154" i="2"/>
  <c r="AU154" i="8"/>
  <c r="BT154" i="2"/>
  <c r="BS154" i="2"/>
  <c r="AP154" i="2"/>
  <c r="DG154" i="2"/>
  <c r="BU154" i="2"/>
  <c r="AT154" i="2"/>
  <c r="AH154" i="8"/>
  <c r="R154" i="2"/>
  <c r="IO154" i="2"/>
  <c r="IZ154" i="2"/>
  <c r="CQ154" i="2"/>
  <c r="BP154" i="2"/>
  <c r="ID154" i="2"/>
  <c r="FB154" i="2"/>
  <c r="D154" i="8"/>
  <c r="HQ154" i="2"/>
  <c r="GD154" i="2"/>
  <c r="FC154" i="2"/>
  <c r="AT154" i="8"/>
  <c r="BG154" i="2"/>
  <c r="V154" i="8"/>
  <c r="CE154" i="2"/>
  <c r="DN154" i="2"/>
  <c r="BF154" i="8"/>
  <c r="IX154" i="2" s="1"/>
  <c r="IN154" i="2"/>
  <c r="AG154" i="8"/>
  <c r="AC154" i="2"/>
  <c r="CZ154" i="2"/>
  <c r="BE154" i="8"/>
  <c r="HR154" i="2"/>
  <c r="GE154" i="2"/>
  <c r="CH154" i="2"/>
  <c r="AN154" i="2"/>
  <c r="HT154" i="2"/>
  <c r="HL154" i="2"/>
  <c r="FU146" i="2"/>
  <c r="BH146" i="2"/>
  <c r="BI146" i="2" s="1"/>
  <c r="GT146" i="2"/>
  <c r="AU146" i="2"/>
  <c r="CG146" i="2"/>
  <c r="G146" i="10"/>
  <c r="GO146" i="2"/>
  <c r="GP146" i="2" s="1"/>
  <c r="DJ146" i="2"/>
  <c r="BW146" i="2"/>
  <c r="FH146" i="2"/>
  <c r="GR146" i="2"/>
  <c r="GS146" i="2" s="1"/>
  <c r="GC146" i="2"/>
  <c r="FT146" i="2"/>
  <c r="DB146" i="2"/>
  <c r="DL146" i="2" s="1"/>
  <c r="DH146" i="2"/>
  <c r="GL146" i="2"/>
  <c r="DI146" i="2"/>
  <c r="F146" i="10"/>
  <c r="DQ146" i="2"/>
  <c r="DS146" i="2" s="1"/>
  <c r="BV146" i="2"/>
  <c r="BX146" i="2" s="1"/>
  <c r="CI146" i="2"/>
  <c r="CJ146" i="2" s="1"/>
  <c r="GQ146" i="2"/>
  <c r="DD146" i="2"/>
  <c r="DE146" i="2"/>
  <c r="IF146" i="2"/>
  <c r="BF146" i="2"/>
  <c r="AQ146" i="2"/>
  <c r="J146" i="2"/>
  <c r="FF146" i="2"/>
  <c r="W146" i="8"/>
  <c r="FY146" i="2"/>
  <c r="K146" i="2"/>
  <c r="FJ146" i="2"/>
  <c r="AG146" i="2"/>
  <c r="E146" i="2"/>
  <c r="AV146" i="8"/>
  <c r="AR146" i="2"/>
  <c r="GA146" i="2"/>
  <c r="E146" i="10"/>
  <c r="Z146" i="2"/>
  <c r="B146" i="2"/>
  <c r="IM146" i="2"/>
  <c r="DC146" i="2"/>
  <c r="FL146" i="2"/>
  <c r="M146" i="2"/>
  <c r="C146" i="2"/>
  <c r="IL146" i="2"/>
  <c r="AO146" i="2"/>
  <c r="AW146" i="2" s="1"/>
  <c r="FW146" i="2"/>
  <c r="T146" i="2"/>
  <c r="D146" i="2"/>
  <c r="AU146" i="8"/>
  <c r="DG146" i="2"/>
  <c r="AF146" i="2"/>
  <c r="A128" i="1"/>
  <c r="CY146" i="2"/>
  <c r="FX146" i="2"/>
  <c r="FE146" i="2"/>
  <c r="Y146" i="2"/>
  <c r="F146" i="2"/>
  <c r="F146" i="8"/>
  <c r="FK146" i="2"/>
  <c r="S146" i="2"/>
  <c r="BG146" i="8"/>
  <c r="IY146" i="2" s="1"/>
  <c r="FD146" i="2"/>
  <c r="DF146" i="2"/>
  <c r="AT146" i="2"/>
  <c r="BT146" i="2"/>
  <c r="BR146" i="2"/>
  <c r="AS146" i="2"/>
  <c r="N146" i="2"/>
  <c r="BU146" i="2"/>
  <c r="BS146" i="2"/>
  <c r="IE146" i="2"/>
  <c r="BP146" i="2"/>
  <c r="BQ146" i="2"/>
  <c r="FG146" i="2"/>
  <c r="AM146" i="2"/>
  <c r="JH146" i="2"/>
  <c r="JI146" i="2" s="1"/>
  <c r="JJ146" i="2" s="1"/>
  <c r="GE146" i="2"/>
  <c r="AC146" i="2"/>
  <c r="DN146" i="2"/>
  <c r="D146" i="8"/>
  <c r="HQ146" i="2"/>
  <c r="AD146" i="2"/>
  <c r="W146" i="2"/>
  <c r="CZ146" i="2"/>
  <c r="AT146" i="8"/>
  <c r="BG146" i="2"/>
  <c r="FZ146" i="2"/>
  <c r="ID146" i="2"/>
  <c r="Q146" i="2"/>
  <c r="AJ146" i="2"/>
  <c r="AK146" i="2" s="1"/>
  <c r="BF146" i="8"/>
  <c r="IX146" i="2" s="1"/>
  <c r="IN146" i="2"/>
  <c r="AI146" i="8"/>
  <c r="CH146" i="2"/>
  <c r="X146" i="2"/>
  <c r="DA146" i="2"/>
  <c r="BE146" i="8"/>
  <c r="HR146" i="2"/>
  <c r="FM146" i="2"/>
  <c r="V146" i="8"/>
  <c r="AE146" i="2"/>
  <c r="L146" i="2"/>
  <c r="AN146" i="2"/>
  <c r="HT146" i="2"/>
  <c r="HL146" i="2"/>
  <c r="AP146" i="2"/>
  <c r="AG146" i="8"/>
  <c r="GD146" i="2"/>
  <c r="R146" i="2"/>
  <c r="DM146" i="2"/>
  <c r="HU146" i="2"/>
  <c r="HS146" i="2"/>
  <c r="FU138" i="2"/>
  <c r="DJ138" i="2"/>
  <c r="BW138" i="2"/>
  <c r="FH138" i="2"/>
  <c r="GR138" i="2"/>
  <c r="GS138" i="2" s="1"/>
  <c r="GC138" i="2"/>
  <c r="FT138" i="2"/>
  <c r="DB138" i="2"/>
  <c r="DL138" i="2" s="1"/>
  <c r="DH138" i="2"/>
  <c r="IF138" i="2"/>
  <c r="GN138" i="2"/>
  <c r="GL138" i="2"/>
  <c r="DI138" i="2"/>
  <c r="FY138" i="2"/>
  <c r="G138" i="10"/>
  <c r="F138" i="10"/>
  <c r="DQ138" i="2"/>
  <c r="DS138" i="2" s="1"/>
  <c r="FX138" i="2"/>
  <c r="BV138" i="2"/>
  <c r="BX138" i="2" s="1"/>
  <c r="CI138" i="2"/>
  <c r="CK138" i="2" s="1"/>
  <c r="FF138" i="2"/>
  <c r="FG138" i="2"/>
  <c r="GQ138" i="2"/>
  <c r="DD138" i="2"/>
  <c r="DE138" i="2"/>
  <c r="AU138" i="2"/>
  <c r="BF138" i="2"/>
  <c r="AQ138" i="2"/>
  <c r="J138" i="2"/>
  <c r="K138" i="2"/>
  <c r="W138" i="8"/>
  <c r="FE138" i="2"/>
  <c r="FJ138" i="2"/>
  <c r="BH138" i="2"/>
  <c r="BI138" i="2" s="1"/>
  <c r="FL138" i="2"/>
  <c r="N138" i="2"/>
  <c r="A120" i="1"/>
  <c r="CY138" i="2"/>
  <c r="AG138" i="2"/>
  <c r="F138" i="2"/>
  <c r="F138" i="8"/>
  <c r="Z138" i="2"/>
  <c r="BG138" i="8"/>
  <c r="IY138" i="2" s="1"/>
  <c r="FD138" i="2"/>
  <c r="M138" i="2"/>
  <c r="JH138" i="2"/>
  <c r="JI138" i="2" s="1"/>
  <c r="JJ138" i="2" s="1"/>
  <c r="DF138" i="2"/>
  <c r="FM138" i="2"/>
  <c r="FW138" i="2"/>
  <c r="T138" i="2"/>
  <c r="E138" i="2"/>
  <c r="AV138" i="8"/>
  <c r="AR138" i="2"/>
  <c r="GT138" i="2"/>
  <c r="CG138" i="2"/>
  <c r="FK138" i="2"/>
  <c r="AF138" i="2"/>
  <c r="B138" i="2"/>
  <c r="IM138" i="2"/>
  <c r="DC138" i="2"/>
  <c r="GM138" i="2"/>
  <c r="Y138" i="2"/>
  <c r="C138" i="2"/>
  <c r="IL138" i="2"/>
  <c r="AO138" i="2"/>
  <c r="AY138" i="2" s="1"/>
  <c r="BQ138" i="2"/>
  <c r="AM138" i="2"/>
  <c r="D138" i="2"/>
  <c r="AP138" i="2"/>
  <c r="AU138" i="8"/>
  <c r="AT138" i="2"/>
  <c r="S138" i="2"/>
  <c r="DG138" i="2"/>
  <c r="AS138" i="2"/>
  <c r="IE138" i="2"/>
  <c r="BT138" i="2"/>
  <c r="BR138" i="2"/>
  <c r="BU138" i="2"/>
  <c r="BS138" i="2"/>
  <c r="AG138" i="8"/>
  <c r="W138" i="2"/>
  <c r="CZ138" i="2"/>
  <c r="AT138" i="8"/>
  <c r="BG138" i="2"/>
  <c r="FZ138" i="2"/>
  <c r="AH138" i="8"/>
  <c r="Q138" i="2"/>
  <c r="AJ138" i="2"/>
  <c r="AK138" i="2" s="1"/>
  <c r="BF138" i="8"/>
  <c r="IX138" i="2" s="1"/>
  <c r="IN138" i="2"/>
  <c r="E138" i="10"/>
  <c r="AI138" i="8"/>
  <c r="IC138" i="2"/>
  <c r="X138" i="2"/>
  <c r="DA138" i="2"/>
  <c r="BE138" i="8"/>
  <c r="HR138" i="2"/>
  <c r="V138" i="8"/>
  <c r="GD138" i="2"/>
  <c r="L138" i="2"/>
  <c r="AN138" i="2"/>
  <c r="HT138" i="2"/>
  <c r="HL138" i="2"/>
  <c r="GE138" i="2"/>
  <c r="CE138" i="2"/>
  <c r="R138" i="2"/>
  <c r="DM138" i="2"/>
  <c r="HU138" i="2"/>
  <c r="HS138" i="2"/>
  <c r="AD138" i="2"/>
  <c r="CF138" i="2"/>
  <c r="FB138" i="2"/>
  <c r="JA138" i="2"/>
  <c r="HP138" i="2"/>
  <c r="HM138" i="2"/>
  <c r="FU130" i="2"/>
  <c r="GR130" i="2"/>
  <c r="GS130" i="2" s="1"/>
  <c r="GC130" i="2"/>
  <c r="FT130" i="2"/>
  <c r="DB130" i="2"/>
  <c r="DL130" i="2" s="1"/>
  <c r="DH130" i="2"/>
  <c r="AU130" i="2"/>
  <c r="FF130" i="2"/>
  <c r="GL130" i="2"/>
  <c r="DI130" i="2"/>
  <c r="BV130" i="2"/>
  <c r="BY130" i="2" s="1"/>
  <c r="CI130" i="2"/>
  <c r="CJ130" i="2" s="1"/>
  <c r="FJ130" i="2"/>
  <c r="DQ130" i="2"/>
  <c r="DS130" i="2" s="1"/>
  <c r="J130" i="2"/>
  <c r="GB130" i="2"/>
  <c r="GQ130" i="2"/>
  <c r="DD130" i="2"/>
  <c r="DE130" i="2"/>
  <c r="BF130" i="2"/>
  <c r="AQ130" i="2"/>
  <c r="K130" i="2"/>
  <c r="FE130" i="2"/>
  <c r="W130" i="8"/>
  <c r="G130" i="10"/>
  <c r="IF130" i="2"/>
  <c r="BH130" i="2"/>
  <c r="BI130" i="2" s="1"/>
  <c r="GT130" i="2"/>
  <c r="FY130" i="2"/>
  <c r="BW130" i="2"/>
  <c r="CG130" i="2"/>
  <c r="FH130" i="2"/>
  <c r="S130" i="2"/>
  <c r="JH130" i="2"/>
  <c r="JI130" i="2" s="1"/>
  <c r="JJ130" i="2" s="1"/>
  <c r="DF130" i="2"/>
  <c r="FM130" i="2"/>
  <c r="N130" i="2"/>
  <c r="E130" i="2"/>
  <c r="AV130" i="8"/>
  <c r="AR130" i="2"/>
  <c r="DJ130" i="2"/>
  <c r="AG130" i="2"/>
  <c r="B130" i="2"/>
  <c r="IM130" i="2"/>
  <c r="DC130" i="2"/>
  <c r="FK130" i="2"/>
  <c r="Z130" i="2"/>
  <c r="C130" i="2"/>
  <c r="IL130" i="2"/>
  <c r="AO130" i="2"/>
  <c r="AY130" i="2" s="1"/>
  <c r="E130" i="10"/>
  <c r="M130" i="2"/>
  <c r="D130" i="2"/>
  <c r="AU130" i="8"/>
  <c r="DG130" i="2"/>
  <c r="FW130" i="2"/>
  <c r="T130" i="2"/>
  <c r="A112" i="1"/>
  <c r="CY130" i="2"/>
  <c r="FX130" i="2"/>
  <c r="FG130" i="2"/>
  <c r="FL130" i="2"/>
  <c r="AF130" i="2"/>
  <c r="F130" i="2"/>
  <c r="BT130" i="2"/>
  <c r="BR130" i="2"/>
  <c r="BU130" i="2"/>
  <c r="BS130" i="2"/>
  <c r="AM130" i="2"/>
  <c r="BP130" i="2"/>
  <c r="AP130" i="2"/>
  <c r="Y130" i="2"/>
  <c r="BQ130" i="2"/>
  <c r="AT130" i="2"/>
  <c r="BG130" i="8"/>
  <c r="IV130" i="2" s="1"/>
  <c r="IW130" i="2" s="1"/>
  <c r="AS130" i="2"/>
  <c r="F130" i="10"/>
  <c r="F130" i="8"/>
  <c r="IE130" i="2"/>
  <c r="FZ130" i="2"/>
  <c r="ID130" i="2"/>
  <c r="Q130" i="2"/>
  <c r="CZ130" i="2"/>
  <c r="BF130" i="8"/>
  <c r="IX130" i="2" s="1"/>
  <c r="IN130" i="2"/>
  <c r="AI130" i="8"/>
  <c r="CH130" i="2"/>
  <c r="X130" i="2"/>
  <c r="AJ130" i="2"/>
  <c r="AK130" i="2" s="1"/>
  <c r="BE130" i="8"/>
  <c r="HR130" i="2"/>
  <c r="FD130" i="2"/>
  <c r="V130" i="8"/>
  <c r="AE130" i="2"/>
  <c r="L130" i="2"/>
  <c r="DA130" i="2"/>
  <c r="HT130" i="2"/>
  <c r="HL130" i="2"/>
  <c r="AG130" i="8"/>
  <c r="GD130" i="2"/>
  <c r="R130" i="2"/>
  <c r="AN130" i="2"/>
  <c r="HU130" i="2"/>
  <c r="HS130" i="2"/>
  <c r="AH130" i="8"/>
  <c r="CE130" i="2"/>
  <c r="FB130" i="2"/>
  <c r="JA130" i="2"/>
  <c r="HP130" i="2"/>
  <c r="HM130" i="2"/>
  <c r="IC130" i="2"/>
  <c r="CF130" i="2"/>
  <c r="FC130" i="2"/>
  <c r="IO130" i="2"/>
  <c r="IZ130" i="2"/>
  <c r="CQ130" i="2"/>
  <c r="FV122" i="2"/>
  <c r="GL122" i="2"/>
  <c r="DI122" i="2"/>
  <c r="BV122" i="2"/>
  <c r="BX122" i="2" s="1"/>
  <c r="J122" i="2"/>
  <c r="FJ122" i="2"/>
  <c r="DQ122" i="2"/>
  <c r="DS122" i="2" s="1"/>
  <c r="IF122" i="2"/>
  <c r="DD122" i="2"/>
  <c r="DE122" i="2"/>
  <c r="FY122" i="2"/>
  <c r="BF122" i="2"/>
  <c r="AQ122" i="2"/>
  <c r="K122" i="2"/>
  <c r="FE122" i="2"/>
  <c r="W122" i="8"/>
  <c r="FX122" i="2"/>
  <c r="CG122" i="2"/>
  <c r="AU122" i="2"/>
  <c r="GT122" i="2"/>
  <c r="BW122" i="2"/>
  <c r="FH122" i="2"/>
  <c r="DJ122" i="2"/>
  <c r="DH122" i="2"/>
  <c r="G122" i="10"/>
  <c r="F122" i="10"/>
  <c r="DB122" i="2"/>
  <c r="DL122" i="2" s="1"/>
  <c r="M122" i="2"/>
  <c r="D122" i="2"/>
  <c r="AU122" i="8"/>
  <c r="DG122" i="2"/>
  <c r="FK122" i="2"/>
  <c r="FW122" i="2"/>
  <c r="T122" i="2"/>
  <c r="A104" i="1"/>
  <c r="CY122" i="2"/>
  <c r="AF122" i="2"/>
  <c r="F122" i="2"/>
  <c r="F122" i="8"/>
  <c r="FT122" i="2"/>
  <c r="FG122" i="2"/>
  <c r="E122" i="10"/>
  <c r="Y122" i="2"/>
  <c r="FL122" i="2"/>
  <c r="S122" i="2"/>
  <c r="JH122" i="2"/>
  <c r="JI122" i="2" s="1"/>
  <c r="JJ122" i="2" s="1"/>
  <c r="DF122" i="2"/>
  <c r="N122" i="2"/>
  <c r="E122" i="2"/>
  <c r="AV122" i="8"/>
  <c r="AR122" i="2"/>
  <c r="CI122" i="2"/>
  <c r="CK122" i="2" s="1"/>
  <c r="AG122" i="2"/>
  <c r="B122" i="2"/>
  <c r="BQ122" i="2"/>
  <c r="IE122" i="2"/>
  <c r="FM122" i="2"/>
  <c r="Z122" i="2"/>
  <c r="C122" i="2"/>
  <c r="BG122" i="8"/>
  <c r="IV122" i="2" s="1"/>
  <c r="IW122" i="2" s="1"/>
  <c r="IM122" i="2"/>
  <c r="FF122" i="2"/>
  <c r="IL122" i="2"/>
  <c r="AM122" i="2"/>
  <c r="FD122" i="2"/>
  <c r="BT122" i="2"/>
  <c r="BR122" i="2"/>
  <c r="AP122" i="2"/>
  <c r="DC122" i="2"/>
  <c r="BU122" i="2"/>
  <c r="BS122" i="2"/>
  <c r="AT122" i="2"/>
  <c r="AI122" i="8"/>
  <c r="IC122" i="2"/>
  <c r="X122" i="2"/>
  <c r="AJ122" i="2"/>
  <c r="AK122" i="2" s="1"/>
  <c r="BE122" i="8"/>
  <c r="HR122" i="2"/>
  <c r="V122" i="8"/>
  <c r="ID122" i="2"/>
  <c r="L122" i="2"/>
  <c r="DA122" i="2"/>
  <c r="HT122" i="2"/>
  <c r="HL122" i="2"/>
  <c r="AG122" i="8"/>
  <c r="CF122" i="2"/>
  <c r="R122" i="2"/>
  <c r="AN122" i="2"/>
  <c r="HU122" i="2"/>
  <c r="HS122" i="2"/>
  <c r="AO122" i="2"/>
  <c r="AX122" i="2" s="1"/>
  <c r="BP122" i="2"/>
  <c r="CH122" i="2"/>
  <c r="GD122" i="2"/>
  <c r="FB122" i="2"/>
  <c r="JA122" i="2"/>
  <c r="HP122" i="2"/>
  <c r="HM122" i="2"/>
  <c r="AD122" i="2"/>
  <c r="GE122" i="2"/>
  <c r="FC122" i="2"/>
  <c r="IO122" i="2"/>
  <c r="IZ122" i="2"/>
  <c r="CQ122" i="2"/>
  <c r="AS122" i="2"/>
  <c r="AH122" i="8"/>
  <c r="AC122" i="2"/>
  <c r="DM122" i="2"/>
  <c r="D122" i="8"/>
  <c r="HQ122" i="2"/>
  <c r="FU114" i="2"/>
  <c r="DQ114" i="2"/>
  <c r="DS114" i="2" s="1"/>
  <c r="AU114" i="2"/>
  <c r="DD114" i="2"/>
  <c r="DE114" i="2"/>
  <c r="BF114" i="2"/>
  <c r="AQ114" i="2"/>
  <c r="K114" i="2"/>
  <c r="CG114" i="2"/>
  <c r="G114" i="10"/>
  <c r="FE114" i="2"/>
  <c r="E114" i="8"/>
  <c r="GB114" i="2"/>
  <c r="GQ114" i="2"/>
  <c r="W114" i="8"/>
  <c r="BW114" i="2"/>
  <c r="FH114" i="2"/>
  <c r="GT114" i="2"/>
  <c r="F114" i="10"/>
  <c r="BH114" i="2"/>
  <c r="BJ114" i="2" s="1"/>
  <c r="DJ114" i="2"/>
  <c r="DH114" i="2"/>
  <c r="IF114" i="2"/>
  <c r="FV114" i="2"/>
  <c r="GC114" i="2"/>
  <c r="FT114" i="2"/>
  <c r="DB114" i="2"/>
  <c r="DL114" i="2" s="1"/>
  <c r="FY114" i="2"/>
  <c r="CI114" i="2"/>
  <c r="CJ114" i="2" s="1"/>
  <c r="FG114" i="2"/>
  <c r="E114" i="10"/>
  <c r="Z114" i="2"/>
  <c r="JH114" i="2"/>
  <c r="JI114" i="2" s="1"/>
  <c r="JJ114" i="2" s="1"/>
  <c r="DF114" i="2"/>
  <c r="FL114" i="2"/>
  <c r="M114" i="2"/>
  <c r="E114" i="2"/>
  <c r="AV114" i="8"/>
  <c r="AR114" i="2"/>
  <c r="FW114" i="2"/>
  <c r="T114" i="2"/>
  <c r="B114" i="2"/>
  <c r="IM114" i="2"/>
  <c r="DC114" i="2"/>
  <c r="AF114" i="2"/>
  <c r="GR114" i="2"/>
  <c r="GS114" i="2" s="1"/>
  <c r="DI114" i="2"/>
  <c r="FF114" i="2"/>
  <c r="FJ114" i="2"/>
  <c r="Y114" i="2"/>
  <c r="D114" i="2"/>
  <c r="AU114" i="8"/>
  <c r="DG114" i="2"/>
  <c r="FM114" i="2"/>
  <c r="S114" i="2"/>
  <c r="A96" i="1"/>
  <c r="CY114" i="2"/>
  <c r="J114" i="2"/>
  <c r="N114" i="2"/>
  <c r="GL114" i="2"/>
  <c r="C114" i="2"/>
  <c r="AS114" i="2"/>
  <c r="F114" i="2"/>
  <c r="BT114" i="2"/>
  <c r="BR114" i="2"/>
  <c r="AT114" i="2"/>
  <c r="FK114" i="2"/>
  <c r="AG114" i="2"/>
  <c r="BG114" i="8"/>
  <c r="IY114" i="2" s="1"/>
  <c r="BU114" i="2"/>
  <c r="BS114" i="2"/>
  <c r="IE114" i="2"/>
  <c r="FX114" i="2"/>
  <c r="IL114" i="2"/>
  <c r="BP114" i="2"/>
  <c r="BV114" i="2"/>
  <c r="BY114" i="2" s="1"/>
  <c r="F114" i="8"/>
  <c r="BQ114" i="2"/>
  <c r="FD114" i="2"/>
  <c r="AO114" i="2"/>
  <c r="AY114" i="2" s="1"/>
  <c r="AM114" i="2"/>
  <c r="AP114" i="2"/>
  <c r="FB114" i="2"/>
  <c r="ID114" i="2"/>
  <c r="R114" i="2"/>
  <c r="W114" i="2"/>
  <c r="D114" i="10"/>
  <c r="CE114" i="2"/>
  <c r="AU106" i="8"/>
  <c r="AR106" i="2"/>
  <c r="DG106" i="2"/>
  <c r="AG106" i="2"/>
  <c r="Z106" i="2"/>
  <c r="C106" i="2"/>
  <c r="IL106" i="2"/>
  <c r="IC106" i="2"/>
  <c r="D106" i="8"/>
  <c r="Q106" i="2"/>
  <c r="D106" i="2"/>
  <c r="FB106" i="2"/>
  <c r="X106" i="2"/>
  <c r="R106" i="2"/>
  <c r="W98" i="8"/>
  <c r="F98" i="10"/>
  <c r="FF98" i="2"/>
  <c r="CI98" i="2"/>
  <c r="CJ98" i="2" s="1"/>
  <c r="FJ98" i="2"/>
  <c r="BH98" i="2"/>
  <c r="BJ98" i="2" s="1"/>
  <c r="FY98" i="2"/>
  <c r="J98" i="2"/>
  <c r="GR98" i="2"/>
  <c r="GS98" i="2" s="1"/>
  <c r="DD98" i="2"/>
  <c r="Y98" i="2"/>
  <c r="F98" i="2"/>
  <c r="F98" i="8"/>
  <c r="FM98" i="2"/>
  <c r="S98" i="2"/>
  <c r="BG98" i="8"/>
  <c r="IY98" i="2" s="1"/>
  <c r="FD98" i="2"/>
  <c r="FH98" i="2"/>
  <c r="N98" i="2"/>
  <c r="JH98" i="2"/>
  <c r="JI98" i="2" s="1"/>
  <c r="JJ98" i="2" s="1"/>
  <c r="AG98" i="2"/>
  <c r="FL98" i="2"/>
  <c r="Z98" i="2"/>
  <c r="E98" i="2"/>
  <c r="IM98" i="2"/>
  <c r="DC98" i="2"/>
  <c r="FK98" i="2"/>
  <c r="T98" i="2"/>
  <c r="D98" i="2"/>
  <c r="IL98" i="2"/>
  <c r="AR98" i="2"/>
  <c r="BF98" i="2"/>
  <c r="E98" i="10"/>
  <c r="FW98" i="2"/>
  <c r="M98" i="2"/>
  <c r="FG98" i="2"/>
  <c r="AO98" i="2"/>
  <c r="AY98" i="2" s="1"/>
  <c r="BU98" i="2"/>
  <c r="BS98" i="2"/>
  <c r="AT98" i="2"/>
  <c r="B98" i="2"/>
  <c r="DG98" i="2"/>
  <c r="BP98" i="2"/>
  <c r="IE98" i="2"/>
  <c r="C98" i="2"/>
  <c r="BQ98" i="2"/>
  <c r="A80" i="1"/>
  <c r="AV98" i="8"/>
  <c r="AF98" i="2"/>
  <c r="AU98" i="8"/>
  <c r="AM98" i="2"/>
  <c r="CY98" i="2"/>
  <c r="AP98" i="2"/>
  <c r="AG98" i="8"/>
  <c r="AD98" i="2"/>
  <c r="DN98" i="2"/>
  <c r="D98" i="8"/>
  <c r="HL98" i="2"/>
  <c r="GE98" i="2"/>
  <c r="W98" i="2"/>
  <c r="FB98" i="2"/>
  <c r="AT98" i="8"/>
  <c r="HQ98" i="2"/>
  <c r="FZ98" i="2"/>
  <c r="CF98" i="2"/>
  <c r="Q98" i="2"/>
  <c r="DA98" i="2"/>
  <c r="BF98" i="8"/>
  <c r="IX98" i="2" s="1"/>
  <c r="HM98" i="2"/>
  <c r="AH98" i="8"/>
  <c r="AE98" i="2"/>
  <c r="AC98" i="2"/>
  <c r="AN98" i="2"/>
  <c r="BE98" i="8"/>
  <c r="HR98" i="2"/>
  <c r="V98" i="8"/>
  <c r="X98" i="2"/>
  <c r="L98" i="2"/>
  <c r="CZ98" i="2"/>
  <c r="HT98" i="2"/>
  <c r="CQ98" i="2"/>
  <c r="D98" i="10"/>
  <c r="DF98" i="2"/>
  <c r="BR98" i="2"/>
  <c r="AI98" i="8"/>
  <c r="IC98" i="2"/>
  <c r="FC98" i="2"/>
  <c r="AJ98" i="2"/>
  <c r="AK98" i="2" s="1"/>
  <c r="HU98" i="2"/>
  <c r="BG98" i="2"/>
  <c r="AQ90" i="2"/>
  <c r="F90" i="10"/>
  <c r="FF90" i="2"/>
  <c r="FG90" i="2"/>
  <c r="E90" i="10"/>
  <c r="CI90" i="2"/>
  <c r="CJ90" i="2" s="1"/>
  <c r="FJ90" i="2"/>
  <c r="GR90" i="2"/>
  <c r="GS90" i="2" s="1"/>
  <c r="GC90" i="2"/>
  <c r="FT90" i="2"/>
  <c r="BF90" i="2"/>
  <c r="FH90" i="2"/>
  <c r="IF90" i="2"/>
  <c r="FL90" i="2"/>
  <c r="T90" i="2"/>
  <c r="D90" i="2"/>
  <c r="IM90" i="2"/>
  <c r="AO90" i="2"/>
  <c r="AW90" i="2" s="1"/>
  <c r="FW90" i="2"/>
  <c r="M90" i="2"/>
  <c r="E90" i="2"/>
  <c r="IL90" i="2"/>
  <c r="AR90" i="2"/>
  <c r="FK90" i="2"/>
  <c r="AF90" i="2"/>
  <c r="Y90" i="2"/>
  <c r="S90" i="2"/>
  <c r="F90" i="2"/>
  <c r="F90" i="8"/>
  <c r="N90" i="2"/>
  <c r="BG90" i="8"/>
  <c r="IY90" i="2" s="1"/>
  <c r="FD90" i="2"/>
  <c r="FM90" i="2"/>
  <c r="AG90" i="2"/>
  <c r="Z90" i="2"/>
  <c r="CY90" i="2"/>
  <c r="AP90" i="2"/>
  <c r="DF90" i="2"/>
  <c r="AS90" i="2"/>
  <c r="B90" i="2"/>
  <c r="DC90" i="2"/>
  <c r="AT90" i="2"/>
  <c r="C90" i="2"/>
  <c r="DG90" i="2"/>
  <c r="BT90" i="2"/>
  <c r="BR90" i="2"/>
  <c r="IE90" i="2"/>
  <c r="A72" i="1"/>
  <c r="BU90" i="2"/>
  <c r="BS90" i="2"/>
  <c r="JH90" i="2"/>
  <c r="JI90" i="2" s="1"/>
  <c r="JJ90" i="2" s="1"/>
  <c r="BP90" i="2"/>
  <c r="AV90" i="8"/>
  <c r="BQ90" i="2"/>
  <c r="AH90" i="8"/>
  <c r="X90" i="2"/>
  <c r="L90" i="2"/>
  <c r="AN90" i="2"/>
  <c r="BE90" i="8"/>
  <c r="HR90" i="2"/>
  <c r="V90" i="8"/>
  <c r="AG90" i="8"/>
  <c r="FC90" i="2"/>
  <c r="CZ90" i="2"/>
  <c r="HT90" i="2"/>
  <c r="CQ90" i="2"/>
  <c r="AI90" i="8"/>
  <c r="IC90" i="2"/>
  <c r="R90" i="2"/>
  <c r="AJ90" i="2"/>
  <c r="AK90" i="2" s="1"/>
  <c r="HU90" i="2"/>
  <c r="BG90" i="2"/>
  <c r="ID90" i="2"/>
  <c r="CE90" i="2"/>
  <c r="AC90" i="2"/>
  <c r="JA90" i="2"/>
  <c r="IZ90" i="2"/>
  <c r="IN90" i="2"/>
  <c r="AM90" i="2"/>
  <c r="GD90" i="2"/>
  <c r="CH90" i="2"/>
  <c r="FB90" i="2"/>
  <c r="IO90" i="2"/>
  <c r="HP90" i="2"/>
  <c r="HS90" i="2"/>
  <c r="GE90" i="2"/>
  <c r="AD90" i="2"/>
  <c r="DM90" i="2"/>
  <c r="D90" i="8"/>
  <c r="HL90" i="2"/>
  <c r="FU82" i="2"/>
  <c r="GO82" i="2"/>
  <c r="GP82" i="2" s="1"/>
  <c r="GB82" i="2"/>
  <c r="W82" i="8"/>
  <c r="DE82" i="2"/>
  <c r="GQ82" i="2"/>
  <c r="BW82" i="2"/>
  <c r="BH82" i="2"/>
  <c r="GT82" i="2"/>
  <c r="DJ82" i="2"/>
  <c r="DH82" i="2"/>
  <c r="BV82" i="2"/>
  <c r="BY82" i="2" s="1"/>
  <c r="IF82" i="2"/>
  <c r="BF82" i="2"/>
  <c r="J82" i="2"/>
  <c r="GM82" i="2"/>
  <c r="GR82" i="2"/>
  <c r="GS82" i="2" s="1"/>
  <c r="GC82" i="2"/>
  <c r="FT82" i="2"/>
  <c r="DB82" i="2"/>
  <c r="DL82" i="2" s="1"/>
  <c r="DI82" i="2"/>
  <c r="FY82" i="2"/>
  <c r="CG82" i="2"/>
  <c r="GA82" i="2"/>
  <c r="DQ82" i="2"/>
  <c r="DS82" i="2" s="1"/>
  <c r="FX82" i="2"/>
  <c r="K82" i="2"/>
  <c r="FE82" i="2"/>
  <c r="GL82" i="2"/>
  <c r="DD82" i="2"/>
  <c r="AU82" i="2"/>
  <c r="AQ82" i="2"/>
  <c r="G82" i="10"/>
  <c r="FF82" i="2"/>
  <c r="FG82" i="2"/>
  <c r="Z82" i="2"/>
  <c r="F82" i="2"/>
  <c r="F82" i="8"/>
  <c r="CI82" i="2"/>
  <c r="FK82" i="2"/>
  <c r="T82" i="2"/>
  <c r="BG82" i="8"/>
  <c r="IY82" i="2" s="1"/>
  <c r="FD82" i="2"/>
  <c r="FW82" i="2"/>
  <c r="M82" i="2"/>
  <c r="F82" i="10"/>
  <c r="AF82" i="2"/>
  <c r="E82" i="10"/>
  <c r="FM82" i="2"/>
  <c r="Y82" i="2"/>
  <c r="S82" i="2"/>
  <c r="D82" i="2"/>
  <c r="IM82" i="2"/>
  <c r="AR82" i="2"/>
  <c r="FH82" i="2"/>
  <c r="FJ82" i="2"/>
  <c r="FL82" i="2"/>
  <c r="N82" i="2"/>
  <c r="JH82" i="2"/>
  <c r="JI82" i="2" s="1"/>
  <c r="JJ82" i="2" s="1"/>
  <c r="DG82" i="2"/>
  <c r="BU82" i="2"/>
  <c r="BS82" i="2"/>
  <c r="AG82" i="2"/>
  <c r="AV82" i="8"/>
  <c r="BP82" i="2"/>
  <c r="AM82" i="2"/>
  <c r="IL82" i="2"/>
  <c r="BQ82" i="2"/>
  <c r="AP82" i="2"/>
  <c r="AU82" i="8"/>
  <c r="AS82" i="2"/>
  <c r="B82" i="2"/>
  <c r="CY82" i="2"/>
  <c r="AT82" i="2"/>
  <c r="C82" i="2"/>
  <c r="DF82" i="2"/>
  <c r="IE82" i="2"/>
  <c r="E82" i="2"/>
  <c r="AO82" i="2"/>
  <c r="DC82" i="2"/>
  <c r="ID82" i="2"/>
  <c r="CF82" i="2"/>
  <c r="AC82" i="2"/>
  <c r="JA82" i="2"/>
  <c r="IZ82" i="2"/>
  <c r="IN82" i="2"/>
  <c r="D82" i="10"/>
  <c r="GD82" i="2"/>
  <c r="AD82" i="2"/>
  <c r="DM82" i="2"/>
  <c r="IO82" i="2"/>
  <c r="HP82" i="2"/>
  <c r="HS82" i="2"/>
  <c r="BR82" i="2"/>
  <c r="AG82" i="8"/>
  <c r="CE82" i="2"/>
  <c r="DN82" i="2"/>
  <c r="D82" i="8"/>
  <c r="HL82" i="2"/>
  <c r="BT82" i="2"/>
  <c r="GE82" i="2"/>
  <c r="W82" i="2"/>
  <c r="FB82" i="2"/>
  <c r="AT82" i="8"/>
  <c r="HQ82" i="2"/>
  <c r="FZ82" i="2"/>
  <c r="AE82" i="2"/>
  <c r="Q82" i="2"/>
  <c r="DA82" i="2"/>
  <c r="BF82" i="8"/>
  <c r="IX82" i="2" s="1"/>
  <c r="HM82" i="2"/>
  <c r="AH82" i="8"/>
  <c r="X82" i="2"/>
  <c r="L82" i="2"/>
  <c r="AN82" i="2"/>
  <c r="BE82" i="8"/>
  <c r="HR82" i="2"/>
  <c r="GN74" i="2"/>
  <c r="GT74" i="2"/>
  <c r="AU74" i="2"/>
  <c r="FH74" i="2"/>
  <c r="J74" i="2"/>
  <c r="DI74" i="2"/>
  <c r="FF74" i="2"/>
  <c r="BW74" i="2"/>
  <c r="AF74" i="2"/>
  <c r="B74" i="2"/>
  <c r="AV74" i="8"/>
  <c r="DC74" i="2"/>
  <c r="Y74" i="2"/>
  <c r="C74" i="2"/>
  <c r="IL74" i="2"/>
  <c r="AR74" i="2"/>
  <c r="S74" i="2"/>
  <c r="N74" i="2"/>
  <c r="AG74" i="2"/>
  <c r="Z74" i="2"/>
  <c r="F74" i="2"/>
  <c r="F74" i="8"/>
  <c r="T74" i="2"/>
  <c r="AU74" i="8"/>
  <c r="CY74" i="2"/>
  <c r="D74" i="2"/>
  <c r="FD74" i="2"/>
  <c r="E74" i="2"/>
  <c r="DF74" i="2"/>
  <c r="BT74" i="2"/>
  <c r="BR74" i="2"/>
  <c r="AM74" i="2"/>
  <c r="A56" i="1"/>
  <c r="AO74" i="2"/>
  <c r="AX74" i="2" s="1"/>
  <c r="BU74" i="2"/>
  <c r="BS74" i="2"/>
  <c r="AP74" i="2"/>
  <c r="BG74" i="8"/>
  <c r="IY74" i="2" s="1"/>
  <c r="DG74" i="2"/>
  <c r="BP74" i="2"/>
  <c r="AS74" i="2"/>
  <c r="FW74" i="2"/>
  <c r="JH74" i="2"/>
  <c r="JI74" i="2" s="1"/>
  <c r="JJ74" i="2" s="1"/>
  <c r="BQ74" i="2"/>
  <c r="AT74" i="2"/>
  <c r="FZ74" i="2"/>
  <c r="X74" i="2"/>
  <c r="Q74" i="2"/>
  <c r="DA74" i="2"/>
  <c r="BF74" i="8"/>
  <c r="IX74" i="2" s="1"/>
  <c r="HM74" i="2"/>
  <c r="AH74" i="8"/>
  <c r="CH74" i="2"/>
  <c r="L74" i="2"/>
  <c r="AN74" i="2"/>
  <c r="BE74" i="8"/>
  <c r="HR74" i="2"/>
  <c r="IM74" i="2"/>
  <c r="V74" i="8"/>
  <c r="AG74" i="8"/>
  <c r="FC74" i="2"/>
  <c r="CZ74" i="2"/>
  <c r="HT74" i="2"/>
  <c r="CQ74" i="2"/>
  <c r="D74" i="10"/>
  <c r="AI74" i="8"/>
  <c r="CF74" i="2"/>
  <c r="AC74" i="2"/>
  <c r="AJ74" i="2"/>
  <c r="AK74" i="2" s="1"/>
  <c r="HU74" i="2"/>
  <c r="BG74" i="2"/>
  <c r="ID74" i="2"/>
  <c r="IC74" i="2"/>
  <c r="R74" i="2"/>
  <c r="JA74" i="2"/>
  <c r="IZ74" i="2"/>
  <c r="IN74" i="2"/>
  <c r="GD74" i="2"/>
  <c r="AD74" i="2"/>
  <c r="FB74" i="2"/>
  <c r="IO74" i="2"/>
  <c r="HP74" i="2"/>
  <c r="HS74" i="2"/>
  <c r="FU66" i="2"/>
  <c r="GQ66" i="2"/>
  <c r="BH66" i="2"/>
  <c r="BI66" i="2" s="1"/>
  <c r="DH66" i="2"/>
  <c r="GC66" i="2"/>
  <c r="DJ66" i="2"/>
  <c r="DI66" i="2"/>
  <c r="BF66" i="2"/>
  <c r="BV66" i="2"/>
  <c r="BY66" i="2" s="1"/>
  <c r="J66" i="2"/>
  <c r="FF66" i="2"/>
  <c r="GM66" i="2"/>
  <c r="GR66" i="2"/>
  <c r="GS66" i="2" s="1"/>
  <c r="FT66" i="2"/>
  <c r="DB66" i="2"/>
  <c r="DL66" i="2" s="1"/>
  <c r="DQ66" i="2"/>
  <c r="DS66" i="2" s="1"/>
  <c r="K66" i="2"/>
  <c r="CG66" i="2"/>
  <c r="FE66" i="2"/>
  <c r="F66" i="10"/>
  <c r="FG66" i="2"/>
  <c r="GA66" i="2"/>
  <c r="GL66" i="2"/>
  <c r="IF66" i="2"/>
  <c r="AQ66" i="2"/>
  <c r="CI66" i="2"/>
  <c r="CJ66" i="2" s="1"/>
  <c r="DD66" i="2"/>
  <c r="FY66" i="2"/>
  <c r="BW66" i="2"/>
  <c r="FJ66" i="2"/>
  <c r="GB66" i="2"/>
  <c r="DE66" i="2"/>
  <c r="FX66" i="2"/>
  <c r="W66" i="8"/>
  <c r="S66" i="2"/>
  <c r="E66" i="2"/>
  <c r="FM66" i="2"/>
  <c r="FL66" i="2"/>
  <c r="N66" i="2"/>
  <c r="A48" i="1"/>
  <c r="GT66" i="2"/>
  <c r="G66" i="10"/>
  <c r="E66" i="10"/>
  <c r="AG66" i="2"/>
  <c r="Z66" i="2"/>
  <c r="GN66" i="2"/>
  <c r="AU66" i="2"/>
  <c r="FH66" i="2"/>
  <c r="T66" i="2"/>
  <c r="FW66" i="2"/>
  <c r="M66" i="2"/>
  <c r="B66" i="2"/>
  <c r="AV66" i="8"/>
  <c r="DC66" i="2"/>
  <c r="AF66" i="2"/>
  <c r="D66" i="2"/>
  <c r="F66" i="8"/>
  <c r="BU66" i="2"/>
  <c r="BS66" i="2"/>
  <c r="AT66" i="2"/>
  <c r="F66" i="2"/>
  <c r="FD66" i="2"/>
  <c r="BP66" i="2"/>
  <c r="IE66" i="2"/>
  <c r="BG66" i="8"/>
  <c r="IV66" i="2" s="1"/>
  <c r="IW66" i="2" s="1"/>
  <c r="DF66" i="2"/>
  <c r="BQ66" i="2"/>
  <c r="GO66" i="2"/>
  <c r="GP66" i="2" s="1"/>
  <c r="Y66" i="2"/>
  <c r="JH66" i="2"/>
  <c r="JI66" i="2" s="1"/>
  <c r="JJ66" i="2" s="1"/>
  <c r="AR66" i="2"/>
  <c r="IL66" i="2"/>
  <c r="AO66" i="2"/>
  <c r="AW66" i="2" s="1"/>
  <c r="FK66" i="2"/>
  <c r="IM66" i="2"/>
  <c r="DG66" i="2"/>
  <c r="AM66" i="2"/>
  <c r="AU66" i="8"/>
  <c r="AP66" i="2"/>
  <c r="BT66" i="2"/>
  <c r="ID66" i="2"/>
  <c r="CE66" i="2"/>
  <c r="R66" i="2"/>
  <c r="JA66" i="2"/>
  <c r="IZ66" i="2"/>
  <c r="IN66" i="2"/>
  <c r="GD66" i="2"/>
  <c r="CF66" i="2"/>
  <c r="DM66" i="2"/>
  <c r="IO66" i="2"/>
  <c r="HP66" i="2"/>
  <c r="HS66" i="2"/>
  <c r="AG66" i="8"/>
  <c r="AD66" i="2"/>
  <c r="DN66" i="2"/>
  <c r="D66" i="8"/>
  <c r="HL66" i="2"/>
  <c r="GE66" i="2"/>
  <c r="W66" i="2"/>
  <c r="FB66" i="2"/>
  <c r="AT66" i="8"/>
  <c r="HQ66" i="2"/>
  <c r="C66" i="2"/>
  <c r="FZ66" i="2"/>
  <c r="CH66" i="2"/>
  <c r="Q66" i="2"/>
  <c r="DA66" i="2"/>
  <c r="BF66" i="8"/>
  <c r="IX66" i="2" s="1"/>
  <c r="HM66" i="2"/>
  <c r="D66" i="10"/>
  <c r="CY66" i="2"/>
  <c r="AS66" i="2"/>
  <c r="AH66" i="8"/>
  <c r="AE66" i="2"/>
  <c r="AC66" i="2"/>
  <c r="AN66" i="2"/>
  <c r="BE66" i="8"/>
  <c r="HR66" i="2"/>
  <c r="FU58" i="2"/>
  <c r="GC58" i="2"/>
  <c r="DJ58" i="2"/>
  <c r="DI58" i="2"/>
  <c r="IF58" i="2"/>
  <c r="BF58" i="2"/>
  <c r="BV58" i="2"/>
  <c r="BY58" i="2" s="1"/>
  <c r="J58" i="2"/>
  <c r="G58" i="10"/>
  <c r="FF58" i="2"/>
  <c r="FG58" i="2"/>
  <c r="FY58" i="2"/>
  <c r="GM58" i="2"/>
  <c r="GR58" i="2"/>
  <c r="GS58" i="2" s="1"/>
  <c r="FT58" i="2"/>
  <c r="DB58" i="2"/>
  <c r="DL58" i="2" s="1"/>
  <c r="DQ58" i="2"/>
  <c r="DS58" i="2" s="1"/>
  <c r="FX58" i="2"/>
  <c r="K58" i="2"/>
  <c r="CI58" i="2"/>
  <c r="CK58" i="2" s="1"/>
  <c r="CG58" i="2"/>
  <c r="FE58" i="2"/>
  <c r="F58" i="10"/>
  <c r="GA58" i="2"/>
  <c r="GL58" i="2"/>
  <c r="AU58" i="2"/>
  <c r="AQ58" i="2"/>
  <c r="DD58" i="2"/>
  <c r="BW58" i="2"/>
  <c r="GB58" i="2"/>
  <c r="W58" i="8"/>
  <c r="DE58" i="2"/>
  <c r="GN58" i="2"/>
  <c r="GO58" i="2"/>
  <c r="GP58" i="2" s="1"/>
  <c r="GQ58" i="2"/>
  <c r="GT58" i="2"/>
  <c r="FH58" i="2"/>
  <c r="DH58" i="2"/>
  <c r="N58" i="2"/>
  <c r="Z58" i="2"/>
  <c r="T58" i="2"/>
  <c r="FW58" i="2"/>
  <c r="M58" i="2"/>
  <c r="FJ58" i="2"/>
  <c r="AF58" i="2"/>
  <c r="BH58" i="2"/>
  <c r="BI58" i="2" s="1"/>
  <c r="AG58" i="2"/>
  <c r="A40" i="1"/>
  <c r="CY58" i="2"/>
  <c r="FK58" i="2"/>
  <c r="FL58" i="2"/>
  <c r="Y58" i="2"/>
  <c r="D58" i="2"/>
  <c r="AU58" i="8"/>
  <c r="AP58" i="2"/>
  <c r="E58" i="2"/>
  <c r="F58" i="8"/>
  <c r="AS58" i="2"/>
  <c r="S58" i="2"/>
  <c r="F58" i="2"/>
  <c r="FD58" i="2"/>
  <c r="AT58" i="2"/>
  <c r="BG58" i="8"/>
  <c r="IY58" i="2" s="1"/>
  <c r="DF58" i="2"/>
  <c r="BT58" i="2"/>
  <c r="BR58" i="2"/>
  <c r="IE58" i="2"/>
  <c r="JH58" i="2"/>
  <c r="JI58" i="2" s="1"/>
  <c r="JJ58" i="2" s="1"/>
  <c r="DC58" i="2"/>
  <c r="BU58" i="2"/>
  <c r="BS58" i="2"/>
  <c r="E58" i="10"/>
  <c r="AV58" i="8"/>
  <c r="AO58" i="2"/>
  <c r="AX58" i="2" s="1"/>
  <c r="BP58" i="2"/>
  <c r="FM58" i="2"/>
  <c r="B58" i="2"/>
  <c r="IM58" i="2"/>
  <c r="AR58" i="2"/>
  <c r="BQ58" i="2"/>
  <c r="DG58" i="2"/>
  <c r="FZ58" i="2"/>
  <c r="AE58" i="2"/>
  <c r="CF58" i="2"/>
  <c r="DA58" i="2"/>
  <c r="BF58" i="8"/>
  <c r="IX58" i="2" s="1"/>
  <c r="HM58" i="2"/>
  <c r="AH58" i="8"/>
  <c r="X58" i="2"/>
  <c r="L58" i="2"/>
  <c r="AN58" i="2"/>
  <c r="BE58" i="8"/>
  <c r="HR58" i="2"/>
  <c r="V58" i="8"/>
  <c r="AG58" i="8"/>
  <c r="FC58" i="2"/>
  <c r="CZ58" i="2"/>
  <c r="HT58" i="2"/>
  <c r="CQ58" i="2"/>
  <c r="AM58" i="2"/>
  <c r="AI58" i="8"/>
  <c r="CE58" i="2"/>
  <c r="R58" i="2"/>
  <c r="AJ58" i="2"/>
  <c r="AK58" i="2" s="1"/>
  <c r="HU58" i="2"/>
  <c r="BG58" i="2"/>
  <c r="ID58" i="2"/>
  <c r="IC58" i="2"/>
  <c r="AC58" i="2"/>
  <c r="JA58" i="2"/>
  <c r="IZ58" i="2"/>
  <c r="IN58" i="2"/>
  <c r="GD58" i="2"/>
  <c r="AD58" i="2"/>
  <c r="FB58" i="2"/>
  <c r="IO58" i="2"/>
  <c r="HP58" i="2"/>
  <c r="HS58" i="2"/>
  <c r="FU50" i="2"/>
  <c r="E50" i="8"/>
  <c r="DB50" i="2"/>
  <c r="DL50" i="2" s="1"/>
  <c r="DQ50" i="2"/>
  <c r="DS50" i="2" s="1"/>
  <c r="AU50" i="2"/>
  <c r="CI50" i="2"/>
  <c r="CJ50" i="2" s="1"/>
  <c r="E50" i="10"/>
  <c r="GM50" i="2"/>
  <c r="GR50" i="2"/>
  <c r="GS50" i="2" s="1"/>
  <c r="FT50" i="2"/>
  <c r="K50" i="2"/>
  <c r="FE50" i="2"/>
  <c r="GA50" i="2"/>
  <c r="GL50" i="2"/>
  <c r="AQ50" i="2"/>
  <c r="BW50" i="2"/>
  <c r="G50" i="10"/>
  <c r="W50" i="8"/>
  <c r="DD50" i="2"/>
  <c r="GN50" i="2"/>
  <c r="GO50" i="2"/>
  <c r="GP50" i="2" s="1"/>
  <c r="GB50" i="2"/>
  <c r="GT50" i="2"/>
  <c r="DE50" i="2"/>
  <c r="FV50" i="2"/>
  <c r="GQ50" i="2"/>
  <c r="IF50" i="2"/>
  <c r="FF50" i="2"/>
  <c r="BH50" i="2"/>
  <c r="BJ50" i="2" s="1"/>
  <c r="DI50" i="2"/>
  <c r="DH50" i="2"/>
  <c r="FY50" i="2"/>
  <c r="BF50" i="2"/>
  <c r="J50" i="2"/>
  <c r="FG50" i="2"/>
  <c r="AG50" i="2"/>
  <c r="Y50" i="2"/>
  <c r="BV50" i="2"/>
  <c r="BX50" i="2" s="1"/>
  <c r="FH50" i="2"/>
  <c r="FJ50" i="2"/>
  <c r="S50" i="2"/>
  <c r="CG50" i="2"/>
  <c r="FL50" i="2"/>
  <c r="N50" i="2"/>
  <c r="FK50" i="2"/>
  <c r="FM50" i="2"/>
  <c r="Z50" i="2"/>
  <c r="GC50" i="2"/>
  <c r="F50" i="10"/>
  <c r="T50" i="2"/>
  <c r="FX50" i="2"/>
  <c r="FW50" i="2"/>
  <c r="M50" i="2"/>
  <c r="B50" i="2"/>
  <c r="AV50" i="8"/>
  <c r="DC50" i="2"/>
  <c r="BU50" i="2"/>
  <c r="BS50" i="2"/>
  <c r="C50" i="2"/>
  <c r="IL50" i="2"/>
  <c r="AR50" i="2"/>
  <c r="BP50" i="2"/>
  <c r="AM50" i="2"/>
  <c r="D50" i="2"/>
  <c r="IM50" i="2"/>
  <c r="AO50" i="2"/>
  <c r="AX50" i="2" s="1"/>
  <c r="BQ50" i="2"/>
  <c r="AP50" i="2"/>
  <c r="E50" i="2"/>
  <c r="AU50" i="8"/>
  <c r="DG50" i="2"/>
  <c r="AS50" i="2"/>
  <c r="AF50" i="2"/>
  <c r="A32" i="1"/>
  <c r="CY50" i="2"/>
  <c r="AT50" i="2"/>
  <c r="F50" i="2"/>
  <c r="F50" i="8"/>
  <c r="IE50" i="2"/>
  <c r="DJ50" i="2"/>
  <c r="BG50" i="8"/>
  <c r="IY50" i="2" s="1"/>
  <c r="FD50" i="2"/>
  <c r="JH50" i="2"/>
  <c r="JI50" i="2" s="1"/>
  <c r="JJ50" i="2" s="1"/>
  <c r="DF50" i="2"/>
  <c r="BR50" i="2"/>
  <c r="BT50" i="2"/>
  <c r="AQ42" i="2"/>
  <c r="K42" i="2"/>
  <c r="FE42" i="2"/>
  <c r="GL42" i="2"/>
  <c r="FJ42" i="2"/>
  <c r="GN42" i="2"/>
  <c r="DD42" i="2"/>
  <c r="DE42" i="2"/>
  <c r="IF42" i="2"/>
  <c r="GT42" i="2"/>
  <c r="FY42" i="2"/>
  <c r="G42" i="10"/>
  <c r="DH42" i="2"/>
  <c r="FX42" i="2"/>
  <c r="BH42" i="2"/>
  <c r="BJ42" i="2" s="1"/>
  <c r="DI42" i="2"/>
  <c r="AU42" i="2"/>
  <c r="BF42" i="2"/>
  <c r="J42" i="2"/>
  <c r="F42" i="10"/>
  <c r="FG42" i="2"/>
  <c r="DJ42" i="2"/>
  <c r="BV42" i="2"/>
  <c r="BX42" i="2" s="1"/>
  <c r="CI42" i="2"/>
  <c r="CJ42" i="2" s="1"/>
  <c r="CG42" i="2"/>
  <c r="FH42" i="2"/>
  <c r="AF42" i="2"/>
  <c r="FT42" i="2"/>
  <c r="FM42" i="2"/>
  <c r="FL42" i="2"/>
  <c r="AG42" i="2"/>
  <c r="Y42" i="2"/>
  <c r="FF42" i="2"/>
  <c r="FK42" i="2"/>
  <c r="S42" i="2"/>
  <c r="BW42" i="2"/>
  <c r="N42" i="2"/>
  <c r="DB42" i="2"/>
  <c r="DL42" i="2" s="1"/>
  <c r="E42" i="10"/>
  <c r="Z42" i="2"/>
  <c r="T42" i="2"/>
  <c r="A24" i="1"/>
  <c r="BG42" i="8"/>
  <c r="IV42" i="2" s="1"/>
  <c r="IW42" i="2" s="1"/>
  <c r="FD42" i="2"/>
  <c r="IM42" i="2"/>
  <c r="DF42" i="2"/>
  <c r="AU42" i="8"/>
  <c r="AO42" i="2"/>
  <c r="AY42" i="2" s="1"/>
  <c r="AM42" i="2"/>
  <c r="JH42" i="2"/>
  <c r="JI42" i="2" s="1"/>
  <c r="JJ42" i="2" s="1"/>
  <c r="DC42" i="2"/>
  <c r="BT42" i="2"/>
  <c r="BR42" i="2"/>
  <c r="AP42" i="2"/>
  <c r="E42" i="2"/>
  <c r="IL42" i="2"/>
  <c r="AR42" i="2"/>
  <c r="BU42" i="2"/>
  <c r="BS42" i="2"/>
  <c r="FW42" i="2"/>
  <c r="C42" i="2"/>
  <c r="AV42" i="8"/>
  <c r="DG42" i="2"/>
  <c r="BP42" i="2"/>
  <c r="M42" i="2"/>
  <c r="D42" i="2"/>
  <c r="CY42" i="2"/>
  <c r="BQ42" i="2"/>
  <c r="B42" i="2"/>
  <c r="F42" i="2"/>
  <c r="DQ42" i="2"/>
  <c r="DS42" i="2" s="1"/>
  <c r="F42" i="8"/>
  <c r="DD34" i="2"/>
  <c r="FJ34" i="2"/>
  <c r="DE34" i="2"/>
  <c r="FF34" i="2"/>
  <c r="FH34" i="2"/>
  <c r="DH34" i="2"/>
  <c r="F34" i="10"/>
  <c r="DI34" i="2"/>
  <c r="DJ34" i="2"/>
  <c r="DB34" i="2"/>
  <c r="DL34" i="2" s="1"/>
  <c r="DQ34" i="2"/>
  <c r="DS34" i="2" s="1"/>
  <c r="FE34" i="2"/>
  <c r="FM34" i="2"/>
  <c r="FK34" i="2"/>
  <c r="E34" i="10"/>
  <c r="G34" i="10"/>
  <c r="FG34" i="2"/>
  <c r="FL34" i="2"/>
  <c r="E34" i="2"/>
  <c r="CQ34" i="2" s="1"/>
  <c r="C34" i="2"/>
  <c r="CY34" i="2"/>
  <c r="D34" i="2"/>
  <c r="FD34" i="2"/>
  <c r="B34" i="2"/>
  <c r="AM34" i="2"/>
  <c r="BE34" i="8" s="1"/>
  <c r="E26" i="10"/>
  <c r="D26" i="2"/>
  <c r="IZ42" i="2"/>
  <c r="BF114" i="8"/>
  <c r="IX114" i="2" s="1"/>
  <c r="BF42" i="8"/>
  <c r="IX42" i="2" s="1"/>
  <c r="FZ114" i="2"/>
  <c r="FZ106" i="2"/>
  <c r="HS106" i="2"/>
  <c r="HQ114" i="2"/>
  <c r="DM42" i="2"/>
  <c r="BG42" i="2"/>
  <c r="CF50" i="2"/>
  <c r="AC42" i="2"/>
  <c r="R42" i="2"/>
  <c r="DA34" i="2"/>
  <c r="AH50" i="8"/>
  <c r="FC114" i="2"/>
  <c r="FC106" i="2"/>
  <c r="BG106" i="2"/>
  <c r="AC106" i="2"/>
  <c r="AE114" i="2"/>
  <c r="AT106" i="8"/>
  <c r="AH106" i="8"/>
  <c r="AI106" i="8"/>
  <c r="DM58" i="2"/>
  <c r="CZ66" i="2"/>
  <c r="D74" i="8"/>
  <c r="HT82" i="2"/>
  <c r="V82" i="8"/>
  <c r="HM90" i="2"/>
  <c r="AE90" i="2"/>
  <c r="DM98" i="2"/>
  <c r="CZ114" i="2"/>
  <c r="DN122" i="2"/>
  <c r="HQ130" i="2"/>
  <c r="GE130" i="2"/>
  <c r="FC138" i="2"/>
  <c r="IZ146" i="2"/>
  <c r="IC146" i="2"/>
  <c r="DM154" i="2"/>
  <c r="L162" i="2"/>
  <c r="BR66" i="2"/>
  <c r="A64" i="1"/>
  <c r="FU178" i="2"/>
  <c r="DQ178" i="2"/>
  <c r="DS178" i="2" s="1"/>
  <c r="BW178" i="2"/>
  <c r="G178" i="10"/>
  <c r="FH178" i="2"/>
  <c r="DE178" i="2"/>
  <c r="BF178" i="2"/>
  <c r="BV178" i="2"/>
  <c r="BX178" i="2" s="1"/>
  <c r="CI178" i="2"/>
  <c r="CJ178" i="2" s="1"/>
  <c r="F178" i="10"/>
  <c r="DD178" i="2"/>
  <c r="AQ178" i="2"/>
  <c r="J178" i="2"/>
  <c r="W178" i="8"/>
  <c r="GR178" i="2"/>
  <c r="GS178" i="2" s="1"/>
  <c r="BH178" i="2"/>
  <c r="BJ178" i="2" s="1"/>
  <c r="GT178" i="2"/>
  <c r="IF178" i="2"/>
  <c r="GC178" i="2"/>
  <c r="DJ178" i="2"/>
  <c r="FY178" i="2"/>
  <c r="K178" i="2"/>
  <c r="CG178" i="2"/>
  <c r="FE178" i="2"/>
  <c r="GQ178" i="2"/>
  <c r="DB178" i="2"/>
  <c r="DL178" i="2" s="1"/>
  <c r="DH178" i="2"/>
  <c r="FX178" i="2"/>
  <c r="FJ178" i="2"/>
  <c r="GL178" i="2"/>
  <c r="Y178" i="2"/>
  <c r="E178" i="2"/>
  <c r="AV178" i="8"/>
  <c r="AR178" i="2"/>
  <c r="E178" i="10"/>
  <c r="T178" i="2"/>
  <c r="B178" i="2"/>
  <c r="IM178" i="2"/>
  <c r="DC178" i="2"/>
  <c r="AU178" i="2"/>
  <c r="FG178" i="2"/>
  <c r="FL178" i="2"/>
  <c r="N178" i="2"/>
  <c r="C178" i="2"/>
  <c r="IL178" i="2"/>
  <c r="AO178" i="2"/>
  <c r="AW178" i="2" s="1"/>
  <c r="FM178" i="2"/>
  <c r="AG178" i="2"/>
  <c r="D178" i="2"/>
  <c r="AU178" i="8"/>
  <c r="DG178" i="2"/>
  <c r="Z178" i="2"/>
  <c r="A160" i="1"/>
  <c r="CY178" i="2"/>
  <c r="FT178" i="2"/>
  <c r="DI178" i="2"/>
  <c r="S178" i="2"/>
  <c r="F178" i="2"/>
  <c r="F178" i="8"/>
  <c r="FW178" i="2"/>
  <c r="M178" i="2"/>
  <c r="BG178" i="8"/>
  <c r="IV178" i="2" s="1"/>
  <c r="IW178" i="2" s="1"/>
  <c r="FD178" i="2"/>
  <c r="BR178" i="2"/>
  <c r="AT178" i="2"/>
  <c r="AH178" i="8"/>
  <c r="CE178" i="2"/>
  <c r="FB178" i="2"/>
  <c r="JA178" i="2"/>
  <c r="HP178" i="2"/>
  <c r="HM178" i="2"/>
  <c r="BT178" i="2"/>
  <c r="BS178" i="2"/>
  <c r="AS178" i="2"/>
  <c r="IC178" i="2"/>
  <c r="AC178" i="2"/>
  <c r="FC178" i="2"/>
  <c r="IO178" i="2"/>
  <c r="IZ178" i="2"/>
  <c r="CQ178" i="2"/>
  <c r="BU178" i="2"/>
  <c r="IE178" i="2"/>
  <c r="GE178" i="2"/>
  <c r="CH178" i="2"/>
  <c r="DN178" i="2"/>
  <c r="D178" i="8"/>
  <c r="HQ178" i="2"/>
  <c r="FF178" i="2"/>
  <c r="FK178" i="2"/>
  <c r="BP178" i="2"/>
  <c r="CF178" i="2"/>
  <c r="W178" i="2"/>
  <c r="CZ178" i="2"/>
  <c r="AT178" i="8"/>
  <c r="BG178" i="2"/>
  <c r="BQ178" i="2"/>
  <c r="FZ178" i="2"/>
  <c r="AD178" i="2"/>
  <c r="X178" i="2"/>
  <c r="DA178" i="2"/>
  <c r="BF178" i="8"/>
  <c r="IX178" i="2" s="1"/>
  <c r="IN178" i="2"/>
  <c r="AF178" i="2"/>
  <c r="JH178" i="2"/>
  <c r="JI178" i="2" s="1"/>
  <c r="JJ178" i="2" s="1"/>
  <c r="AI178" i="8"/>
  <c r="ID178" i="2"/>
  <c r="Q178" i="2"/>
  <c r="DM178" i="2"/>
  <c r="BE178" i="8"/>
  <c r="HR178" i="2"/>
  <c r="DF178" i="2"/>
  <c r="AM178" i="2"/>
  <c r="AG178" i="8"/>
  <c r="HU178" i="2"/>
  <c r="AE178" i="2"/>
  <c r="HL178" i="2"/>
  <c r="GD178" i="2"/>
  <c r="HS178" i="2"/>
  <c r="L178" i="2"/>
  <c r="R178" i="2"/>
  <c r="AJ178" i="2"/>
  <c r="AK178" i="2" s="1"/>
  <c r="CE42" i="2"/>
  <c r="L42" i="2"/>
  <c r="CH42" i="2"/>
  <c r="D42" i="10"/>
  <c r="CE50" i="2"/>
  <c r="AI50" i="8"/>
  <c r="AC114" i="2"/>
  <c r="D106" i="10"/>
  <c r="ID106" i="2"/>
  <c r="CZ106" i="2"/>
  <c r="D146" i="10"/>
  <c r="D178" i="10"/>
  <c r="Q58" i="2"/>
  <c r="FC66" i="2"/>
  <c r="DN74" i="2"/>
  <c r="AJ82" i="2"/>
  <c r="AK82" i="2" s="1"/>
  <c r="HQ90" i="2"/>
  <c r="CF90" i="2"/>
  <c r="R98" i="2"/>
  <c r="DA114" i="2"/>
  <c r="Q122" i="2"/>
  <c r="AT130" i="8"/>
  <c r="ID138" i="2"/>
  <c r="HP146" i="2"/>
  <c r="AH146" i="8"/>
  <c r="L154" i="2"/>
  <c r="BP186" i="2"/>
  <c r="AU90" i="8"/>
  <c r="GN170" i="2"/>
  <c r="DE170" i="2"/>
  <c r="IF170" i="2"/>
  <c r="BF170" i="2"/>
  <c r="BV170" i="2"/>
  <c r="BX170" i="2" s="1"/>
  <c r="CI170" i="2"/>
  <c r="CJ170" i="2" s="1"/>
  <c r="F170" i="10"/>
  <c r="DD170" i="2"/>
  <c r="FY170" i="2"/>
  <c r="AQ170" i="2"/>
  <c r="J170" i="2"/>
  <c r="G170" i="10"/>
  <c r="FG170" i="2"/>
  <c r="W170" i="8"/>
  <c r="FX170" i="2"/>
  <c r="BH170" i="2"/>
  <c r="BI170" i="2" s="1"/>
  <c r="GT170" i="2"/>
  <c r="AU170" i="2"/>
  <c r="K170" i="2"/>
  <c r="FE170" i="2"/>
  <c r="FF170" i="2"/>
  <c r="DJ170" i="2"/>
  <c r="CG170" i="2"/>
  <c r="DB170" i="2"/>
  <c r="DL170" i="2" s="1"/>
  <c r="DH170" i="2"/>
  <c r="FJ170" i="2"/>
  <c r="FT170" i="2"/>
  <c r="GL170" i="2"/>
  <c r="DI170" i="2"/>
  <c r="BW170" i="2"/>
  <c r="FH170" i="2"/>
  <c r="FM170" i="2"/>
  <c r="FL170" i="2"/>
  <c r="AF170" i="2"/>
  <c r="A152" i="1"/>
  <c r="CY170" i="2"/>
  <c r="Y170" i="2"/>
  <c r="F170" i="2"/>
  <c r="F170" i="8"/>
  <c r="S170" i="2"/>
  <c r="BG170" i="8"/>
  <c r="IY170" i="2" s="1"/>
  <c r="FD170" i="2"/>
  <c r="N170" i="2"/>
  <c r="JH170" i="2"/>
  <c r="JI170" i="2" s="1"/>
  <c r="JJ170" i="2" s="1"/>
  <c r="DF170" i="2"/>
  <c r="DQ170" i="2"/>
  <c r="DS170" i="2" s="1"/>
  <c r="FK170" i="2"/>
  <c r="AG170" i="2"/>
  <c r="E170" i="2"/>
  <c r="IM170" i="2"/>
  <c r="AR170" i="2"/>
  <c r="Z170" i="2"/>
  <c r="B170" i="2"/>
  <c r="AV170" i="8"/>
  <c r="DC170" i="2"/>
  <c r="M170" i="2"/>
  <c r="C170" i="2"/>
  <c r="IL170" i="2"/>
  <c r="AO170" i="2"/>
  <c r="AW170" i="2" s="1"/>
  <c r="AU170" i="8"/>
  <c r="BQ170" i="2"/>
  <c r="AM170" i="2"/>
  <c r="GE170" i="2"/>
  <c r="ID170" i="2"/>
  <c r="R170" i="2"/>
  <c r="DM170" i="2"/>
  <c r="HU170" i="2"/>
  <c r="HS170" i="2"/>
  <c r="DG170" i="2"/>
  <c r="AP170" i="2"/>
  <c r="CF170" i="2"/>
  <c r="CE170" i="2"/>
  <c r="FB170" i="2"/>
  <c r="JA170" i="2"/>
  <c r="HP170" i="2"/>
  <c r="HM170" i="2"/>
  <c r="AT170" i="2"/>
  <c r="AD170" i="2"/>
  <c r="AC170" i="2"/>
  <c r="FC170" i="2"/>
  <c r="IO170" i="2"/>
  <c r="IZ170" i="2"/>
  <c r="CQ170" i="2"/>
  <c r="AS170" i="2"/>
  <c r="AE170" i="2"/>
  <c r="W170" i="2"/>
  <c r="DN170" i="2"/>
  <c r="D170" i="8"/>
  <c r="HQ170" i="2"/>
  <c r="E170" i="10"/>
  <c r="BR170" i="2"/>
  <c r="IE170" i="2"/>
  <c r="AG170" i="8"/>
  <c r="CH170" i="2"/>
  <c r="CZ170" i="2"/>
  <c r="AT170" i="8"/>
  <c r="BG170" i="2"/>
  <c r="BT170" i="2"/>
  <c r="BS170" i="2"/>
  <c r="FZ170" i="2"/>
  <c r="IC170" i="2"/>
  <c r="X170" i="2"/>
  <c r="AJ170" i="2"/>
  <c r="AK170" i="2" s="1"/>
  <c r="BF170" i="8"/>
  <c r="IX170" i="2" s="1"/>
  <c r="IN170" i="2"/>
  <c r="FW170" i="2"/>
  <c r="BU170" i="2"/>
  <c r="AH170" i="8"/>
  <c r="HR170" i="2"/>
  <c r="GD170" i="2"/>
  <c r="HL170" i="2"/>
  <c r="Q170" i="2"/>
  <c r="T170" i="2"/>
  <c r="L170" i="2"/>
  <c r="BP170" i="2"/>
  <c r="DA170" i="2"/>
  <c r="AN170" i="2"/>
  <c r="IO106" i="2"/>
  <c r="IN42" i="2"/>
  <c r="GD50" i="2"/>
  <c r="FC34" i="2"/>
  <c r="IE42" i="2"/>
  <c r="AN50" i="2"/>
  <c r="V50" i="8"/>
  <c r="GD114" i="2"/>
  <c r="AD114" i="2"/>
  <c r="AD106" i="2"/>
  <c r="CH106" i="2"/>
  <c r="W58" i="2"/>
  <c r="L66" i="2"/>
  <c r="DM74" i="2"/>
  <c r="CZ82" i="2"/>
  <c r="BF90" i="8"/>
  <c r="IX90" i="2" s="1"/>
  <c r="FZ90" i="2"/>
  <c r="HS98" i="2"/>
  <c r="CH98" i="2"/>
  <c r="W122" i="2"/>
  <c r="D130" i="8"/>
  <c r="CQ138" i="2"/>
  <c r="AC138" i="2"/>
  <c r="IO146" i="2"/>
  <c r="W154" i="2"/>
  <c r="HT178" i="2"/>
  <c r="IZ186" i="2"/>
  <c r="IE74" i="2"/>
  <c r="AS98" i="2"/>
  <c r="FU162" i="2"/>
  <c r="W162" i="8"/>
  <c r="AQ162" i="2"/>
  <c r="FF162" i="2"/>
  <c r="FG162" i="2"/>
  <c r="K162" i="2"/>
  <c r="FE162" i="2"/>
  <c r="BH162" i="2"/>
  <c r="BJ162" i="2" s="1"/>
  <c r="GT162" i="2"/>
  <c r="DJ162" i="2"/>
  <c r="CG162" i="2"/>
  <c r="FJ162" i="2"/>
  <c r="GC162" i="2"/>
  <c r="DB162" i="2"/>
  <c r="DL162" i="2" s="1"/>
  <c r="DH162" i="2"/>
  <c r="IF162" i="2"/>
  <c r="BW162" i="2"/>
  <c r="G162" i="10"/>
  <c r="FT162" i="2"/>
  <c r="GL162" i="2"/>
  <c r="DI162" i="2"/>
  <c r="FY162" i="2"/>
  <c r="DQ162" i="2"/>
  <c r="DS162" i="2" s="1"/>
  <c r="FX162" i="2"/>
  <c r="CI162" i="2"/>
  <c r="CJ162" i="2" s="1"/>
  <c r="F162" i="10"/>
  <c r="BF162" i="2"/>
  <c r="FW162" i="2"/>
  <c r="T162" i="2"/>
  <c r="E162" i="2"/>
  <c r="AV162" i="8"/>
  <c r="AO162" i="2"/>
  <c r="AW162" i="2" s="1"/>
  <c r="J162" i="2"/>
  <c r="FH162" i="2"/>
  <c r="AF162" i="2"/>
  <c r="B162" i="2"/>
  <c r="IM162" i="2"/>
  <c r="DC162" i="2"/>
  <c r="DD162" i="2"/>
  <c r="BV162" i="2"/>
  <c r="BY162" i="2" s="1"/>
  <c r="FK162" i="2"/>
  <c r="Y162" i="2"/>
  <c r="C162" i="2"/>
  <c r="IL162" i="2"/>
  <c r="AR162" i="2"/>
  <c r="AU162" i="2"/>
  <c r="S162" i="2"/>
  <c r="D162" i="2"/>
  <c r="AU162" i="8"/>
  <c r="DG162" i="2"/>
  <c r="DE162" i="2"/>
  <c r="N162" i="2"/>
  <c r="A144" i="1"/>
  <c r="CY162" i="2"/>
  <c r="E162" i="10"/>
  <c r="FM162" i="2"/>
  <c r="AG162" i="2"/>
  <c r="F162" i="2"/>
  <c r="F162" i="8"/>
  <c r="FL162" i="2"/>
  <c r="Z162" i="2"/>
  <c r="BG162" i="8"/>
  <c r="IV162" i="2" s="1"/>
  <c r="IW162" i="2" s="1"/>
  <c r="FD162" i="2"/>
  <c r="M162" i="2"/>
  <c r="BR162" i="2"/>
  <c r="AH162" i="8"/>
  <c r="CE162" i="2"/>
  <c r="FB162" i="2"/>
  <c r="JA162" i="2"/>
  <c r="HP162" i="2"/>
  <c r="HM162" i="2"/>
  <c r="BT162" i="2"/>
  <c r="BS162" i="2"/>
  <c r="IC162" i="2"/>
  <c r="AC162" i="2"/>
  <c r="FC162" i="2"/>
  <c r="IO162" i="2"/>
  <c r="IZ162" i="2"/>
  <c r="CQ162" i="2"/>
  <c r="JH162" i="2"/>
  <c r="JI162" i="2" s="1"/>
  <c r="JJ162" i="2" s="1"/>
  <c r="BU162" i="2"/>
  <c r="AM162" i="2"/>
  <c r="GE162" i="2"/>
  <c r="CH162" i="2"/>
  <c r="DN162" i="2"/>
  <c r="D162" i="8"/>
  <c r="HQ162" i="2"/>
  <c r="DF162" i="2"/>
  <c r="BP162" i="2"/>
  <c r="AP162" i="2"/>
  <c r="CF162" i="2"/>
  <c r="W162" i="2"/>
  <c r="CZ162" i="2"/>
  <c r="AT162" i="8"/>
  <c r="BG162" i="2"/>
  <c r="BQ162" i="2"/>
  <c r="AT162" i="2"/>
  <c r="FZ162" i="2"/>
  <c r="AD162" i="2"/>
  <c r="Q162" i="2"/>
  <c r="AJ162" i="2"/>
  <c r="AK162" i="2" s="1"/>
  <c r="BF162" i="8"/>
  <c r="IX162" i="2" s="1"/>
  <c r="IN162" i="2"/>
  <c r="AS162" i="2"/>
  <c r="AI162" i="8"/>
  <c r="ID162" i="2"/>
  <c r="X162" i="2"/>
  <c r="IE162" i="2"/>
  <c r="R162" i="2"/>
  <c r="HL162" i="2"/>
  <c r="DA162" i="2"/>
  <c r="HS162" i="2"/>
  <c r="AN162" i="2"/>
  <c r="V162" i="8"/>
  <c r="DM162" i="2"/>
  <c r="AG162" i="8"/>
  <c r="BE162" i="8"/>
  <c r="AE162" i="2"/>
  <c r="HT162" i="2"/>
  <c r="BF106" i="8"/>
  <c r="IX106" i="2" s="1"/>
  <c r="HR50" i="2"/>
  <c r="IN50" i="2"/>
  <c r="AE50" i="2"/>
  <c r="D34" i="10"/>
  <c r="FB42" i="2"/>
  <c r="ID42" i="2"/>
  <c r="BF50" i="8"/>
  <c r="IX50" i="2" s="1"/>
  <c r="HU114" i="2"/>
  <c r="HT50" i="2"/>
  <c r="HL106" i="2"/>
  <c r="HL50" i="2"/>
  <c r="HS114" i="2"/>
  <c r="HP106" i="2"/>
  <c r="HP42" i="2"/>
  <c r="DN50" i="2"/>
  <c r="Q50" i="2"/>
  <c r="BG50" i="2"/>
  <c r="AD42" i="2"/>
  <c r="AD50" i="2"/>
  <c r="AE42" i="2"/>
  <c r="AC50" i="2"/>
  <c r="FB34" i="2"/>
  <c r="BE42" i="8"/>
  <c r="D50" i="10"/>
  <c r="CF42" i="2"/>
  <c r="W50" i="2"/>
  <c r="AG42" i="8"/>
  <c r="CZ50" i="2"/>
  <c r="GD106" i="2"/>
  <c r="Q114" i="2"/>
  <c r="CH114" i="2"/>
  <c r="BE106" i="8"/>
  <c r="CF114" i="2"/>
  <c r="CF106" i="2"/>
  <c r="AI114" i="8"/>
  <c r="AG114" i="8"/>
  <c r="D122" i="10"/>
  <c r="D154" i="10"/>
  <c r="D90" i="10"/>
  <c r="HQ58" i="2"/>
  <c r="CH58" i="2"/>
  <c r="BG66" i="2"/>
  <c r="IC66" i="2"/>
  <c r="W74" i="2"/>
  <c r="R82" i="2"/>
  <c r="AT90" i="8"/>
  <c r="IN98" i="2"/>
  <c r="CE98" i="2"/>
  <c r="IN122" i="2"/>
  <c r="AE122" i="2"/>
  <c r="DN130" i="2"/>
  <c r="HQ138" i="2"/>
  <c r="AE138" i="2"/>
  <c r="JA146" i="2"/>
  <c r="HM154" i="2"/>
  <c r="AD154" i="2"/>
  <c r="HT170" i="2"/>
  <c r="AN178" i="2"/>
  <c r="D186" i="8"/>
  <c r="HR194" i="2"/>
  <c r="BT98" i="2"/>
  <c r="D170" i="2"/>
  <c r="V178" i="8"/>
  <c r="BP138" i="2"/>
  <c r="IL58" i="2"/>
  <c r="M74" i="2"/>
  <c r="BE170" i="8"/>
  <c r="HU106" i="2"/>
  <c r="HM114" i="2"/>
  <c r="IN106" i="2"/>
  <c r="HS42" i="2"/>
  <c r="HP50" i="2"/>
  <c r="DM34" i="2"/>
  <c r="FC50" i="2"/>
  <c r="GE42" i="2"/>
  <c r="AS42" i="2"/>
  <c r="R50" i="2"/>
  <c r="DM106" i="2"/>
  <c r="DN114" i="2"/>
  <c r="AJ114" i="2"/>
  <c r="AK114" i="2" s="1"/>
  <c r="AT34" i="8"/>
  <c r="D42" i="8"/>
  <c r="BE50" i="8"/>
  <c r="ID50" i="2"/>
  <c r="W42" i="2"/>
  <c r="IC50" i="2"/>
  <c r="AI42" i="8"/>
  <c r="CZ42" i="2"/>
  <c r="GE114" i="2"/>
  <c r="AT114" i="8"/>
  <c r="X114" i="2"/>
  <c r="W106" i="2"/>
  <c r="AG106" i="8"/>
  <c r="D130" i="10"/>
  <c r="D162" i="10"/>
  <c r="AT58" i="8"/>
  <c r="HU66" i="2"/>
  <c r="AI66" i="8"/>
  <c r="HQ74" i="2"/>
  <c r="AE74" i="2"/>
  <c r="BG82" i="2"/>
  <c r="CH82" i="2"/>
  <c r="DN90" i="2"/>
  <c r="IZ98" i="2"/>
  <c r="ID98" i="2"/>
  <c r="BF122" i="8"/>
  <c r="IX122" i="2" s="1"/>
  <c r="FZ122" i="2"/>
  <c r="W130" i="2"/>
  <c r="D138" i="8"/>
  <c r="FB146" i="2"/>
  <c r="HP154" i="2"/>
  <c r="V170" i="8"/>
  <c r="ID194" i="2"/>
  <c r="C58" i="2"/>
  <c r="GE50" i="2"/>
  <c r="CH50" i="2"/>
  <c r="DM114" i="2"/>
  <c r="DG34" i="2"/>
  <c r="AJ106" i="2"/>
  <c r="AK106" i="2" s="1"/>
  <c r="CZ34" i="2"/>
  <c r="AT50" i="8"/>
  <c r="CQ50" i="2"/>
  <c r="X42" i="2"/>
  <c r="V34" i="8"/>
  <c r="DA42" i="2"/>
  <c r="GE106" i="2"/>
  <c r="CE106" i="2"/>
  <c r="L106" i="2"/>
  <c r="CQ114" i="2"/>
  <c r="D114" i="8"/>
  <c r="IC114" i="2"/>
  <c r="D58" i="10"/>
  <c r="D58" i="8"/>
  <c r="HT66" i="2"/>
  <c r="V66" i="8"/>
  <c r="HL74" i="2"/>
  <c r="GE74" i="2"/>
  <c r="CQ82" i="2"/>
  <c r="IC82" i="2"/>
  <c r="Q90" i="2"/>
  <c r="IO98" i="2"/>
  <c r="AT122" i="8"/>
  <c r="AC130" i="2"/>
  <c r="IO138" i="2"/>
  <c r="CQ146" i="2"/>
  <c r="CF146" i="2"/>
  <c r="HU154" i="2"/>
  <c r="HR162" i="2"/>
  <c r="AI170" i="8"/>
  <c r="V194" i="8"/>
  <c r="AS154" i="2"/>
  <c r="AP178" i="2"/>
  <c r="AH28" i="8"/>
  <c r="D7" i="10"/>
  <c r="AM7" i="2"/>
  <c r="V7" i="8" s="1"/>
  <c r="AN28" i="2"/>
  <c r="AI20" i="8"/>
  <c r="AI29" i="8"/>
  <c r="AM5" i="2"/>
  <c r="AG5" i="8" s="1"/>
  <c r="IC29" i="2"/>
  <c r="AN29" i="2"/>
  <c r="CE29" i="2" s="1"/>
  <c r="W29" i="2"/>
  <c r="X29" i="2"/>
  <c r="CQ29" i="2"/>
  <c r="ID29" i="2"/>
  <c r="IF103" i="2"/>
  <c r="FJ103" i="2"/>
  <c r="FE87" i="2"/>
  <c r="FH87" i="2"/>
  <c r="AQ71" i="2"/>
  <c r="FF71" i="2"/>
  <c r="W109" i="8"/>
  <c r="FV197" i="2"/>
  <c r="K197" i="2"/>
  <c r="F197" i="10"/>
  <c r="FG197" i="2"/>
  <c r="E197" i="10"/>
  <c r="FJ197" i="2"/>
  <c r="GT197" i="2"/>
  <c r="CG197" i="2"/>
  <c r="G197" i="10"/>
  <c r="FE197" i="2"/>
  <c r="GN189" i="2"/>
  <c r="CG189" i="2"/>
  <c r="G189" i="10"/>
  <c r="FJ189" i="2"/>
  <c r="GT189" i="2"/>
  <c r="FE189" i="2"/>
  <c r="FK189" i="2"/>
  <c r="FY189" i="2"/>
  <c r="J189" i="2"/>
  <c r="CI189" i="2"/>
  <c r="CJ189" i="2" s="1"/>
  <c r="FF189" i="2"/>
  <c r="FH189" i="2"/>
  <c r="GO181" i="2"/>
  <c r="GP181" i="2" s="1"/>
  <c r="DI181" i="2"/>
  <c r="FE181" i="2"/>
  <c r="FK181" i="2"/>
  <c r="IF181" i="2"/>
  <c r="BW181" i="2"/>
  <c r="G181" i="10"/>
  <c r="J181" i="2"/>
  <c r="CI181" i="2"/>
  <c r="CK181" i="2" s="1"/>
  <c r="FF181" i="2"/>
  <c r="FH181" i="2"/>
  <c r="DE181" i="2"/>
  <c r="F181" i="10"/>
  <c r="GB173" i="2"/>
  <c r="FF173" i="2"/>
  <c r="J173" i="2"/>
  <c r="CI173" i="2"/>
  <c r="CJ173" i="2" s="1"/>
  <c r="K173" i="2"/>
  <c r="F173" i="10"/>
  <c r="FG173" i="2"/>
  <c r="E173" i="10"/>
  <c r="CG173" i="2"/>
  <c r="FJ173" i="2"/>
  <c r="G173" i="10"/>
  <c r="F165" i="10"/>
  <c r="FG165" i="2"/>
  <c r="CG165" i="2"/>
  <c r="FJ165" i="2"/>
  <c r="FK165" i="2"/>
  <c r="BW165" i="2"/>
  <c r="FH165" i="2"/>
  <c r="FK157" i="2"/>
  <c r="FX157" i="2"/>
  <c r="BW157" i="2"/>
  <c r="G157" i="10"/>
  <c r="FE157" i="2"/>
  <c r="FH157" i="2"/>
  <c r="FF157" i="2"/>
  <c r="J157" i="2"/>
  <c r="K157" i="2"/>
  <c r="CI157" i="2"/>
  <c r="CJ157" i="2" s="1"/>
  <c r="F157" i="10"/>
  <c r="E157" i="10"/>
  <c r="BW149" i="2"/>
  <c r="FE149" i="2"/>
  <c r="FH149" i="2"/>
  <c r="FF149" i="2"/>
  <c r="K149" i="2"/>
  <c r="E149" i="10"/>
  <c r="GR149" i="2"/>
  <c r="GS149" i="2" s="1"/>
  <c r="J149" i="2"/>
  <c r="CI149" i="2"/>
  <c r="CK149" i="2" s="1"/>
  <c r="F149" i="10"/>
  <c r="CG149" i="2"/>
  <c r="J141" i="2"/>
  <c r="K141" i="2"/>
  <c r="F141" i="10"/>
  <c r="FV141" i="2"/>
  <c r="BF141" i="2"/>
  <c r="CI141" i="2"/>
  <c r="CK141" i="2" s="1"/>
  <c r="FJ141" i="2"/>
  <c r="FG141" i="2"/>
  <c r="CG141" i="2"/>
  <c r="FK141" i="2"/>
  <c r="BW141" i="2"/>
  <c r="FH141" i="2"/>
  <c r="FG133" i="2"/>
  <c r="CG133" i="2"/>
  <c r="G133" i="10"/>
  <c r="FK133" i="2"/>
  <c r="BW133" i="2"/>
  <c r="FH133" i="2"/>
  <c r="K133" i="2"/>
  <c r="BW125" i="2"/>
  <c r="FH125" i="2"/>
  <c r="GQ125" i="2"/>
  <c r="W125" i="8"/>
  <c r="FF125" i="2"/>
  <c r="E125" i="10"/>
  <c r="FE125" i="2"/>
  <c r="AU125" i="2"/>
  <c r="BV125" i="2"/>
  <c r="BX125" i="2" s="1"/>
  <c r="K125" i="2"/>
  <c r="F125" i="10"/>
  <c r="FJ125" i="2"/>
  <c r="CI125" i="2"/>
  <c r="CJ125" i="2" s="1"/>
  <c r="FV117" i="2"/>
  <c r="GM117" i="2"/>
  <c r="FX117" i="2"/>
  <c r="FE117" i="2"/>
  <c r="K117" i="2"/>
  <c r="F117" i="10"/>
  <c r="FJ117" i="2"/>
  <c r="J117" i="2"/>
  <c r="CI117" i="2"/>
  <c r="CK117" i="2" s="1"/>
  <c r="BH117" i="2"/>
  <c r="BI117" i="2" s="1"/>
  <c r="FG117" i="2"/>
  <c r="FU109" i="2"/>
  <c r="DB109" i="2"/>
  <c r="DL109" i="2" s="1"/>
  <c r="AU109" i="2"/>
  <c r="BV109" i="2"/>
  <c r="BX109" i="2" s="1"/>
  <c r="J109" i="2"/>
  <c r="CI109" i="2"/>
  <c r="CJ109" i="2" s="1"/>
  <c r="BH109" i="2"/>
  <c r="BI109" i="2" s="1"/>
  <c r="DQ109" i="2"/>
  <c r="DP109" i="2" s="1"/>
  <c r="DH109" i="2"/>
  <c r="G109" i="10"/>
  <c r="FG109" i="2"/>
  <c r="FT109" i="2"/>
  <c r="CG109" i="2"/>
  <c r="FK109" i="2"/>
  <c r="E109" i="8"/>
  <c r="GL109" i="2"/>
  <c r="DE109" i="2"/>
  <c r="AQ109" i="2"/>
  <c r="BW109" i="2"/>
  <c r="GC109" i="2"/>
  <c r="IF109" i="2"/>
  <c r="DQ101" i="2"/>
  <c r="DS101" i="2" s="1"/>
  <c r="DH101" i="2"/>
  <c r="FK101" i="2"/>
  <c r="CG101" i="2"/>
  <c r="FH101" i="2"/>
  <c r="E101" i="8"/>
  <c r="GL101" i="2"/>
  <c r="DE101" i="2"/>
  <c r="IF101" i="2"/>
  <c r="AQ101" i="2"/>
  <c r="BW101" i="2"/>
  <c r="DD101" i="2"/>
  <c r="FY101" i="2"/>
  <c r="BF101" i="2"/>
  <c r="G101" i="10"/>
  <c r="FF101" i="2"/>
  <c r="E101" i="10"/>
  <c r="GT101" i="2"/>
  <c r="DJ101" i="2"/>
  <c r="DI101" i="2"/>
  <c r="AU101" i="2"/>
  <c r="FE101" i="2"/>
  <c r="F101" i="10"/>
  <c r="FU93" i="2"/>
  <c r="FY93" i="2"/>
  <c r="E93" i="10"/>
  <c r="E93" i="8"/>
  <c r="FT93" i="2"/>
  <c r="GL93" i="2"/>
  <c r="DD93" i="2"/>
  <c r="DE93" i="2"/>
  <c r="FX93" i="2"/>
  <c r="BF93" i="2"/>
  <c r="AQ93" i="2"/>
  <c r="BW93" i="2"/>
  <c r="FF93" i="2"/>
  <c r="AU93" i="2"/>
  <c r="FJ93" i="2"/>
  <c r="GO93" i="2"/>
  <c r="GP93" i="2" s="1"/>
  <c r="GB93" i="2"/>
  <c r="GC93" i="2"/>
  <c r="FE93" i="2"/>
  <c r="F93" i="10"/>
  <c r="FV93" i="2"/>
  <c r="GM93" i="2"/>
  <c r="GA93" i="2"/>
  <c r="GN93" i="2"/>
  <c r="GQ93" i="2"/>
  <c r="BV93" i="2"/>
  <c r="BY93" i="2" s="1"/>
  <c r="J93" i="2"/>
  <c r="K93" i="2"/>
  <c r="FU85" i="2"/>
  <c r="E85" i="8"/>
  <c r="GL85" i="2"/>
  <c r="DD85" i="2"/>
  <c r="DE85" i="2"/>
  <c r="BW85" i="2"/>
  <c r="F85" i="10"/>
  <c r="GC85" i="2"/>
  <c r="FE85" i="2"/>
  <c r="GO85" i="2"/>
  <c r="GP85" i="2" s="1"/>
  <c r="GB85" i="2"/>
  <c r="GR85" i="2"/>
  <c r="GS85" i="2" s="1"/>
  <c r="CI85" i="2"/>
  <c r="CK85" i="2" s="1"/>
  <c r="FG85" i="2"/>
  <c r="W85" i="8"/>
  <c r="GT85" i="2"/>
  <c r="DJ85" i="2"/>
  <c r="DI85" i="2"/>
  <c r="FK85" i="2"/>
  <c r="DB85" i="2"/>
  <c r="DL85" i="2" s="1"/>
  <c r="FY85" i="2"/>
  <c r="E85" i="10"/>
  <c r="FU77" i="2"/>
  <c r="GO77" i="2"/>
  <c r="GP77" i="2" s="1"/>
  <c r="GB77" i="2"/>
  <c r="GR77" i="2"/>
  <c r="GS77" i="2" s="1"/>
  <c r="AU77" i="2"/>
  <c r="G77" i="10"/>
  <c r="W77" i="8"/>
  <c r="GT77" i="2"/>
  <c r="DJ77" i="2"/>
  <c r="DI77" i="2"/>
  <c r="BV77" i="2"/>
  <c r="BX77" i="2" s="1"/>
  <c r="FH77" i="2"/>
  <c r="FK77" i="2"/>
  <c r="GM77" i="2"/>
  <c r="GA77" i="2"/>
  <c r="GQ77" i="2"/>
  <c r="J77" i="2"/>
  <c r="K77" i="2"/>
  <c r="FV77" i="2"/>
  <c r="GN77" i="2"/>
  <c r="DB77" i="2"/>
  <c r="DL77" i="2" s="1"/>
  <c r="CG77" i="2"/>
  <c r="E77" i="10"/>
  <c r="FT77" i="2"/>
  <c r="IF77" i="2"/>
  <c r="AQ77" i="2"/>
  <c r="FJ77" i="2"/>
  <c r="FU69" i="2"/>
  <c r="W69" i="8"/>
  <c r="DJ69" i="2"/>
  <c r="BV69" i="2"/>
  <c r="BY69" i="2" s="1"/>
  <c r="J69" i="2"/>
  <c r="K69" i="2"/>
  <c r="FF69" i="2"/>
  <c r="FK69" i="2"/>
  <c r="GM69" i="2"/>
  <c r="GA69" i="2"/>
  <c r="GN69" i="2"/>
  <c r="GQ69" i="2"/>
  <c r="G69" i="10"/>
  <c r="E69" i="10"/>
  <c r="FV69" i="2"/>
  <c r="DB69" i="2"/>
  <c r="DL69" i="2" s="1"/>
  <c r="IF69" i="2"/>
  <c r="CG69" i="2"/>
  <c r="BH69" i="2"/>
  <c r="BI69" i="2" s="1"/>
  <c r="DQ69" i="2"/>
  <c r="DS69" i="2" s="1"/>
  <c r="DH69" i="2"/>
  <c r="FY69" i="2"/>
  <c r="BF69" i="2"/>
  <c r="BW69" i="2"/>
  <c r="GL69" i="2"/>
  <c r="DD69" i="2"/>
  <c r="DE69" i="2"/>
  <c r="AU69" i="2"/>
  <c r="FE69" i="2"/>
  <c r="BW61" i="2"/>
  <c r="CG61" i="2"/>
  <c r="DQ61" i="2"/>
  <c r="DS61" i="2" s="1"/>
  <c r="BF61" i="2"/>
  <c r="F61" i="10"/>
  <c r="FJ61" i="2"/>
  <c r="DE61" i="2"/>
  <c r="AU61" i="2"/>
  <c r="G61" i="10"/>
  <c r="GB61" i="2"/>
  <c r="GR61" i="2"/>
  <c r="GS61" i="2" s="1"/>
  <c r="FH61" i="2"/>
  <c r="FK61" i="2"/>
  <c r="FU53" i="2"/>
  <c r="BH53" i="2"/>
  <c r="BI53" i="2" s="1"/>
  <c r="DH53" i="2"/>
  <c r="IF53" i="2"/>
  <c r="FJ53" i="2"/>
  <c r="FV53" i="2"/>
  <c r="FT53" i="2"/>
  <c r="DE53" i="2"/>
  <c r="FY53" i="2"/>
  <c r="AQ53" i="2"/>
  <c r="FG53" i="2"/>
  <c r="GL53" i="2"/>
  <c r="DD53" i="2"/>
  <c r="FX53" i="2"/>
  <c r="CI53" i="2"/>
  <c r="CK53" i="2" s="1"/>
  <c r="FE53" i="2"/>
  <c r="GB53" i="2"/>
  <c r="GR53" i="2"/>
  <c r="GS53" i="2" s="1"/>
  <c r="GC53" i="2"/>
  <c r="AU53" i="2"/>
  <c r="FH53" i="2"/>
  <c r="FK53" i="2"/>
  <c r="E53" i="8"/>
  <c r="GQ53" i="2"/>
  <c r="DJ53" i="2"/>
  <c r="BV53" i="2"/>
  <c r="BX53" i="2" s="1"/>
  <c r="J53" i="2"/>
  <c r="K53" i="2"/>
  <c r="G53" i="10"/>
  <c r="FU45" i="2"/>
  <c r="GL45" i="2"/>
  <c r="DD45" i="2"/>
  <c r="FE45" i="2"/>
  <c r="FH45" i="2"/>
  <c r="FK45" i="2"/>
  <c r="GB45" i="2"/>
  <c r="GR45" i="2"/>
  <c r="GS45" i="2" s="1"/>
  <c r="GC45" i="2"/>
  <c r="IF45" i="2"/>
  <c r="G45" i="10"/>
  <c r="FF45" i="2"/>
  <c r="GO45" i="2"/>
  <c r="GP45" i="2" s="1"/>
  <c r="W45" i="8"/>
  <c r="GT45" i="2"/>
  <c r="DI45" i="2"/>
  <c r="FY45" i="2"/>
  <c r="J45" i="2"/>
  <c r="E45" i="10"/>
  <c r="E45" i="8"/>
  <c r="GQ45" i="2"/>
  <c r="DJ45" i="2"/>
  <c r="FX45" i="2"/>
  <c r="BV45" i="2"/>
  <c r="BX45" i="2" s="1"/>
  <c r="K45" i="2"/>
  <c r="CG45" i="2"/>
  <c r="DB45" i="2"/>
  <c r="DL45" i="2" s="1"/>
  <c r="DQ45" i="2"/>
  <c r="DS45" i="2" s="1"/>
  <c r="BF45" i="2"/>
  <c r="FJ45" i="2"/>
  <c r="DI37" i="2"/>
  <c r="J37" i="2"/>
  <c r="AO37" i="2" s="1"/>
  <c r="AW37" i="2" s="1"/>
  <c r="E37" i="10"/>
  <c r="DJ37" i="2"/>
  <c r="F37" i="10"/>
  <c r="G37" i="10"/>
  <c r="DB37" i="2"/>
  <c r="DL37" i="2" s="1"/>
  <c r="DQ37" i="2"/>
  <c r="DS37" i="2" s="1"/>
  <c r="FJ37" i="2"/>
  <c r="FM37" i="2"/>
  <c r="DE37" i="2"/>
  <c r="FG37" i="2"/>
  <c r="FH37" i="2"/>
  <c r="B13" i="2"/>
  <c r="E13" i="10"/>
  <c r="FB13" i="2" s="1"/>
  <c r="DQ141" i="2"/>
  <c r="DS141" i="2" s="1"/>
  <c r="DB93" i="2"/>
  <c r="DL93" i="2" s="1"/>
  <c r="DD77" i="2"/>
  <c r="W93" i="8"/>
  <c r="FT69" i="2"/>
  <c r="BH45" i="2"/>
  <c r="BJ45" i="2" s="1"/>
  <c r="GO69" i="2"/>
  <c r="GP69" i="2" s="1"/>
  <c r="GN85" i="2"/>
  <c r="GA53" i="2"/>
  <c r="FV109" i="2"/>
  <c r="E69" i="8"/>
  <c r="DH197" i="2"/>
  <c r="BH93" i="2"/>
  <c r="BI93" i="2" s="1"/>
  <c r="GC101" i="2"/>
  <c r="GR109" i="2"/>
  <c r="GS109" i="2" s="1"/>
  <c r="GQ109" i="2"/>
  <c r="FV85" i="2"/>
  <c r="GQ101" i="2"/>
  <c r="GT109" i="2"/>
  <c r="FT173" i="2"/>
  <c r="GR93" i="2"/>
  <c r="GS93" i="2" s="1"/>
  <c r="GQ85" i="2"/>
  <c r="GB117" i="2"/>
  <c r="GA109" i="2"/>
  <c r="GM53" i="2"/>
  <c r="FV45" i="2"/>
  <c r="FX199" i="2"/>
  <c r="AQ199" i="2"/>
  <c r="K199" i="2"/>
  <c r="CI199" i="2"/>
  <c r="CJ199" i="2" s="1"/>
  <c r="CG199" i="2"/>
  <c r="M199" i="2"/>
  <c r="BH199" i="2"/>
  <c r="BI199" i="2" s="1"/>
  <c r="AU199" i="2"/>
  <c r="BF199" i="2"/>
  <c r="BV199" i="2"/>
  <c r="BX199" i="2" s="1"/>
  <c r="F199" i="10"/>
  <c r="S199" i="2"/>
  <c r="J199" i="2"/>
  <c r="G199" i="10"/>
  <c r="E199" i="10"/>
  <c r="AF199" i="2"/>
  <c r="DH199" i="2"/>
  <c r="BW199" i="2"/>
  <c r="FM199" i="2"/>
  <c r="Y199" i="2"/>
  <c r="FF199" i="2"/>
  <c r="FG199" i="2"/>
  <c r="T199" i="2"/>
  <c r="FW199" i="2"/>
  <c r="N199" i="2"/>
  <c r="FY199" i="2"/>
  <c r="FE199" i="2"/>
  <c r="FJ199" i="2"/>
  <c r="FL199" i="2"/>
  <c r="Z199" i="2"/>
  <c r="FG191" i="2"/>
  <c r="Z191" i="2"/>
  <c r="DE191" i="2"/>
  <c r="FF191" i="2"/>
  <c r="M191" i="2"/>
  <c r="FK191" i="2"/>
  <c r="S191" i="2"/>
  <c r="FH191" i="2"/>
  <c r="Y191" i="2"/>
  <c r="CG191" i="2"/>
  <c r="FE191" i="2"/>
  <c r="FJ191" i="2"/>
  <c r="FL191" i="2"/>
  <c r="AF191" i="2"/>
  <c r="W191" i="8"/>
  <c r="GT191" i="2"/>
  <c r="T191" i="2"/>
  <c r="FM191" i="2"/>
  <c r="AG191" i="2"/>
  <c r="GN183" i="2"/>
  <c r="FE183" i="2"/>
  <c r="FH183" i="2"/>
  <c r="FL183" i="2"/>
  <c r="AG183" i="2"/>
  <c r="CG183" i="2"/>
  <c r="FJ183" i="2"/>
  <c r="Z183" i="2"/>
  <c r="M183" i="2"/>
  <c r="F183" i="10"/>
  <c r="E183" i="10"/>
  <c r="S183" i="2"/>
  <c r="FX183" i="2"/>
  <c r="FM183" i="2"/>
  <c r="AF183" i="2"/>
  <c r="AQ183" i="2"/>
  <c r="J183" i="2"/>
  <c r="FG183" i="2"/>
  <c r="Y183" i="2"/>
  <c r="DQ183" i="2"/>
  <c r="DS183" i="2" s="1"/>
  <c r="DH183" i="2"/>
  <c r="FK183" i="2"/>
  <c r="FW183" i="2"/>
  <c r="N183" i="2"/>
  <c r="K175" i="2"/>
  <c r="E175" i="10"/>
  <c r="FM175" i="2"/>
  <c r="CI175" i="2"/>
  <c r="CJ175" i="2" s="1"/>
  <c r="AG175" i="2"/>
  <c r="DJ175" i="2"/>
  <c r="J175" i="2"/>
  <c r="BW175" i="2"/>
  <c r="FF175" i="2"/>
  <c r="FG175" i="2"/>
  <c r="Z175" i="2"/>
  <c r="IF175" i="2"/>
  <c r="BF175" i="2"/>
  <c r="AQ175" i="2"/>
  <c r="G175" i="10"/>
  <c r="FH175" i="2"/>
  <c r="FK175" i="2"/>
  <c r="S175" i="2"/>
  <c r="FY175" i="2"/>
  <c r="M175" i="2"/>
  <c r="GQ175" i="2"/>
  <c r="DE175" i="2"/>
  <c r="DH175" i="2"/>
  <c r="FX175" i="2"/>
  <c r="BV175" i="2"/>
  <c r="BX175" i="2" s="1"/>
  <c r="CG175" i="2"/>
  <c r="FE175" i="2"/>
  <c r="FJ175" i="2"/>
  <c r="FL175" i="2"/>
  <c r="Y175" i="2"/>
  <c r="DD175" i="2"/>
  <c r="F175" i="10"/>
  <c r="T175" i="2"/>
  <c r="GT167" i="2"/>
  <c r="FH167" i="2"/>
  <c r="BF167" i="2"/>
  <c r="AQ167" i="2"/>
  <c r="FW167" i="2"/>
  <c r="N167" i="2"/>
  <c r="CG167" i="2"/>
  <c r="FE167" i="2"/>
  <c r="FJ167" i="2"/>
  <c r="FL167" i="2"/>
  <c r="AG167" i="2"/>
  <c r="DH167" i="2"/>
  <c r="IF167" i="2"/>
  <c r="BV167" i="2"/>
  <c r="BX167" i="2" s="1"/>
  <c r="Z167" i="2"/>
  <c r="FY167" i="2"/>
  <c r="K167" i="2"/>
  <c r="F167" i="10"/>
  <c r="E167" i="10"/>
  <c r="FM167" i="2"/>
  <c r="T167" i="2"/>
  <c r="FX167" i="2"/>
  <c r="M167" i="2"/>
  <c r="DJ167" i="2"/>
  <c r="J167" i="2"/>
  <c r="BW167" i="2"/>
  <c r="FF167" i="2"/>
  <c r="FG167" i="2"/>
  <c r="FK167" i="2"/>
  <c r="S167" i="2"/>
  <c r="F159" i="10"/>
  <c r="FM159" i="2"/>
  <c r="GC159" i="2"/>
  <c r="DH159" i="2"/>
  <c r="BV159" i="2"/>
  <c r="BX159" i="2" s="1"/>
  <c r="K159" i="2"/>
  <c r="E159" i="10"/>
  <c r="AF159" i="2"/>
  <c r="G159" i="10"/>
  <c r="FW159" i="2"/>
  <c r="IF159" i="2"/>
  <c r="BW159" i="2"/>
  <c r="CI159" i="2"/>
  <c r="CK159" i="2" s="1"/>
  <c r="FF159" i="2"/>
  <c r="FK159" i="2"/>
  <c r="AG159" i="2"/>
  <c r="GL159" i="2"/>
  <c r="FY159" i="2"/>
  <c r="J159" i="2"/>
  <c r="FG159" i="2"/>
  <c r="FH159" i="2"/>
  <c r="Z159" i="2"/>
  <c r="FX159" i="2"/>
  <c r="W159" i="8"/>
  <c r="BF159" i="2"/>
  <c r="AQ159" i="2"/>
  <c r="CG159" i="2"/>
  <c r="FE159" i="2"/>
  <c r="FL159" i="2"/>
  <c r="Y159" i="2"/>
  <c r="BW151" i="2"/>
  <c r="CI151" i="2"/>
  <c r="CJ151" i="2" s="1"/>
  <c r="FF151" i="2"/>
  <c r="FK151" i="2"/>
  <c r="DE151" i="2"/>
  <c r="J151" i="2"/>
  <c r="FG151" i="2"/>
  <c r="FH151" i="2"/>
  <c r="FT151" i="2"/>
  <c r="FJ151" i="2"/>
  <c r="DB151" i="2"/>
  <c r="DL151" i="2" s="1"/>
  <c r="DJ151" i="2"/>
  <c r="IF151" i="2"/>
  <c r="CG151" i="2"/>
  <c r="FE151" i="2"/>
  <c r="FM151" i="2"/>
  <c r="FL151" i="2"/>
  <c r="W151" i="8"/>
  <c r="GT151" i="2"/>
  <c r="FY151" i="2"/>
  <c r="BF151" i="2"/>
  <c r="AQ151" i="2"/>
  <c r="K151" i="2"/>
  <c r="G151" i="10"/>
  <c r="F151" i="10"/>
  <c r="E151" i="10"/>
  <c r="GC151" i="2"/>
  <c r="DH151" i="2"/>
  <c r="AU151" i="2"/>
  <c r="BV151" i="2"/>
  <c r="BX151" i="2" s="1"/>
  <c r="FM143" i="2"/>
  <c r="GL143" i="2"/>
  <c r="DD143" i="2"/>
  <c r="DQ143" i="2"/>
  <c r="DS143" i="2" s="1"/>
  <c r="CG143" i="2"/>
  <c r="G143" i="10"/>
  <c r="FE143" i="2"/>
  <c r="F143" i="10"/>
  <c r="E143" i="10"/>
  <c r="FL143" i="2"/>
  <c r="DJ143" i="2"/>
  <c r="AQ143" i="2"/>
  <c r="K143" i="2"/>
  <c r="W143" i="8"/>
  <c r="BF143" i="2"/>
  <c r="IF143" i="2"/>
  <c r="BV143" i="2"/>
  <c r="BX143" i="2" s="1"/>
  <c r="BW143" i="2"/>
  <c r="FF143" i="2"/>
  <c r="FK143" i="2"/>
  <c r="DH143" i="2"/>
  <c r="FY143" i="2"/>
  <c r="CI143" i="2"/>
  <c r="CJ143" i="2" s="1"/>
  <c r="FH143" i="2"/>
  <c r="AU143" i="2"/>
  <c r="FJ143" i="2"/>
  <c r="BH135" i="2"/>
  <c r="BI135" i="2" s="1"/>
  <c r="FT135" i="2"/>
  <c r="BF135" i="2"/>
  <c r="AQ135" i="2"/>
  <c r="DB135" i="2"/>
  <c r="DL135" i="2" s="1"/>
  <c r="BW135" i="2"/>
  <c r="FF135" i="2"/>
  <c r="FK135" i="2"/>
  <c r="BV135" i="2"/>
  <c r="BX135" i="2" s="1"/>
  <c r="CI135" i="2"/>
  <c r="CK135" i="2" s="1"/>
  <c r="FH135" i="2"/>
  <c r="DH135" i="2"/>
  <c r="J135" i="2"/>
  <c r="FG135" i="2"/>
  <c r="GC135" i="2"/>
  <c r="IF135" i="2"/>
  <c r="G135" i="10"/>
  <c r="FJ135" i="2"/>
  <c r="FM135" i="2"/>
  <c r="FY135" i="2"/>
  <c r="DD135" i="2"/>
  <c r="AU135" i="2"/>
  <c r="W127" i="8"/>
  <c r="J127" i="2"/>
  <c r="G127" i="10"/>
  <c r="FG127" i="2"/>
  <c r="FM127" i="2"/>
  <c r="GQ127" i="2"/>
  <c r="GC127" i="2"/>
  <c r="F127" i="10"/>
  <c r="E127" i="10"/>
  <c r="K127" i="2"/>
  <c r="CG127" i="2"/>
  <c r="FE127" i="2"/>
  <c r="FL127" i="2"/>
  <c r="IF127" i="2"/>
  <c r="DQ127" i="2"/>
  <c r="DS127" i="2" s="1"/>
  <c r="FY127" i="2"/>
  <c r="BW127" i="2"/>
  <c r="FF127" i="2"/>
  <c r="FK127" i="2"/>
  <c r="DJ127" i="2"/>
  <c r="AU127" i="2"/>
  <c r="BV127" i="2"/>
  <c r="BX127" i="2" s="1"/>
  <c r="CI127" i="2"/>
  <c r="CK127" i="2" s="1"/>
  <c r="FJ127" i="2"/>
  <c r="GC119" i="2"/>
  <c r="GT119" i="2"/>
  <c r="AU119" i="2"/>
  <c r="K119" i="2"/>
  <c r="FE119" i="2"/>
  <c r="FL119" i="2"/>
  <c r="BW119" i="2"/>
  <c r="FF119" i="2"/>
  <c r="FK119" i="2"/>
  <c r="DQ119" i="2"/>
  <c r="DS119" i="2" s="1"/>
  <c r="CI119" i="2"/>
  <c r="CK119" i="2" s="1"/>
  <c r="G119" i="10"/>
  <c r="FH119" i="2"/>
  <c r="BF119" i="2"/>
  <c r="AQ119" i="2"/>
  <c r="BV119" i="2"/>
  <c r="BX119" i="2" s="1"/>
  <c r="FG119" i="2"/>
  <c r="FJ119" i="2"/>
  <c r="GL119" i="2"/>
  <c r="IF119" i="2"/>
  <c r="J119" i="2"/>
  <c r="FM119" i="2"/>
  <c r="DI119" i="2"/>
  <c r="DH119" i="2"/>
  <c r="FX119" i="2"/>
  <c r="CG119" i="2"/>
  <c r="F119" i="10"/>
  <c r="E119" i="10"/>
  <c r="GO111" i="2"/>
  <c r="GP111" i="2" s="1"/>
  <c r="GB111" i="2"/>
  <c r="FX111" i="2"/>
  <c r="CI111" i="2"/>
  <c r="CJ111" i="2" s="1"/>
  <c r="FH111" i="2"/>
  <c r="DQ111" i="2"/>
  <c r="DS111" i="2" s="1"/>
  <c r="AU111" i="2"/>
  <c r="FG111" i="2"/>
  <c r="FJ111" i="2"/>
  <c r="BF111" i="2"/>
  <c r="AQ111" i="2"/>
  <c r="BV111" i="2"/>
  <c r="BX111" i="2" s="1"/>
  <c r="J111" i="2"/>
  <c r="FM111" i="2"/>
  <c r="GR111" i="2"/>
  <c r="GS111" i="2" s="1"/>
  <c r="DD111" i="2"/>
  <c r="F111" i="10"/>
  <c r="E111" i="10"/>
  <c r="FT111" i="2"/>
  <c r="W111" i="8"/>
  <c r="CG111" i="2"/>
  <c r="FL111" i="2"/>
  <c r="DI111" i="2"/>
  <c r="DH111" i="2"/>
  <c r="K111" i="2"/>
  <c r="FE111" i="2"/>
  <c r="FY111" i="2"/>
  <c r="G111" i="10"/>
  <c r="FK111" i="2"/>
  <c r="GA103" i="2"/>
  <c r="FX103" i="2"/>
  <c r="BF103" i="2"/>
  <c r="AQ103" i="2"/>
  <c r="BV103" i="2"/>
  <c r="BX103" i="2" s="1"/>
  <c r="J103" i="2"/>
  <c r="AU103" i="2"/>
  <c r="F103" i="10"/>
  <c r="E103" i="10"/>
  <c r="FL103" i="2"/>
  <c r="GL103" i="2"/>
  <c r="CG103" i="2"/>
  <c r="G103" i="10"/>
  <c r="DJ103" i="2"/>
  <c r="K103" i="2"/>
  <c r="FE103" i="2"/>
  <c r="BW103" i="2"/>
  <c r="FF103" i="2"/>
  <c r="FH103" i="2"/>
  <c r="FK103" i="2"/>
  <c r="CI103" i="2"/>
  <c r="CK103" i="2" s="1"/>
  <c r="FY103" i="2"/>
  <c r="FM103" i="2"/>
  <c r="GR95" i="2"/>
  <c r="GS95" i="2" s="1"/>
  <c r="GL95" i="2"/>
  <c r="FY95" i="2"/>
  <c r="FE95" i="2"/>
  <c r="BH95" i="2"/>
  <c r="BJ95" i="2" s="1"/>
  <c r="DE95" i="2"/>
  <c r="DJ95" i="2"/>
  <c r="FX95" i="2"/>
  <c r="K95" i="2"/>
  <c r="FF95" i="2"/>
  <c r="FH95" i="2"/>
  <c r="FK95" i="2"/>
  <c r="FT95" i="2"/>
  <c r="DI95" i="2"/>
  <c r="AU95" i="2"/>
  <c r="BW95" i="2"/>
  <c r="CI95" i="2"/>
  <c r="CJ95" i="2" s="1"/>
  <c r="GT95" i="2"/>
  <c r="FG95" i="2"/>
  <c r="FJ95" i="2"/>
  <c r="GQ95" i="2"/>
  <c r="GC95" i="2"/>
  <c r="G95" i="10"/>
  <c r="FM95" i="2"/>
  <c r="BF95" i="2"/>
  <c r="BV95" i="2"/>
  <c r="BX95" i="2" s="1"/>
  <c r="J95" i="2"/>
  <c r="FL95" i="2"/>
  <c r="DD95" i="2"/>
  <c r="IF95" i="2"/>
  <c r="CG95" i="2"/>
  <c r="IF87" i="2"/>
  <c r="BW87" i="2"/>
  <c r="FG87" i="2"/>
  <c r="FM87" i="2"/>
  <c r="FL87" i="2"/>
  <c r="DH87" i="2"/>
  <c r="FY87" i="2"/>
  <c r="BF87" i="2"/>
  <c r="FX87" i="2"/>
  <c r="F87" i="10"/>
  <c r="E87" i="10"/>
  <c r="AU87" i="2"/>
  <c r="AQ87" i="2"/>
  <c r="BV87" i="2"/>
  <c r="BX87" i="2" s="1"/>
  <c r="J87" i="2"/>
  <c r="GR87" i="2"/>
  <c r="GS87" i="2" s="1"/>
  <c r="DQ87" i="2"/>
  <c r="DS87" i="2" s="1"/>
  <c r="CG87" i="2"/>
  <c r="FF87" i="2"/>
  <c r="FK87" i="2"/>
  <c r="K87" i="2"/>
  <c r="CI87" i="2"/>
  <c r="CK87" i="2" s="1"/>
  <c r="G87" i="10"/>
  <c r="FJ87" i="2"/>
  <c r="AU79" i="2"/>
  <c r="AQ79" i="2"/>
  <c r="J79" i="2"/>
  <c r="CG79" i="2"/>
  <c r="G79" i="10"/>
  <c r="FE79" i="2"/>
  <c r="FF79" i="2"/>
  <c r="FH79" i="2"/>
  <c r="FK79" i="2"/>
  <c r="GL79" i="2"/>
  <c r="CI79" i="2"/>
  <c r="CJ79" i="2" s="1"/>
  <c r="K79" i="2"/>
  <c r="FG79" i="2"/>
  <c r="FJ79" i="2"/>
  <c r="BH79" i="2"/>
  <c r="BI79" i="2" s="1"/>
  <c r="FT79" i="2"/>
  <c r="IF79" i="2"/>
  <c r="BW79" i="2"/>
  <c r="FM79" i="2"/>
  <c r="FL79" i="2"/>
  <c r="GC79" i="2"/>
  <c r="FX79" i="2"/>
  <c r="BV79" i="2"/>
  <c r="BX79" i="2" s="1"/>
  <c r="F79" i="10"/>
  <c r="E79" i="10"/>
  <c r="FX71" i="2"/>
  <c r="FE71" i="2"/>
  <c r="FK71" i="2"/>
  <c r="GB71" i="2"/>
  <c r="GR71" i="2"/>
  <c r="GS71" i="2" s="1"/>
  <c r="DQ71" i="2"/>
  <c r="DR71" i="2" s="1"/>
  <c r="AU71" i="2"/>
  <c r="BW71" i="2"/>
  <c r="K71" i="2"/>
  <c r="CI71" i="2"/>
  <c r="CJ71" i="2" s="1"/>
  <c r="FG71" i="2"/>
  <c r="FJ71" i="2"/>
  <c r="FL71" i="2"/>
  <c r="GM71" i="2"/>
  <c r="FM71" i="2"/>
  <c r="GN71" i="2"/>
  <c r="DI71" i="2"/>
  <c r="BF71" i="2"/>
  <c r="G71" i="10"/>
  <c r="F71" i="10"/>
  <c r="E71" i="10"/>
  <c r="GT71" i="2"/>
  <c r="BV71" i="2"/>
  <c r="BX71" i="2" s="1"/>
  <c r="J71" i="2"/>
  <c r="DB71" i="2"/>
  <c r="DL71" i="2" s="1"/>
  <c r="FY71" i="2"/>
  <c r="CG71" i="2"/>
  <c r="FH71" i="2"/>
  <c r="FM63" i="2"/>
  <c r="F63" i="10"/>
  <c r="E63" i="10"/>
  <c r="IF63" i="2"/>
  <c r="AQ63" i="2"/>
  <c r="FF63" i="2"/>
  <c r="CG63" i="2"/>
  <c r="FH63" i="2"/>
  <c r="FK63" i="2"/>
  <c r="FE63" i="2"/>
  <c r="G63" i="10"/>
  <c r="FG63" i="2"/>
  <c r="FJ63" i="2"/>
  <c r="E55" i="8"/>
  <c r="FF55" i="2"/>
  <c r="CG55" i="2"/>
  <c r="FH55" i="2"/>
  <c r="FK55" i="2"/>
  <c r="G55" i="10"/>
  <c r="BW55" i="2"/>
  <c r="CI55" i="2"/>
  <c r="CK55" i="2" s="1"/>
  <c r="FE55" i="2"/>
  <c r="FG55" i="2"/>
  <c r="FL55" i="2"/>
  <c r="GB55" i="2"/>
  <c r="K55" i="2"/>
  <c r="FJ55" i="2"/>
  <c r="E55" i="10"/>
  <c r="FM55" i="2"/>
  <c r="DE47" i="2"/>
  <c r="GC47" i="2"/>
  <c r="FG47" i="2"/>
  <c r="FJ47" i="2"/>
  <c r="GB47" i="2"/>
  <c r="DB47" i="2"/>
  <c r="DL47" i="2" s="1"/>
  <c r="K47" i="2"/>
  <c r="FM47" i="2"/>
  <c r="FX47" i="2"/>
  <c r="F47" i="10"/>
  <c r="E47" i="10"/>
  <c r="GL47" i="2"/>
  <c r="FF47" i="2"/>
  <c r="FH47" i="2"/>
  <c r="FK47" i="2"/>
  <c r="W47" i="8"/>
  <c r="BV47" i="2"/>
  <c r="BX47" i="2" s="1"/>
  <c r="FL47" i="2"/>
  <c r="G39" i="10"/>
  <c r="FF39" i="2"/>
  <c r="FH39" i="2"/>
  <c r="FK39" i="2"/>
  <c r="AU39" i="2"/>
  <c r="BH39" i="2"/>
  <c r="BJ39" i="2" s="1"/>
  <c r="BV39" i="2"/>
  <c r="BX39" i="2" s="1"/>
  <c r="FL39" i="2"/>
  <c r="GT39" i="2"/>
  <c r="FG39" i="2"/>
  <c r="FJ39" i="2"/>
  <c r="FM39" i="2"/>
  <c r="F39" i="10"/>
  <c r="E39" i="10"/>
  <c r="FL31" i="2"/>
  <c r="DD31" i="2"/>
  <c r="FG31" i="2"/>
  <c r="FJ31" i="2"/>
  <c r="FM31" i="2"/>
  <c r="F31" i="10"/>
  <c r="E31" i="10"/>
  <c r="FE31" i="2"/>
  <c r="FF31" i="2"/>
  <c r="G31" i="10"/>
  <c r="FK31" i="2"/>
  <c r="FG15" i="2"/>
  <c r="D15" i="2"/>
  <c r="FK15" i="2"/>
  <c r="FJ15" i="2"/>
  <c r="FM15" i="2"/>
  <c r="DQ29" i="2"/>
  <c r="DS29" i="2" s="1"/>
  <c r="AF175" i="2"/>
  <c r="E191" i="10"/>
  <c r="FG143" i="2"/>
  <c r="FF183" i="2"/>
  <c r="FF111" i="2"/>
  <c r="F135" i="10"/>
  <c r="CI63" i="2"/>
  <c r="CK63" i="2" s="1"/>
  <c r="K135" i="2"/>
  <c r="K63" i="2"/>
  <c r="AQ95" i="2"/>
  <c r="BF79" i="2"/>
  <c r="FX127" i="2"/>
  <c r="IF199" i="2"/>
  <c r="DJ199" i="2"/>
  <c r="GB95" i="2"/>
  <c r="FW175" i="2"/>
  <c r="FJ159" i="2"/>
  <c r="FH199" i="2"/>
  <c r="FH127" i="2"/>
  <c r="CG135" i="2"/>
  <c r="GC191" i="2"/>
  <c r="GR135" i="2"/>
  <c r="GS135" i="2" s="1"/>
  <c r="FY119" i="2"/>
  <c r="FX143" i="2"/>
  <c r="AU167" i="2"/>
  <c r="DQ31" i="2"/>
  <c r="DR31" i="2" s="1"/>
  <c r="N191" i="2"/>
  <c r="FL135" i="2"/>
  <c r="G167" i="10"/>
  <c r="AQ127" i="2"/>
  <c r="FY79" i="2"/>
  <c r="FY191" i="2"/>
  <c r="F95" i="10"/>
  <c r="FE135" i="2"/>
  <c r="CI167" i="2"/>
  <c r="CJ167" i="2" s="1"/>
  <c r="BW111" i="2"/>
  <c r="IF111" i="2"/>
  <c r="BH127" i="2"/>
  <c r="BI127" i="2" s="1"/>
  <c r="GO79" i="2"/>
  <c r="GP79" i="2" s="1"/>
  <c r="Y167" i="2"/>
  <c r="AG199" i="2"/>
  <c r="BF127" i="2"/>
  <c r="IF71" i="2"/>
  <c r="FX135" i="2"/>
  <c r="AU159" i="2"/>
  <c r="DH79" i="2"/>
  <c r="GL87" i="2"/>
  <c r="BH175" i="2"/>
  <c r="BI175" i="2" s="1"/>
  <c r="GB178" i="2"/>
  <c r="E138" i="8"/>
  <c r="F29" i="2"/>
  <c r="AC29" i="2" s="1"/>
  <c r="W28" i="2"/>
  <c r="F28" i="2"/>
  <c r="J28" i="2" s="1"/>
  <c r="X28" i="2"/>
  <c r="IC28" i="2"/>
  <c r="AI28" i="8"/>
  <c r="HT48" i="2"/>
  <c r="CF64" i="2"/>
  <c r="JA72" i="2"/>
  <c r="CQ80" i="2"/>
  <c r="AS40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CZ32" i="2"/>
  <c r="HT120" i="2"/>
  <c r="BE128" i="8"/>
  <c r="W136" i="2"/>
  <c r="GE144" i="2"/>
  <c r="BQ64" i="2"/>
  <c r="GO178" i="2"/>
  <c r="GP178" i="2" s="1"/>
  <c r="W48" i="2"/>
  <c r="HR56" i="2"/>
  <c r="AE128" i="2"/>
  <c r="GE48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02" i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38" i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86" i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D40" i="2"/>
  <c r="BG40" i="2"/>
  <c r="Q40" i="2"/>
  <c r="IC48" i="2"/>
  <c r="CE40" i="2"/>
  <c r="AG40" i="8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AI24" i="8" s="1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66" i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10" i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62" i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22" i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D48" i="10"/>
  <c r="R112" i="2"/>
  <c r="IZ112" i="2"/>
  <c r="GD48" i="2"/>
  <c r="DM32" i="2"/>
  <c r="CE48" i="2"/>
  <c r="AT40" i="8"/>
  <c r="AH48" i="8"/>
  <c r="FB48" i="2"/>
  <c r="AN40" i="2"/>
  <c r="AH40" i="8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94" i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W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46" i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BG48" i="2"/>
  <c r="AT40" i="2"/>
  <c r="FZ40" i="2"/>
  <c r="HM40" i="2"/>
  <c r="HM48" i="2"/>
  <c r="HL112" i="2"/>
  <c r="HR40" i="2"/>
  <c r="IN40" i="2"/>
  <c r="HS40" i="2"/>
  <c r="HP40" i="2"/>
  <c r="DN48" i="2"/>
  <c r="DN40" i="2"/>
  <c r="FC40" i="2"/>
  <c r="Q48" i="2"/>
  <c r="D48" i="8"/>
  <c r="DG32" i="2"/>
  <c r="ID48" i="2"/>
  <c r="AJ112" i="2"/>
  <c r="AK112" i="2" s="1"/>
  <c r="D40" i="10"/>
  <c r="ID40" i="2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54" i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JA112" i="2"/>
  <c r="BF40" i="8"/>
  <c r="IX40" i="2" s="1"/>
  <c r="IN112" i="2"/>
  <c r="HL40" i="2"/>
  <c r="HQ40" i="2"/>
  <c r="DM48" i="2"/>
  <c r="DM40" i="2"/>
  <c r="FC32" i="2"/>
  <c r="AT48" i="8"/>
  <c r="L40" i="2"/>
  <c r="V48" i="8"/>
  <c r="CQ40" i="2"/>
  <c r="D32" i="10"/>
  <c r="FB40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182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70" i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FJ32" i="2"/>
  <c r="FM32" i="2"/>
  <c r="FH32" i="2"/>
  <c r="E32" i="10"/>
  <c r="F32" i="10"/>
  <c r="FK32" i="2"/>
  <c r="FG32" i="2"/>
  <c r="FL32" i="2"/>
  <c r="E32" i="2"/>
  <c r="G32" i="10"/>
  <c r="B32" i="2"/>
  <c r="IC32" i="2" s="1"/>
  <c r="C32" i="2"/>
  <c r="D32" i="2"/>
  <c r="CY32" i="2"/>
  <c r="FD32" i="2"/>
  <c r="AM32" i="2"/>
  <c r="IZ48" i="2"/>
  <c r="AJ40" i="2"/>
  <c r="AK40" i="2" s="1"/>
  <c r="HS112" i="2"/>
  <c r="HQ48" i="2"/>
  <c r="GE40" i="2"/>
  <c r="R48" i="2"/>
  <c r="BE48" i="8"/>
  <c r="DM112" i="2"/>
  <c r="IE40" i="2"/>
  <c r="R40" i="2"/>
  <c r="FB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74" i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78" i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30" i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DF32" i="2"/>
  <c r="HT40" i="2"/>
  <c r="HS48" i="2"/>
  <c r="HP112" i="2"/>
  <c r="AE48" i="2"/>
  <c r="JA48" i="2"/>
  <c r="BF112" i="8"/>
  <c r="IX112" i="2" s="1"/>
  <c r="HM112" i="2"/>
  <c r="HU40" i="2"/>
  <c r="HR48" i="2"/>
  <c r="HQ112" i="2"/>
  <c r="FC48" i="2"/>
  <c r="AD40" i="2"/>
  <c r="L48" i="2"/>
  <c r="CH48" i="2"/>
  <c r="D40" i="8"/>
  <c r="DC32" i="2"/>
  <c r="DN112" i="2"/>
  <c r="AE40" i="2"/>
  <c r="AN48" i="2"/>
  <c r="CH40" i="2"/>
  <c r="FB24" i="2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Y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Y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Y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Y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BY75" i="2" s="1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K51" i="2"/>
  <c r="FT43" i="2"/>
  <c r="CG43" i="2"/>
  <c r="FE43" i="2"/>
  <c r="FK43" i="2"/>
  <c r="T43" i="2"/>
  <c r="DB43" i="2"/>
  <c r="DL43" i="2" s="1"/>
  <c r="BV43" i="2"/>
  <c r="BY43" i="2" s="1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DD35" i="2"/>
  <c r="FG35" i="2"/>
  <c r="FH35" i="2"/>
  <c r="FK35" i="2"/>
  <c r="G35" i="10"/>
  <c r="Y35" i="2"/>
  <c r="GQ35" i="2"/>
  <c r="FX35" i="2"/>
  <c r="BV35" i="2"/>
  <c r="FE35" i="2"/>
  <c r="FJ35" i="2"/>
  <c r="FM35" i="2"/>
  <c r="J35" i="2"/>
  <c r="AO35" i="2" s="1"/>
  <c r="AW35" i="2" s="1"/>
  <c r="E27" i="10"/>
  <c r="FB27" i="2" s="1"/>
  <c r="G19" i="10"/>
  <c r="FG19" i="2"/>
  <c r="FH19" i="2"/>
  <c r="GT51" i="2"/>
  <c r="BF155" i="2"/>
  <c r="DI147" i="2"/>
  <c r="BV195" i="2"/>
  <c r="BY195" i="2" s="1"/>
  <c r="AQ179" i="2"/>
  <c r="DB115" i="2"/>
  <c r="DL115" i="2" s="1"/>
  <c r="AG19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78" i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70" i="1"/>
  <c r="AV188" i="8"/>
  <c r="AO188" i="2"/>
  <c r="AW188" i="2" s="1"/>
  <c r="DE180" i="2"/>
  <c r="FE180" i="2"/>
  <c r="S180" i="2"/>
  <c r="CI180" i="2"/>
  <c r="CK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FF36" i="2"/>
  <c r="FJ36" i="2"/>
  <c r="E36" i="10"/>
  <c r="G36" i="10"/>
  <c r="F36" i="10"/>
  <c r="FH36" i="2"/>
  <c r="DD36" i="2"/>
  <c r="FE36" i="2"/>
  <c r="FG36" i="2"/>
  <c r="FK36" i="2"/>
  <c r="FM36" i="2"/>
  <c r="FL36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B12" i="2" s="1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J68" i="2" s="1"/>
  <c r="FE140" i="2"/>
  <c r="G92" i="10"/>
  <c r="CG76" i="2"/>
  <c r="K172" i="2"/>
  <c r="K100" i="2"/>
  <c r="BW124" i="2"/>
  <c r="BV36" i="2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J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AI23" i="8" s="1"/>
  <c r="W24" i="2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BH36" i="2"/>
  <c r="IF36" i="2" s="1"/>
  <c r="DQ36" i="2"/>
  <c r="DS36" i="2" s="1"/>
  <c r="DE36" i="2"/>
  <c r="DH36" i="2"/>
  <c r="DI36" i="2"/>
  <c r="DB36" i="2"/>
  <c r="DL36" i="2" s="1"/>
  <c r="DJ36" i="2"/>
  <c r="J36" i="2"/>
  <c r="AO36" i="2" s="1"/>
  <c r="AW36" i="2" s="1"/>
  <c r="DQ28" i="2"/>
  <c r="DS28" i="2" s="1"/>
  <c r="DJ124" i="2"/>
  <c r="W116" i="8"/>
  <c r="GN124" i="2"/>
  <c r="GM164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72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J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64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P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S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56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48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40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32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24" i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16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J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08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J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00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92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84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I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76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68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60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52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44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36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28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DI30" i="2"/>
  <c r="E30" i="10"/>
  <c r="F30" i="10"/>
  <c r="E30" i="2"/>
  <c r="CY30" i="2"/>
  <c r="C30" i="2"/>
  <c r="FD30" i="2"/>
  <c r="D30" i="2"/>
  <c r="B30" i="2"/>
  <c r="AM30" i="2"/>
  <c r="E14" i="10"/>
  <c r="FB14" i="2" s="1"/>
  <c r="B14" i="2"/>
  <c r="E14" i="2"/>
  <c r="C14" i="2"/>
  <c r="D14" i="2"/>
  <c r="AM14" i="2"/>
  <c r="D14" i="8" s="1"/>
  <c r="B6" i="2"/>
  <c r="DA6" i="2"/>
  <c r="E6" i="10"/>
  <c r="FB6" i="2" s="1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183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43" i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63" i="1"/>
  <c r="A81" i="2" s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IN41" i="2"/>
  <c r="FC49" i="2"/>
  <c r="AS41" i="2"/>
  <c r="D41" i="10"/>
  <c r="AJ105" i="2"/>
  <c r="AK105" i="2" s="1"/>
  <c r="AJ49" i="2"/>
  <c r="AK49" i="2" s="1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51" i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71" i="1"/>
  <c r="A89" i="2" s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39" i="1"/>
  <c r="A57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JA41" i="2"/>
  <c r="BF49" i="8"/>
  <c r="IX49" i="2" s="1"/>
  <c r="IO41" i="2"/>
  <c r="FZ113" i="2"/>
  <c r="IN105" i="2"/>
  <c r="HL105" i="2"/>
  <c r="HR49" i="2"/>
  <c r="HL41" i="2"/>
  <c r="HS49" i="2"/>
  <c r="DN41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67" i="1"/>
  <c r="AL185" i="2" s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35" i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03" i="1"/>
  <c r="A121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79" i="1"/>
  <c r="AL97" i="2" s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55" i="1"/>
  <c r="AL73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BF113" i="8"/>
  <c r="IX113" i="2" s="1"/>
  <c r="HS41" i="2"/>
  <c r="HQ49" i="2"/>
  <c r="BE49" i="8"/>
  <c r="IZ113" i="2"/>
  <c r="FZ41" i="2"/>
  <c r="HM113" i="2"/>
  <c r="GD49" i="2"/>
  <c r="GE41" i="2"/>
  <c r="AD41" i="2"/>
  <c r="BE41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75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27" i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FZ105" i="2"/>
  <c r="HM41" i="2"/>
  <c r="HR41" i="2"/>
  <c r="DM41" i="2"/>
  <c r="JA113" i="2"/>
  <c r="IO49" i="2"/>
  <c r="HT41" i="2"/>
  <c r="IN49" i="2"/>
  <c r="HS105" i="2"/>
  <c r="HP105" i="2"/>
  <c r="Q41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59" i="1"/>
  <c r="AL179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19" i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87" i="1"/>
  <c r="AL105" i="2" s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47" i="1"/>
  <c r="AL65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FH33" i="2"/>
  <c r="FG33" i="2"/>
  <c r="DA33" i="2"/>
  <c r="DG33" i="2"/>
  <c r="CZ33" i="2"/>
  <c r="FB33" i="2"/>
  <c r="GE49" i="2"/>
  <c r="IZ105" i="2"/>
  <c r="FZ49" i="2"/>
  <c r="IO113" i="2"/>
  <c r="HU41" i="2"/>
  <c r="HL49" i="2"/>
  <c r="HQ105" i="2"/>
  <c r="DM49" i="2"/>
  <c r="AD49" i="2"/>
  <c r="BG41" i="2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HQ113" i="2"/>
  <c r="HQ41" i="2"/>
  <c r="DM33" i="2"/>
  <c r="FC41" i="2"/>
  <c r="FC33" i="2"/>
  <c r="BG49" i="2"/>
  <c r="DC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DB31" i="2"/>
  <c r="DL31" i="2" s="1"/>
  <c r="DE31" i="2"/>
  <c r="DI31" i="2"/>
  <c r="DH31" i="2"/>
  <c r="DJ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DB35" i="2"/>
  <c r="DL35" i="2" s="1"/>
  <c r="DE35" i="2"/>
  <c r="DI35" i="2"/>
  <c r="DH35" i="2"/>
  <c r="GT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DE33" i="2"/>
  <c r="DB33" i="2"/>
  <c r="DL33" i="2" s="1"/>
  <c r="DH33" i="2"/>
  <c r="DJ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AG41" i="2"/>
  <c r="T49" i="2"/>
  <c r="CI41" i="2"/>
  <c r="CJ41" i="2" s="1"/>
  <c r="V41" i="8"/>
  <c r="AM25" i="2"/>
  <c r="AT25" i="8" s="1"/>
  <c r="IE49" i="2"/>
  <c r="BP41" i="2"/>
  <c r="BP49" i="2"/>
  <c r="AR41" i="2"/>
  <c r="BG41" i="8"/>
  <c r="IY41" i="2" s="1"/>
  <c r="C25" i="2"/>
  <c r="FD49" i="2"/>
  <c r="IL49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S49" i="2"/>
  <c r="DC41" i="2"/>
  <c r="AV41" i="8"/>
  <c r="B25" i="2"/>
  <c r="D33" i="2"/>
  <c r="F49" i="8"/>
  <c r="F49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23" i="1"/>
  <c r="AL41" i="2" s="1"/>
  <c r="CY49" i="2"/>
  <c r="A31" i="1"/>
  <c r="AL49" i="2" s="1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S41" i="2"/>
  <c r="N49" i="2"/>
  <c r="FW49" i="2"/>
  <c r="G33" i="10"/>
  <c r="E49" i="10"/>
  <c r="E41" i="10"/>
  <c r="E33" i="10"/>
  <c r="E25" i="10"/>
  <c r="FB25" i="2" s="1"/>
  <c r="FE49" i="2"/>
  <c r="J49" i="2"/>
  <c r="DI41" i="2"/>
  <c r="DI33" i="2"/>
  <c r="E197" i="8"/>
  <c r="AH49" i="8"/>
  <c r="FB41" i="2"/>
  <c r="AM33" i="2"/>
  <c r="D33" i="8" s="1"/>
  <c r="AP41" i="2"/>
  <c r="AM49" i="2"/>
  <c r="BT41" i="2"/>
  <c r="BT49" i="2"/>
  <c r="FD41" i="2"/>
  <c r="F41" i="2"/>
  <c r="E33" i="2"/>
  <c r="F33" i="2" s="1"/>
  <c r="AE33" i="2" s="1"/>
  <c r="IE33" i="2" s="1"/>
  <c r="C41" i="2"/>
  <c r="AO49" i="2"/>
  <c r="AW49" i="2" s="1"/>
  <c r="AV49" i="8"/>
  <c r="D49" i="2"/>
  <c r="Y41" i="2"/>
  <c r="M49" i="2"/>
  <c r="K41" i="2"/>
  <c r="IC49" i="2"/>
  <c r="ID49" i="2"/>
  <c r="DA25" i="2"/>
  <c r="BS41" i="2"/>
  <c r="BS49" i="2"/>
  <c r="F41" i="8"/>
  <c r="B41" i="2"/>
  <c r="AR49" i="2"/>
  <c r="IM49" i="2"/>
  <c r="C49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34" i="1"/>
  <c r="AU160" i="8"/>
  <c r="A142" i="1"/>
  <c r="AU168" i="8"/>
  <c r="A150" i="1"/>
  <c r="AU176" i="8"/>
  <c r="A158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DJ32" i="2"/>
  <c r="DI32" i="2"/>
  <c r="DE32" i="2"/>
  <c r="DD32" i="2"/>
  <c r="DH32" i="2"/>
  <c r="FE32" i="2"/>
  <c r="DB32" i="2"/>
  <c r="DL32" i="2" s="1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DB30" i="2"/>
  <c r="DL30" i="2" s="1"/>
  <c r="DD30" i="2"/>
  <c r="DQ30" i="2"/>
  <c r="DS30" i="2" s="1"/>
  <c r="FF30" i="2"/>
  <c r="DH30" i="2"/>
  <c r="FG30" i="2"/>
  <c r="FK30" i="2"/>
  <c r="FL30" i="2"/>
  <c r="FH30" i="2"/>
  <c r="DJ30" i="2"/>
  <c r="FJ30" i="2"/>
  <c r="FM30" i="2"/>
  <c r="FE30" i="2"/>
  <c r="G30" i="10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AH15" i="8" s="1"/>
  <c r="FH15" i="2"/>
  <c r="C15" i="2"/>
  <c r="B7" i="2"/>
  <c r="DQ14" i="2"/>
  <c r="DS14" i="2" s="1"/>
  <c r="DA7" i="2"/>
  <c r="E7" i="10"/>
  <c r="FB7" i="2" s="1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180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18" i="1"/>
  <c r="AU144" i="8"/>
  <c r="A126" i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95" i="1"/>
  <c r="AL113" i="2" s="1"/>
  <c r="CY129" i="2"/>
  <c r="A111" i="1"/>
  <c r="A129" i="2" s="1"/>
  <c r="CY106" i="2"/>
  <c r="A88" i="1"/>
  <c r="AL108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FV35" i="2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CQ16" i="2"/>
  <c r="AM12" i="2"/>
  <c r="BE12" i="8" s="1"/>
  <c r="DA12" i="2"/>
  <c r="E12" i="2"/>
  <c r="DA11" i="2"/>
  <c r="E10" i="2"/>
  <c r="D10" i="2"/>
  <c r="B12" i="2"/>
  <c r="C12" i="2"/>
  <c r="C10" i="2"/>
  <c r="AI10" i="8" s="1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DA3" i="2"/>
  <c r="D11" i="2"/>
  <c r="D5" i="10"/>
  <c r="E5" i="10"/>
  <c r="FB5" i="2" s="1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E7" i="2"/>
  <c r="D7" i="2"/>
  <c r="C7" i="2"/>
  <c r="AT9" i="8"/>
  <c r="BE11" i="8"/>
  <c r="CZ11" i="2"/>
  <c r="V10" i="8"/>
  <c r="A39" i="2"/>
  <c r="AX39" i="2"/>
  <c r="D6" i="2"/>
  <c r="AW107" i="2"/>
  <c r="AX180" i="2"/>
  <c r="AX155" i="2"/>
  <c r="AW100" i="2"/>
  <c r="AX123" i="2"/>
  <c r="AX131" i="2"/>
  <c r="AY93" i="2"/>
  <c r="AW77" i="2"/>
  <c r="AY131" i="2"/>
  <c r="AX45" i="2"/>
  <c r="AY133" i="2"/>
  <c r="AX107" i="2"/>
  <c r="BI95" i="2"/>
  <c r="AY100" i="2"/>
  <c r="AW139" i="2"/>
  <c r="AX139" i="2"/>
  <c r="IY43" i="2"/>
  <c r="AW59" i="2"/>
  <c r="AY179" i="2"/>
  <c r="AX163" i="2"/>
  <c r="AW51" i="2"/>
  <c r="AX59" i="2"/>
  <c r="C6" i="2"/>
  <c r="AW75" i="2"/>
  <c r="E6" i="2"/>
  <c r="D10" i="10"/>
  <c r="AT10" i="8"/>
  <c r="D9" i="8"/>
  <c r="D10" i="8"/>
  <c r="AG10" i="8"/>
  <c r="CZ10" i="2"/>
  <c r="BE9" i="8"/>
  <c r="V9" i="8"/>
  <c r="D9" i="10"/>
  <c r="AG9" i="8"/>
  <c r="IY183" i="2"/>
  <c r="IY167" i="2"/>
  <c r="IY151" i="2"/>
  <c r="DP77" i="2"/>
  <c r="A109" i="2"/>
  <c r="IV135" i="2"/>
  <c r="IW135" i="2" s="1"/>
  <c r="AX60" i="2"/>
  <c r="IV119" i="2"/>
  <c r="IW119" i="2" s="1"/>
  <c r="DP85" i="2"/>
  <c r="DR53" i="2"/>
  <c r="IV71" i="2"/>
  <c r="IW71" i="2" s="1"/>
  <c r="AY117" i="2"/>
  <c r="AY149" i="2"/>
  <c r="AW76" i="2"/>
  <c r="AY51" i="2"/>
  <c r="AW67" i="2"/>
  <c r="AX179" i="2"/>
  <c r="AX67" i="2"/>
  <c r="AW148" i="2"/>
  <c r="AY52" i="2"/>
  <c r="AY132" i="2"/>
  <c r="A197" i="2"/>
  <c r="AW83" i="2"/>
  <c r="AX83" i="2"/>
  <c r="AX199" i="2"/>
  <c r="AW163" i="2"/>
  <c r="AX171" i="2"/>
  <c r="AW180" i="2"/>
  <c r="AY115" i="2"/>
  <c r="AX132" i="2"/>
  <c r="AY68" i="2"/>
  <c r="IV195" i="2"/>
  <c r="IW195" i="2" s="1"/>
  <c r="AW91" i="2"/>
  <c r="AX99" i="2"/>
  <c r="AX91" i="2"/>
  <c r="AX187" i="2"/>
  <c r="AX147" i="2"/>
  <c r="AY155" i="2"/>
  <c r="AX115" i="2"/>
  <c r="AX68" i="2"/>
  <c r="AW99" i="2"/>
  <c r="AY199" i="2"/>
  <c r="AY171" i="2"/>
  <c r="AX148" i="2"/>
  <c r="AW123" i="2"/>
  <c r="AW147" i="2"/>
  <c r="AX135" i="2"/>
  <c r="AX52" i="2"/>
  <c r="AX75" i="2"/>
  <c r="AY187" i="2"/>
  <c r="BI178" i="2"/>
  <c r="BJ58" i="2"/>
  <c r="E5" i="2"/>
  <c r="D5" i="2"/>
  <c r="DA5" i="2"/>
  <c r="C5" i="2"/>
  <c r="AI5" i="8" s="1"/>
  <c r="IV181" i="2"/>
  <c r="IW181" i="2" s="1"/>
  <c r="AY167" i="2"/>
  <c r="AX143" i="2"/>
  <c r="AX167" i="2"/>
  <c r="AL84" i="2"/>
  <c r="AX151" i="2"/>
  <c r="A44" i="2"/>
  <c r="BJ77" i="2"/>
  <c r="IV109" i="2"/>
  <c r="IW109" i="2" s="1"/>
  <c r="AY45" i="2"/>
  <c r="AY39" i="2"/>
  <c r="AW53" i="2"/>
  <c r="AY109" i="2"/>
  <c r="AX157" i="2"/>
  <c r="AW101" i="2"/>
  <c r="AM4" i="2"/>
  <c r="V4" i="8" s="1"/>
  <c r="AW133" i="2"/>
  <c r="A47" i="2"/>
  <c r="AW156" i="2"/>
  <c r="AX156" i="2"/>
  <c r="AW93" i="2"/>
  <c r="BY85" i="2"/>
  <c r="BX118" i="2"/>
  <c r="AX53" i="2"/>
  <c r="AX77" i="2"/>
  <c r="AY157" i="2"/>
  <c r="AW117" i="2"/>
  <c r="AW109" i="2"/>
  <c r="IV59" i="2"/>
  <c r="IW59" i="2" s="1"/>
  <c r="AW197" i="2"/>
  <c r="E4" i="10"/>
  <c r="FB4" i="2" s="1"/>
  <c r="BJ93" i="2"/>
  <c r="AY140" i="2"/>
  <c r="A183" i="2"/>
  <c r="AX61" i="2"/>
  <c r="A151" i="2"/>
  <c r="AW140" i="2"/>
  <c r="AY173" i="2"/>
  <c r="DA4" i="2"/>
  <c r="A175" i="2"/>
  <c r="AY61" i="2"/>
  <c r="AX197" i="2"/>
  <c r="AY189" i="2"/>
  <c r="AL159" i="2"/>
  <c r="BJ85" i="2"/>
  <c r="IY52" i="2"/>
  <c r="IV91" i="2"/>
  <c r="IW91" i="2" s="1"/>
  <c r="IY92" i="2"/>
  <c r="IV117" i="2"/>
  <c r="IW117" i="2" s="1"/>
  <c r="CJ77" i="2"/>
  <c r="IV60" i="2"/>
  <c r="IW60" i="2" s="1"/>
  <c r="CJ165" i="2"/>
  <c r="IY187" i="2"/>
  <c r="IY93" i="2"/>
  <c r="AY111" i="2"/>
  <c r="AW111" i="2"/>
  <c r="AW151" i="2"/>
  <c r="AY119" i="2"/>
  <c r="AL156" i="2"/>
  <c r="BX82" i="2"/>
  <c r="AW119" i="2"/>
  <c r="IY163" i="2"/>
  <c r="IY197" i="2"/>
  <c r="IY124" i="2"/>
  <c r="AW143" i="2"/>
  <c r="AW135" i="2"/>
  <c r="IV148" i="2"/>
  <c r="IW148" i="2" s="1"/>
  <c r="IV108" i="2"/>
  <c r="IW108" i="2" s="1"/>
  <c r="CK61" i="2"/>
  <c r="BY138" i="2"/>
  <c r="CJ101" i="2"/>
  <c r="V11" i="8"/>
  <c r="D11" i="10"/>
  <c r="AT11" i="8"/>
  <c r="AG11" i="8"/>
  <c r="IY47" i="2"/>
  <c r="IV116" i="2"/>
  <c r="IW116" i="2" s="1"/>
  <c r="IV115" i="2"/>
  <c r="IW115" i="2" s="1"/>
  <c r="DP53" i="2"/>
  <c r="IV179" i="2"/>
  <c r="IW179" i="2" s="1"/>
  <c r="IY155" i="2"/>
  <c r="IY131" i="2"/>
  <c r="IV83" i="2"/>
  <c r="IW83" i="2" s="1"/>
  <c r="IV84" i="2"/>
  <c r="IW84" i="2" s="1"/>
  <c r="IY172" i="2"/>
  <c r="BJ194" i="2"/>
  <c r="CK51" i="2"/>
  <c r="IV107" i="2"/>
  <c r="IW107" i="2" s="1"/>
  <c r="IV123" i="2"/>
  <c r="IW123" i="2" s="1"/>
  <c r="IV164" i="2"/>
  <c r="IW164" i="2" s="1"/>
  <c r="IV140" i="2"/>
  <c r="IW140" i="2" s="1"/>
  <c r="IV171" i="2"/>
  <c r="IW171" i="2" s="1"/>
  <c r="IV147" i="2"/>
  <c r="IW147" i="2" s="1"/>
  <c r="IV76" i="2"/>
  <c r="IW76" i="2" s="1"/>
  <c r="IV75" i="2"/>
  <c r="IW75" i="2" s="1"/>
  <c r="BJ66" i="2"/>
  <c r="A98" i="2"/>
  <c r="IV44" i="2"/>
  <c r="IW44" i="2" s="1"/>
  <c r="IV199" i="2"/>
  <c r="IW199" i="2" s="1"/>
  <c r="IV100" i="2"/>
  <c r="IW100" i="2" s="1"/>
  <c r="IV132" i="2"/>
  <c r="IW132" i="2" s="1"/>
  <c r="DR93" i="2"/>
  <c r="BI50" i="2"/>
  <c r="IV139" i="2"/>
  <c r="IW139" i="2" s="1"/>
  <c r="IV99" i="2"/>
  <c r="IW99" i="2" s="1"/>
  <c r="IV68" i="2"/>
  <c r="IW68" i="2" s="1"/>
  <c r="IV67" i="2"/>
  <c r="IW67" i="2" s="1"/>
  <c r="IV156" i="2"/>
  <c r="IW156" i="2" s="1"/>
  <c r="DP93" i="2"/>
  <c r="DR77" i="2"/>
  <c r="DR85" i="2"/>
  <c r="CK93" i="2"/>
  <c r="E4" i="2"/>
  <c r="D4" i="2"/>
  <c r="C4" i="2"/>
  <c r="AI4" i="8" s="1"/>
  <c r="BY178" i="2"/>
  <c r="BY42" i="2"/>
  <c r="BX66" i="2"/>
  <c r="IV149" i="2"/>
  <c r="IW149" i="2" s="1"/>
  <c r="BX101" i="2"/>
  <c r="BY77" i="2"/>
  <c r="BX194" i="2"/>
  <c r="BY170" i="2"/>
  <c r="AY191" i="2"/>
  <c r="IV53" i="2"/>
  <c r="IW53" i="2" s="1"/>
  <c r="AY47" i="2"/>
  <c r="AX47" i="2"/>
  <c r="IV45" i="2"/>
  <c r="IW45" i="2" s="1"/>
  <c r="AW87" i="2"/>
  <c r="AX87" i="2"/>
  <c r="BY131" i="2"/>
  <c r="BX131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W79" i="2"/>
  <c r="AY103" i="2"/>
  <c r="AY195" i="2"/>
  <c r="AX195" i="2"/>
  <c r="IY63" i="2"/>
  <c r="IV63" i="2"/>
  <c r="IW63" i="2" s="1"/>
  <c r="A199" i="2"/>
  <c r="AW191" i="2"/>
  <c r="AW195" i="2"/>
  <c r="CK123" i="2"/>
  <c r="CJ123" i="2"/>
  <c r="CJ107" i="2"/>
  <c r="CK107" i="2"/>
  <c r="CJ83" i="2"/>
  <c r="CK83" i="2"/>
  <c r="IY55" i="2"/>
  <c r="IV77" i="2"/>
  <c r="IW77" i="2" s="1"/>
  <c r="E3" i="2"/>
  <c r="BJ138" i="2"/>
  <c r="BY122" i="2"/>
  <c r="D3" i="2"/>
  <c r="BJ146" i="2"/>
  <c r="C3" i="2"/>
  <c r="D13" i="8"/>
  <c r="BE13" i="8"/>
  <c r="CZ7" i="2"/>
  <c r="AT13" i="8"/>
  <c r="D13" i="10"/>
  <c r="AG13" i="8"/>
  <c r="D7" i="8"/>
  <c r="V13" i="8"/>
  <c r="AL2" i="2"/>
  <c r="AX108" i="2"/>
  <c r="AX84" i="2"/>
  <c r="A101" i="2"/>
  <c r="A93" i="2"/>
  <c r="A69" i="2"/>
  <c r="AW60" i="2"/>
  <c r="AW124" i="2"/>
  <c r="AL141" i="2"/>
  <c r="AL189" i="2"/>
  <c r="A53" i="2"/>
  <c r="AL45" i="2"/>
  <c r="AY44" i="2"/>
  <c r="AY92" i="2"/>
  <c r="A85" i="2"/>
  <c r="IV103" i="2"/>
  <c r="IW103" i="2" s="1"/>
  <c r="IV87" i="2"/>
  <c r="IW87" i="2" s="1"/>
  <c r="A165" i="2"/>
  <c r="A173" i="2"/>
  <c r="AY172" i="2"/>
  <c r="AW84" i="2"/>
  <c r="AW164" i="2"/>
  <c r="AL77" i="2"/>
  <c r="AL125" i="2"/>
  <c r="AX44" i="2"/>
  <c r="A61" i="2"/>
  <c r="IV191" i="2"/>
  <c r="IW191" i="2" s="1"/>
  <c r="IV175" i="2"/>
  <c r="IW175" i="2" s="1"/>
  <c r="IV159" i="2"/>
  <c r="IW159" i="2" s="1"/>
  <c r="IV143" i="2"/>
  <c r="IW143" i="2" s="1"/>
  <c r="A157" i="2"/>
  <c r="A181" i="2"/>
  <c r="IV111" i="2"/>
  <c r="IW111" i="2" s="1"/>
  <c r="AX43" i="2"/>
  <c r="AY116" i="2"/>
  <c r="IV127" i="2"/>
  <c r="IW127" i="2" s="1"/>
  <c r="A149" i="2"/>
  <c r="AY164" i="2"/>
  <c r="AW92" i="2"/>
  <c r="AW116" i="2"/>
  <c r="AY43" i="2"/>
  <c r="AW108" i="2"/>
  <c r="AX124" i="2"/>
  <c r="AX76" i="2"/>
  <c r="A117" i="2"/>
  <c r="AW172" i="2"/>
  <c r="AL133" i="2"/>
  <c r="IV95" i="2"/>
  <c r="IW95" i="2" s="1"/>
  <c r="IV79" i="2"/>
  <c r="IW79" i="2" s="1"/>
  <c r="A63" i="2"/>
  <c r="AX149" i="2"/>
  <c r="AX125" i="2"/>
  <c r="AW173" i="2"/>
  <c r="A119" i="2"/>
  <c r="AL95" i="2"/>
  <c r="AW69" i="2"/>
  <c r="AY69" i="2"/>
  <c r="IV39" i="2"/>
  <c r="IW39" i="2" s="1"/>
  <c r="IV51" i="2"/>
  <c r="IW51" i="2" s="1"/>
  <c r="A2" i="2"/>
  <c r="AX165" i="2"/>
  <c r="AX69" i="2"/>
  <c r="A127" i="2"/>
  <c r="A167" i="2"/>
  <c r="A103" i="2"/>
  <c r="AW189" i="2"/>
  <c r="AY165" i="2"/>
  <c r="A191" i="2"/>
  <c r="A79" i="2"/>
  <c r="AY141" i="2"/>
  <c r="AW141" i="2"/>
  <c r="A143" i="2"/>
  <c r="AL143" i="2"/>
  <c r="A87" i="2"/>
  <c r="AX85" i="2"/>
  <c r="A135" i="2"/>
  <c r="BY147" i="2"/>
  <c r="BX147" i="2"/>
  <c r="BX99" i="2"/>
  <c r="BY99" i="2"/>
  <c r="BY83" i="2"/>
  <c r="BX83" i="2"/>
  <c r="AY181" i="2"/>
  <c r="AW181" i="2"/>
  <c r="A111" i="2"/>
  <c r="A71" i="2"/>
  <c r="AY125" i="2"/>
  <c r="AY101" i="2"/>
  <c r="A55" i="2"/>
  <c r="AX181" i="2"/>
  <c r="AY85" i="2"/>
  <c r="CK45" i="2"/>
  <c r="CJ197" i="2"/>
  <c r="CJ133" i="2"/>
  <c r="CJ69" i="2"/>
  <c r="B2" i="2"/>
  <c r="AM2" i="2"/>
  <c r="E2" i="10"/>
  <c r="DQ9" i="2"/>
  <c r="FP8" i="2"/>
  <c r="DQ6" i="2"/>
  <c r="DS6" i="2" s="1"/>
  <c r="BI182" i="2"/>
  <c r="IY189" i="2"/>
  <c r="IY157" i="2"/>
  <c r="IY125" i="2"/>
  <c r="IV165" i="2"/>
  <c r="IW165" i="2" s="1"/>
  <c r="IV133" i="2"/>
  <c r="IW133" i="2" s="1"/>
  <c r="IV173" i="2"/>
  <c r="IW173" i="2" s="1"/>
  <c r="IV141" i="2"/>
  <c r="IW141" i="2" s="1"/>
  <c r="AY159" i="2"/>
  <c r="AX159" i="2"/>
  <c r="AX175" i="2"/>
  <c r="AW175" i="2"/>
  <c r="AX183" i="2"/>
  <c r="AW183" i="2"/>
  <c r="IV101" i="2"/>
  <c r="IW101" i="2" s="1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E2" i="2"/>
  <c r="D2" i="2"/>
  <c r="C2" i="2"/>
  <c r="AL162" i="2" l="1"/>
  <c r="A139" i="2"/>
  <c r="A147" i="2"/>
  <c r="AL193" i="2"/>
  <c r="A155" i="2"/>
  <c r="AL171" i="2"/>
  <c r="A163" i="2"/>
  <c r="A142" i="2"/>
  <c r="AL164" i="2"/>
  <c r="AL172" i="2"/>
  <c r="A180" i="2"/>
  <c r="AL52" i="2"/>
  <c r="AL60" i="2"/>
  <c r="AL68" i="2"/>
  <c r="AL76" i="2"/>
  <c r="A92" i="2"/>
  <c r="A100" i="2"/>
  <c r="A116" i="2"/>
  <c r="AL124" i="2"/>
  <c r="A132" i="2"/>
  <c r="A140" i="2"/>
  <c r="A148" i="2"/>
  <c r="AL122" i="2"/>
  <c r="AH24" i="8"/>
  <c r="CK170" i="2"/>
  <c r="A107" i="2"/>
  <c r="CQ12" i="2"/>
  <c r="DP130" i="2"/>
  <c r="D12" i="10"/>
  <c r="DR170" i="2"/>
  <c r="AL152" i="2"/>
  <c r="AL187" i="2"/>
  <c r="CK146" i="2"/>
  <c r="AL75" i="2"/>
  <c r="A168" i="2"/>
  <c r="IV114" i="2"/>
  <c r="IW114" i="2" s="1"/>
  <c r="BP35" i="2"/>
  <c r="ID33" i="2"/>
  <c r="BR35" i="2"/>
  <c r="IV58" i="2"/>
  <c r="IW58" i="2" s="1"/>
  <c r="AH33" i="8"/>
  <c r="CG35" i="2"/>
  <c r="T35" i="2" s="1"/>
  <c r="BQ35" i="2"/>
  <c r="DP34" i="2"/>
  <c r="AI33" i="8"/>
  <c r="CQ33" i="2"/>
  <c r="BU35" i="2"/>
  <c r="AG33" i="8"/>
  <c r="BE33" i="8"/>
  <c r="AG34" i="8"/>
  <c r="CH36" i="2"/>
  <c r="R36" i="2" s="1"/>
  <c r="CI36" i="2"/>
  <c r="AC33" i="2"/>
  <c r="J33" i="2"/>
  <c r="BS36" i="2"/>
  <c r="Z36" i="2"/>
  <c r="BX130" i="2"/>
  <c r="AW74" i="2"/>
  <c r="BJ94" i="2"/>
  <c r="BY79" i="2"/>
  <c r="BY50" i="2"/>
  <c r="BY125" i="2"/>
  <c r="BI42" i="2"/>
  <c r="BJ109" i="2"/>
  <c r="BR37" i="2"/>
  <c r="CK178" i="2"/>
  <c r="AG36" i="2"/>
  <c r="CI31" i="2"/>
  <c r="BY146" i="2"/>
  <c r="BJ130" i="2"/>
  <c r="BY47" i="2"/>
  <c r="BI98" i="2"/>
  <c r="BX114" i="2"/>
  <c r="Y36" i="2"/>
  <c r="CG31" i="2"/>
  <c r="S31" i="2" s="1"/>
  <c r="K37" i="2"/>
  <c r="CE36" i="2"/>
  <c r="CG36" i="2" s="1"/>
  <c r="S36" i="2" s="1"/>
  <c r="BI114" i="2"/>
  <c r="AF36" i="2"/>
  <c r="BV37" i="2"/>
  <c r="CF37" i="2"/>
  <c r="CQ30" i="2"/>
  <c r="AH30" i="8"/>
  <c r="ID30" i="2"/>
  <c r="BX123" i="2"/>
  <c r="BY123" i="2"/>
  <c r="AH32" i="8"/>
  <c r="F32" i="2"/>
  <c r="BV28" i="2"/>
  <c r="CF28" i="2"/>
  <c r="CH28" i="2" s="1"/>
  <c r="R28" i="2" s="1"/>
  <c r="AN34" i="2"/>
  <c r="CE34" i="2" s="1"/>
  <c r="ID32" i="2"/>
  <c r="X32" i="2"/>
  <c r="CQ32" i="2"/>
  <c r="BI82" i="2"/>
  <c r="BJ82" i="2"/>
  <c r="BX154" i="2"/>
  <c r="BY154" i="2"/>
  <c r="BI154" i="2"/>
  <c r="BJ154" i="2"/>
  <c r="Q35" i="2"/>
  <c r="BX51" i="2"/>
  <c r="BY51" i="2"/>
  <c r="BX56" i="2"/>
  <c r="BY56" i="2"/>
  <c r="Z31" i="2"/>
  <c r="Y31" i="2"/>
  <c r="AT32" i="8"/>
  <c r="D32" i="8"/>
  <c r="AG32" i="8"/>
  <c r="AN32" i="2"/>
  <c r="ID34" i="2"/>
  <c r="BS31" i="2"/>
  <c r="BP31" i="2"/>
  <c r="BT31" i="2"/>
  <c r="L31" i="2"/>
  <c r="AE31" i="2"/>
  <c r="IE31" i="2" s="1"/>
  <c r="BR31" i="2"/>
  <c r="BQ31" i="2"/>
  <c r="BU31" i="2"/>
  <c r="AC31" i="2"/>
  <c r="J31" i="2"/>
  <c r="AO33" i="2"/>
  <c r="AW33" i="2" s="1"/>
  <c r="K33" i="2"/>
  <c r="CE28" i="2"/>
  <c r="AI34" i="8"/>
  <c r="F34" i="2"/>
  <c r="IC34" i="2"/>
  <c r="W34" i="2"/>
  <c r="AX82" i="2"/>
  <c r="AW82" i="2"/>
  <c r="CJ82" i="2"/>
  <c r="CK82" i="2"/>
  <c r="CH35" i="2"/>
  <c r="R35" i="2" s="1"/>
  <c r="S35" i="2" s="1"/>
  <c r="CI35" i="2"/>
  <c r="BE32" i="8"/>
  <c r="BV31" i="2"/>
  <c r="BX186" i="2"/>
  <c r="BY186" i="2"/>
  <c r="AG37" i="2"/>
  <c r="AD37" i="2"/>
  <c r="AF37" i="2"/>
  <c r="AD33" i="2"/>
  <c r="AN24" i="2"/>
  <c r="CE24" i="2" s="1"/>
  <c r="W32" i="2"/>
  <c r="AH34" i="8"/>
  <c r="BH37" i="2"/>
  <c r="AR37" i="2"/>
  <c r="F37" i="8"/>
  <c r="BG37" i="2"/>
  <c r="AP35" i="2"/>
  <c r="IF35" i="2"/>
  <c r="L33" i="2"/>
  <c r="F30" i="2"/>
  <c r="CQ24" i="2"/>
  <c r="V32" i="8"/>
  <c r="X34" i="2"/>
  <c r="AP36" i="2"/>
  <c r="AR36" i="2"/>
  <c r="BG36" i="2"/>
  <c r="F36" i="8"/>
  <c r="AD35" i="2"/>
  <c r="AF35" i="2"/>
  <c r="AG35" i="2"/>
  <c r="W33" i="2"/>
  <c r="AN33" i="2"/>
  <c r="BT33" i="2" s="1"/>
  <c r="IC33" i="2"/>
  <c r="K36" i="2"/>
  <c r="M37" i="2"/>
  <c r="AS37" i="2" s="1"/>
  <c r="AX37" i="2" s="1"/>
  <c r="N37" i="2"/>
  <c r="AT37" i="2" s="1"/>
  <c r="AY37" i="2" s="1"/>
  <c r="D34" i="8"/>
  <c r="Z37" i="2"/>
  <c r="Y37" i="2"/>
  <c r="BU37" i="2"/>
  <c r="V33" i="8"/>
  <c r="X33" i="2"/>
  <c r="AG30" i="8"/>
  <c r="V30" i="8"/>
  <c r="D30" i="8"/>
  <c r="AT30" i="8"/>
  <c r="BE30" i="8"/>
  <c r="K35" i="2"/>
  <c r="AI32" i="8"/>
  <c r="BR36" i="2"/>
  <c r="BQ36" i="2"/>
  <c r="BT36" i="2"/>
  <c r="AU35" i="8"/>
  <c r="IM35" i="2" s="1"/>
  <c r="BU36" i="2"/>
  <c r="BS37" i="2"/>
  <c r="AL83" i="2"/>
  <c r="AT33" i="8"/>
  <c r="W30" i="2"/>
  <c r="AN30" i="2"/>
  <c r="CE30" i="2" s="1"/>
  <c r="AI30" i="8"/>
  <c r="IC30" i="2"/>
  <c r="X30" i="2"/>
  <c r="CE37" i="2"/>
  <c r="BP36" i="2"/>
  <c r="BP37" i="2"/>
  <c r="AW122" i="2"/>
  <c r="IV170" i="2"/>
  <c r="IW170" i="2" s="1"/>
  <c r="IV146" i="2"/>
  <c r="IW146" i="2" s="1"/>
  <c r="DR34" i="2"/>
  <c r="AW130" i="2"/>
  <c r="A91" i="2"/>
  <c r="DP170" i="2"/>
  <c r="A43" i="2"/>
  <c r="A99" i="2"/>
  <c r="AX72" i="2"/>
  <c r="IV74" i="2"/>
  <c r="IW74" i="2" s="1"/>
  <c r="A75" i="2"/>
  <c r="AY50" i="2"/>
  <c r="AY122" i="2"/>
  <c r="CK114" i="2"/>
  <c r="A115" i="2"/>
  <c r="DR114" i="2"/>
  <c r="AY48" i="2"/>
  <c r="A187" i="2"/>
  <c r="DS154" i="2"/>
  <c r="DP146" i="2"/>
  <c r="DR82" i="2"/>
  <c r="AY82" i="2"/>
  <c r="CJ87" i="2"/>
  <c r="AX114" i="2"/>
  <c r="DP122" i="2"/>
  <c r="IY130" i="2"/>
  <c r="CK162" i="2"/>
  <c r="A171" i="2"/>
  <c r="AY74" i="2"/>
  <c r="AY186" i="2"/>
  <c r="AW186" i="2"/>
  <c r="AX64" i="2"/>
  <c r="AW114" i="2"/>
  <c r="AY64" i="2"/>
  <c r="DP58" i="2"/>
  <c r="AX130" i="2"/>
  <c r="AX200" i="2"/>
  <c r="DR178" i="2"/>
  <c r="CJ112" i="2"/>
  <c r="DP200" i="2"/>
  <c r="A51" i="2"/>
  <c r="AY146" i="2"/>
  <c r="CJ132" i="2"/>
  <c r="DP178" i="2"/>
  <c r="DP72" i="2"/>
  <c r="AW50" i="2"/>
  <c r="AX146" i="2"/>
  <c r="DP64" i="2"/>
  <c r="DR64" i="2"/>
  <c r="AY200" i="2"/>
  <c r="CJ96" i="2"/>
  <c r="IY162" i="2"/>
  <c r="AW72" i="2"/>
  <c r="DR72" i="2"/>
  <c r="A179" i="2"/>
  <c r="AL131" i="2"/>
  <c r="DP162" i="2"/>
  <c r="IV96" i="2"/>
  <c r="IW96" i="2" s="1"/>
  <c r="CJ120" i="2"/>
  <c r="A123" i="2"/>
  <c r="DP192" i="2"/>
  <c r="DR192" i="2"/>
  <c r="DR200" i="2"/>
  <c r="DR58" i="2"/>
  <c r="DS109" i="2"/>
  <c r="AL123" i="2"/>
  <c r="DR122" i="2"/>
  <c r="DR162" i="2"/>
  <c r="DP42" i="2"/>
  <c r="AX98" i="2"/>
  <c r="DR146" i="2"/>
  <c r="DP154" i="2"/>
  <c r="AL160" i="2"/>
  <c r="A67" i="2"/>
  <c r="IY66" i="2"/>
  <c r="AW194" i="2"/>
  <c r="IV56" i="2"/>
  <c r="IW56" i="2" s="1"/>
  <c r="AL67" i="2"/>
  <c r="DP82" i="2"/>
  <c r="AX194" i="2"/>
  <c r="AX66" i="2"/>
  <c r="AY66" i="2"/>
  <c r="AX96" i="2"/>
  <c r="CJ53" i="2"/>
  <c r="A195" i="2"/>
  <c r="IV154" i="2"/>
  <c r="IW154" i="2" s="1"/>
  <c r="AW98" i="2"/>
  <c r="IV194" i="2"/>
  <c r="IW194" i="2" s="1"/>
  <c r="DR42" i="2"/>
  <c r="A144" i="2"/>
  <c r="AL139" i="2"/>
  <c r="BI52" i="2"/>
  <c r="A136" i="2"/>
  <c r="CK98" i="2"/>
  <c r="BJ140" i="2"/>
  <c r="A59" i="2"/>
  <c r="AL147" i="2"/>
  <c r="BI162" i="2"/>
  <c r="BY71" i="2"/>
  <c r="BX162" i="2"/>
  <c r="IV50" i="2"/>
  <c r="IW50" i="2" s="1"/>
  <c r="IY42" i="2"/>
  <c r="DR194" i="2"/>
  <c r="BX58" i="2"/>
  <c r="BX93" i="2"/>
  <c r="BJ170" i="2"/>
  <c r="CJ117" i="2"/>
  <c r="CJ138" i="2"/>
  <c r="IV90" i="2"/>
  <c r="IW90" i="2" s="1"/>
  <c r="DP194" i="2"/>
  <c r="A108" i="2"/>
  <c r="AL109" i="2"/>
  <c r="AL201" i="2"/>
  <c r="A164" i="2"/>
  <c r="AL165" i="2"/>
  <c r="A172" i="2"/>
  <c r="AL173" i="2"/>
  <c r="AL180" i="2"/>
  <c r="AL181" i="2"/>
  <c r="A84" i="2"/>
  <c r="AL85" i="2"/>
  <c r="AL44" i="2"/>
  <c r="A45" i="2"/>
  <c r="A52" i="2"/>
  <c r="AL53" i="2"/>
  <c r="A60" i="2"/>
  <c r="AL61" i="2"/>
  <c r="A68" i="2"/>
  <c r="AL69" i="2"/>
  <c r="A76" i="2"/>
  <c r="A77" i="2"/>
  <c r="AL92" i="2"/>
  <c r="AL93" i="2"/>
  <c r="AL100" i="2"/>
  <c r="AL101" i="2"/>
  <c r="AL116" i="2"/>
  <c r="AL117" i="2"/>
  <c r="A124" i="2"/>
  <c r="A125" i="2"/>
  <c r="AL132" i="2"/>
  <c r="A133" i="2"/>
  <c r="AL140" i="2"/>
  <c r="A141" i="2"/>
  <c r="AL148" i="2"/>
  <c r="AL149" i="2"/>
  <c r="A156" i="2"/>
  <c r="AL157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L198" i="2"/>
  <c r="AL199" i="2"/>
  <c r="AL137" i="2"/>
  <c r="A177" i="2"/>
  <c r="AL145" i="2"/>
  <c r="AL153" i="2"/>
  <c r="AL169" i="2"/>
  <c r="A161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A162" i="2"/>
  <c r="AL163" i="2"/>
  <c r="AL170" i="2"/>
  <c r="A178" i="2"/>
  <c r="AL82" i="2"/>
  <c r="A83" i="2"/>
  <c r="AL42" i="2"/>
  <c r="AL43" i="2"/>
  <c r="AL50" i="2"/>
  <c r="AL51" i="2"/>
  <c r="AL58" i="2"/>
  <c r="AL59" i="2"/>
  <c r="AL66" i="2"/>
  <c r="A74" i="2"/>
  <c r="AL90" i="2"/>
  <c r="AL91" i="2"/>
  <c r="AL98" i="2"/>
  <c r="AL99" i="2"/>
  <c r="AL114" i="2"/>
  <c r="AL115" i="2"/>
  <c r="A122" i="2"/>
  <c r="A130" i="2"/>
  <c r="A131" i="2"/>
  <c r="AL138" i="2"/>
  <c r="AL146" i="2"/>
  <c r="A154" i="2"/>
  <c r="AL155" i="2"/>
  <c r="A186" i="2"/>
  <c r="AL194" i="2"/>
  <c r="AL195" i="2"/>
  <c r="A90" i="2"/>
  <c r="A146" i="2"/>
  <c r="A138" i="2"/>
  <c r="AL74" i="2"/>
  <c r="A58" i="2"/>
  <c r="A114" i="2"/>
  <c r="A50" i="2"/>
  <c r="AL130" i="2"/>
  <c r="AL186" i="2"/>
  <c r="A66" i="2"/>
  <c r="A170" i="2"/>
  <c r="A201" i="2"/>
  <c r="A194" i="2"/>
  <c r="AL178" i="2"/>
  <c r="A82" i="2"/>
  <c r="AL154" i="2"/>
  <c r="A42" i="2"/>
  <c r="CK90" i="2"/>
  <c r="IV138" i="2"/>
  <c r="IW138" i="2" s="1"/>
  <c r="CJ122" i="2"/>
  <c r="IV98" i="2"/>
  <c r="IW98" i="2" s="1"/>
  <c r="IY122" i="2"/>
  <c r="AY58" i="2"/>
  <c r="DP61" i="2"/>
  <c r="DR50" i="2"/>
  <c r="DP51" i="2"/>
  <c r="CJ127" i="2"/>
  <c r="IV188" i="2"/>
  <c r="IW188" i="2" s="1"/>
  <c r="DP114" i="2"/>
  <c r="CK130" i="2"/>
  <c r="CJ192" i="2"/>
  <c r="AX162" i="2"/>
  <c r="AW154" i="2"/>
  <c r="CK143" i="2"/>
  <c r="DP50" i="2"/>
  <c r="AY162" i="2"/>
  <c r="AY154" i="2"/>
  <c r="DR101" i="2"/>
  <c r="AX90" i="2"/>
  <c r="DR143" i="2"/>
  <c r="DP127" i="2"/>
  <c r="DP66" i="2"/>
  <c r="CJ48" i="2"/>
  <c r="AY90" i="2"/>
  <c r="DR61" i="2"/>
  <c r="IY186" i="2"/>
  <c r="AY170" i="2"/>
  <c r="CK109" i="2"/>
  <c r="CJ180" i="2"/>
  <c r="AX170" i="2"/>
  <c r="AW58" i="2"/>
  <c r="DR96" i="2"/>
  <c r="CJ184" i="2"/>
  <c r="IV72" i="2"/>
  <c r="IW72" i="2" s="1"/>
  <c r="CK186" i="2"/>
  <c r="IV201" i="2"/>
  <c r="IW201" i="2" s="1"/>
  <c r="DP101" i="2"/>
  <c r="DR127" i="2"/>
  <c r="CJ140" i="2"/>
  <c r="DR66" i="2"/>
  <c r="CK154" i="2"/>
  <c r="AY178" i="2"/>
  <c r="DP138" i="2"/>
  <c r="DR138" i="2"/>
  <c r="AX138" i="2"/>
  <c r="AX178" i="2"/>
  <c r="CK66" i="2"/>
  <c r="CK50" i="2"/>
  <c r="AW42" i="2"/>
  <c r="AX42" i="2"/>
  <c r="DR130" i="2"/>
  <c r="DS186" i="2"/>
  <c r="CJ58" i="2"/>
  <c r="IV82" i="2"/>
  <c r="IW82" i="2" s="1"/>
  <c r="AW138" i="2"/>
  <c r="CK42" i="2"/>
  <c r="CK194" i="2"/>
  <c r="DR186" i="2"/>
  <c r="IY178" i="2"/>
  <c r="CK199" i="2"/>
  <c r="BY111" i="2"/>
  <c r="BJ128" i="2"/>
  <c r="BY151" i="2"/>
  <c r="CJ80" i="2"/>
  <c r="CK111" i="2"/>
  <c r="BY80" i="2"/>
  <c r="DP87" i="2"/>
  <c r="DR87" i="2"/>
  <c r="IY192" i="2"/>
  <c r="CJ63" i="2"/>
  <c r="BY119" i="2"/>
  <c r="BX40" i="2"/>
  <c r="BI45" i="2"/>
  <c r="BJ72" i="2"/>
  <c r="AW96" i="2"/>
  <c r="DS83" i="2"/>
  <c r="BY172" i="2"/>
  <c r="DP26" i="2"/>
  <c r="DR26" i="2"/>
  <c r="AL184" i="2"/>
  <c r="AL104" i="2"/>
  <c r="BY104" i="2"/>
  <c r="BY48" i="2"/>
  <c r="BX155" i="2"/>
  <c r="BX68" i="2"/>
  <c r="DP29" i="2"/>
  <c r="BI124" i="2"/>
  <c r="DR29" i="2"/>
  <c r="BX44" i="2"/>
  <c r="BY76" i="2"/>
  <c r="BJ127" i="2"/>
  <c r="BY128" i="2"/>
  <c r="CJ141" i="2"/>
  <c r="BI39" i="2"/>
  <c r="BY196" i="2"/>
  <c r="BY143" i="2"/>
  <c r="BY159" i="2"/>
  <c r="CJ149" i="2"/>
  <c r="BY184" i="2"/>
  <c r="BI116" i="2"/>
  <c r="A166" i="2"/>
  <c r="CJ159" i="2"/>
  <c r="AL188" i="2"/>
  <c r="A182" i="2"/>
  <c r="CK175" i="2"/>
  <c r="DR183" i="2"/>
  <c r="CJ55" i="2"/>
  <c r="DP183" i="2"/>
  <c r="A112" i="2"/>
  <c r="CK95" i="2"/>
  <c r="CK71" i="2"/>
  <c r="CJ119" i="2"/>
  <c r="CK172" i="2"/>
  <c r="DR128" i="2"/>
  <c r="DP111" i="2"/>
  <c r="DR111" i="2"/>
  <c r="DP141" i="2"/>
  <c r="IV196" i="2"/>
  <c r="IW196" i="2" s="1"/>
  <c r="CZ5" i="2"/>
  <c r="CK68" i="2"/>
  <c r="BJ53" i="2"/>
  <c r="AX56" i="2"/>
  <c r="IC7" i="2"/>
  <c r="DS31" i="2"/>
  <c r="AW56" i="2"/>
  <c r="BI118" i="2"/>
  <c r="DR141" i="2"/>
  <c r="BX195" i="2"/>
  <c r="DS182" i="2"/>
  <c r="DP45" i="2"/>
  <c r="DP69" i="2"/>
  <c r="CK125" i="2"/>
  <c r="DR119" i="2"/>
  <c r="BX69" i="2"/>
  <c r="BI126" i="2"/>
  <c r="BY135" i="2"/>
  <c r="BY109" i="2"/>
  <c r="DP31" i="2"/>
  <c r="BJ69" i="2"/>
  <c r="BY53" i="2"/>
  <c r="BY39" i="2"/>
  <c r="DP119" i="2"/>
  <c r="CK189" i="2"/>
  <c r="CJ85" i="2"/>
  <c r="BY192" i="2"/>
  <c r="CK155" i="2"/>
  <c r="DR69" i="2"/>
  <c r="CK79" i="2"/>
  <c r="BY95" i="2"/>
  <c r="DR45" i="2"/>
  <c r="BJ135" i="2"/>
  <c r="BI46" i="2"/>
  <c r="DR174" i="2"/>
  <c r="BI40" i="2"/>
  <c r="AY118" i="2"/>
  <c r="DP40" i="2"/>
  <c r="IV112" i="2"/>
  <c r="IW112" i="2" s="1"/>
  <c r="DP174" i="2"/>
  <c r="AX70" i="2"/>
  <c r="DR40" i="2"/>
  <c r="AY126" i="2"/>
  <c r="BJ88" i="2"/>
  <c r="BX174" i="2"/>
  <c r="DR108" i="2"/>
  <c r="AI8" i="8"/>
  <c r="BJ175" i="2"/>
  <c r="AX126" i="2"/>
  <c r="DR182" i="2"/>
  <c r="BY164" i="2"/>
  <c r="AY78" i="2"/>
  <c r="BY88" i="2"/>
  <c r="BJ199" i="2"/>
  <c r="AW118" i="2"/>
  <c r="BJ56" i="2"/>
  <c r="BX193" i="2"/>
  <c r="Y29" i="2"/>
  <c r="CK131" i="2"/>
  <c r="BJ117" i="2"/>
  <c r="CK44" i="2"/>
  <c r="CK187" i="2"/>
  <c r="DR48" i="2"/>
  <c r="CK167" i="2"/>
  <c r="BI64" i="2"/>
  <c r="DR180" i="2"/>
  <c r="BY112" i="2"/>
  <c r="A88" i="2"/>
  <c r="BY200" i="2"/>
  <c r="CK124" i="2"/>
  <c r="DP180" i="2"/>
  <c r="BY87" i="2"/>
  <c r="BY96" i="2"/>
  <c r="DP48" i="2"/>
  <c r="A48" i="2"/>
  <c r="BI112" i="2"/>
  <c r="BY116" i="2"/>
  <c r="AG24" i="8"/>
  <c r="BE5" i="8"/>
  <c r="AT5" i="8"/>
  <c r="V5" i="8"/>
  <c r="D5" i="8"/>
  <c r="CF29" i="2"/>
  <c r="BE7" i="8"/>
  <c r="AT7" i="8"/>
  <c r="AG7" i="8"/>
  <c r="Z29" i="2"/>
  <c r="V8" i="8"/>
  <c r="BE8" i="8"/>
  <c r="AG8" i="8"/>
  <c r="CZ24" i="2"/>
  <c r="CZ8" i="2"/>
  <c r="D24" i="8"/>
  <c r="AT24" i="8"/>
  <c r="D8" i="8"/>
  <c r="BE16" i="8"/>
  <c r="CQ15" i="2"/>
  <c r="AN16" i="2"/>
  <c r="F24" i="2"/>
  <c r="J24" i="2" s="1"/>
  <c r="K24" i="2" s="1"/>
  <c r="X24" i="2"/>
  <c r="Y24" i="2" s="1"/>
  <c r="CK43" i="2"/>
  <c r="AX192" i="2"/>
  <c r="BY120" i="2"/>
  <c r="A120" i="2"/>
  <c r="Y28" i="2"/>
  <c r="IV64" i="2"/>
  <c r="IW64" i="2" s="1"/>
  <c r="CJ104" i="2"/>
  <c r="CK163" i="2"/>
  <c r="AY192" i="2"/>
  <c r="AX48" i="2"/>
  <c r="DP104" i="2"/>
  <c r="DR104" i="2"/>
  <c r="BJ196" i="2"/>
  <c r="A128" i="2"/>
  <c r="IC16" i="2"/>
  <c r="IV48" i="2"/>
  <c r="IW48" i="2" s="1"/>
  <c r="BY175" i="2"/>
  <c r="CK157" i="2"/>
  <c r="BY140" i="2"/>
  <c r="DP96" i="2"/>
  <c r="F16" i="2"/>
  <c r="J16" i="2" s="1"/>
  <c r="BJ104" i="2"/>
  <c r="BY64" i="2"/>
  <c r="A192" i="2"/>
  <c r="A40" i="2"/>
  <c r="X16" i="2"/>
  <c r="AI16" i="8"/>
  <c r="CJ40" i="2"/>
  <c r="DS116" i="2"/>
  <c r="DP71" i="2"/>
  <c r="IY104" i="2"/>
  <c r="IV88" i="2"/>
  <c r="IW88" i="2" s="1"/>
  <c r="IV120" i="2"/>
  <c r="IW120" i="2" s="1"/>
  <c r="DP128" i="2"/>
  <c r="AT16" i="8"/>
  <c r="BY103" i="2"/>
  <c r="BX75" i="2"/>
  <c r="DS71" i="2"/>
  <c r="A200" i="2"/>
  <c r="Z28" i="2"/>
  <c r="CJ181" i="2"/>
  <c r="BX171" i="2"/>
  <c r="CK115" i="2"/>
  <c r="DP37" i="2"/>
  <c r="BY45" i="2"/>
  <c r="DR109" i="2"/>
  <c r="CG29" i="2"/>
  <c r="CK173" i="2"/>
  <c r="BX43" i="2"/>
  <c r="BY127" i="2"/>
  <c r="DR37" i="2"/>
  <c r="BJ79" i="2"/>
  <c r="CJ103" i="2"/>
  <c r="AY184" i="2"/>
  <c r="AX184" i="2"/>
  <c r="BY199" i="2"/>
  <c r="D16" i="8"/>
  <c r="CZ16" i="2"/>
  <c r="AG16" i="8"/>
  <c r="ID15" i="2"/>
  <c r="V14" i="8"/>
  <c r="D14" i="10"/>
  <c r="BS29" i="2"/>
  <c r="CJ100" i="2"/>
  <c r="DS132" i="2"/>
  <c r="CJ116" i="2"/>
  <c r="BX179" i="2"/>
  <c r="CJ148" i="2"/>
  <c r="BX163" i="2"/>
  <c r="BX187" i="2"/>
  <c r="CQ14" i="2"/>
  <c r="BX107" i="2"/>
  <c r="CJ56" i="2"/>
  <c r="CJ135" i="2"/>
  <c r="CK151" i="2"/>
  <c r="CK147" i="2"/>
  <c r="DP143" i="2"/>
  <c r="A80" i="2"/>
  <c r="DR120" i="2"/>
  <c r="DR164" i="2"/>
  <c r="BX115" i="2"/>
  <c r="CK108" i="2"/>
  <c r="CJ72" i="2"/>
  <c r="AY196" i="2"/>
  <c r="AL72" i="2"/>
  <c r="CK92" i="2"/>
  <c r="BX91" i="2"/>
  <c r="CJ200" i="2"/>
  <c r="DP120" i="2"/>
  <c r="AW196" i="2"/>
  <c r="CK171" i="2"/>
  <c r="BY167" i="2"/>
  <c r="A56" i="2"/>
  <c r="DR51" i="2"/>
  <c r="CK91" i="2"/>
  <c r="IV40" i="2"/>
  <c r="IW40" i="2" s="1"/>
  <c r="AE29" i="2"/>
  <c r="IE29" i="2" s="1"/>
  <c r="BT29" i="2"/>
  <c r="BR29" i="2"/>
  <c r="J29" i="2"/>
  <c r="DG29" i="2" s="1"/>
  <c r="BQ29" i="2"/>
  <c r="L29" i="2"/>
  <c r="AR29" i="2" s="1"/>
  <c r="BP29" i="2"/>
  <c r="BU29" i="2"/>
  <c r="BV29" i="2"/>
  <c r="AH27" i="8"/>
  <c r="ID24" i="2"/>
  <c r="AD29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CJ128" i="2"/>
  <c r="IV80" i="2"/>
  <c r="IW80" i="2" s="1"/>
  <c r="CK75" i="2"/>
  <c r="CJ59" i="2"/>
  <c r="DP184" i="2"/>
  <c r="IV128" i="2"/>
  <c r="IW128" i="2" s="1"/>
  <c r="DR80" i="2"/>
  <c r="DR184" i="2"/>
  <c r="DP112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I169" i="2"/>
  <c r="AW97" i="2"/>
  <c r="BJ134" i="2"/>
  <c r="DP36" i="2"/>
  <c r="BY41" i="2"/>
  <c r="DR132" i="2"/>
  <c r="DR124" i="2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W161" i="2"/>
  <c r="BY144" i="2"/>
  <c r="AW73" i="2"/>
  <c r="AX97" i="2"/>
  <c r="CJ185" i="2"/>
  <c r="BY89" i="2"/>
  <c r="A185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62" i="2"/>
  <c r="BX133" i="2"/>
  <c r="CK113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AX144" i="2"/>
  <c r="AH13" i="8"/>
  <c r="X15" i="2"/>
  <c r="DP163" i="2"/>
  <c r="AY153" i="2"/>
  <c r="BY191" i="2"/>
  <c r="BY181" i="2"/>
  <c r="DR57" i="2"/>
  <c r="AX41" i="2"/>
  <c r="IY169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R14" i="2"/>
  <c r="DS133" i="2"/>
  <c r="DR41" i="2"/>
  <c r="DP41" i="2"/>
  <c r="DP14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AL3" i="2"/>
  <c r="BJ87" i="2"/>
  <c r="BI87" i="2"/>
  <c r="AI15" i="8"/>
  <c r="IC15" i="2"/>
  <c r="V15" i="8"/>
  <c r="D15" i="8"/>
  <c r="CZ15" i="2"/>
  <c r="AG15" i="8"/>
  <c r="AT15" i="8"/>
  <c r="BE15" i="8"/>
  <c r="X12" i="2"/>
  <c r="DG16" i="2"/>
  <c r="K16" i="2"/>
  <c r="AO16" i="2"/>
  <c r="CE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DS12" i="2"/>
  <c r="DS11" i="2"/>
  <c r="DS8" i="2"/>
  <c r="DS10" i="2"/>
  <c r="FD6" i="2"/>
  <c r="DS5" i="2"/>
  <c r="DS4" i="2"/>
  <c r="DS3" i="2"/>
  <c r="ID2" i="2"/>
  <c r="AH2" i="8"/>
  <c r="CQ2" i="2"/>
  <c r="F2" i="2"/>
  <c r="FD5" i="2"/>
  <c r="DR19" i="2" l="1"/>
  <c r="DP19" i="2"/>
  <c r="DR18" i="2"/>
  <c r="DP18" i="2" s="1"/>
  <c r="CG28" i="2"/>
  <c r="Q28" i="2" s="1"/>
  <c r="DR13" i="2"/>
  <c r="DP13" i="2" s="1"/>
  <c r="T31" i="2"/>
  <c r="Q31" i="2"/>
  <c r="T36" i="2"/>
  <c r="AE24" i="2"/>
  <c r="IE24" i="2" s="1"/>
  <c r="BS24" i="2"/>
  <c r="Q36" i="2"/>
  <c r="BV24" i="2"/>
  <c r="CF34" i="2"/>
  <c r="CI28" i="2"/>
  <c r="CG37" i="2"/>
  <c r="Q37" i="2" s="1"/>
  <c r="CH37" i="2"/>
  <c r="R37" i="2" s="1"/>
  <c r="CI37" i="2"/>
  <c r="CE33" i="2"/>
  <c r="E37" i="8"/>
  <c r="GD37" i="2" s="1"/>
  <c r="BF37" i="2"/>
  <c r="Z30" i="2"/>
  <c r="Y30" i="2"/>
  <c r="BQ32" i="2"/>
  <c r="BT32" i="2"/>
  <c r="BS32" i="2"/>
  <c r="BU32" i="2"/>
  <c r="J32" i="2"/>
  <c r="BR32" i="2"/>
  <c r="BV32" i="2"/>
  <c r="AC32" i="2"/>
  <c r="L32" i="2"/>
  <c r="AE32" i="2"/>
  <c r="IE32" i="2" s="1"/>
  <c r="BP32" i="2"/>
  <c r="AF33" i="2"/>
  <c r="CE32" i="2"/>
  <c r="CF32" i="2"/>
  <c r="BF36" i="2"/>
  <c r="M36" i="2"/>
  <c r="AS36" i="2" s="1"/>
  <c r="AX36" i="2" s="1"/>
  <c r="N36" i="2"/>
  <c r="AT36" i="2" s="1"/>
  <c r="AY36" i="2" s="1"/>
  <c r="E36" i="8"/>
  <c r="BS33" i="2"/>
  <c r="AG33" i="2"/>
  <c r="Z34" i="2"/>
  <c r="Y34" i="2"/>
  <c r="CG34" i="2"/>
  <c r="Y32" i="2"/>
  <c r="Z32" i="2"/>
  <c r="AD31" i="2"/>
  <c r="AG31" i="2"/>
  <c r="AF31" i="2"/>
  <c r="GE36" i="2"/>
  <c r="FT36" i="2"/>
  <c r="FU36" i="2"/>
  <c r="GQ36" i="2"/>
  <c r="GT36" i="2"/>
  <c r="GN36" i="2"/>
  <c r="FV36" i="2"/>
  <c r="FX36" i="2"/>
  <c r="BQ30" i="2"/>
  <c r="AC30" i="2"/>
  <c r="BP30" i="2"/>
  <c r="BU30" i="2"/>
  <c r="BS30" i="2"/>
  <c r="L30" i="2"/>
  <c r="BT30" i="2"/>
  <c r="BR30" i="2"/>
  <c r="AE30" i="2"/>
  <c r="IE30" i="2" s="1"/>
  <c r="BV30" i="2"/>
  <c r="J30" i="2"/>
  <c r="FV37" i="2"/>
  <c r="GE37" i="2"/>
  <c r="GT37" i="2"/>
  <c r="FT37" i="2"/>
  <c r="GQ37" i="2"/>
  <c r="FU37" i="2"/>
  <c r="GN37" i="2"/>
  <c r="FX37" i="2"/>
  <c r="CF30" i="2"/>
  <c r="CG30" i="2" s="1"/>
  <c r="BP33" i="2"/>
  <c r="CF33" i="2"/>
  <c r="BR33" i="2"/>
  <c r="BQ33" i="2"/>
  <c r="BV33" i="2"/>
  <c r="BQ34" i="2"/>
  <c r="BP34" i="2"/>
  <c r="BU34" i="2"/>
  <c r="BR34" i="2"/>
  <c r="J34" i="2"/>
  <c r="L34" i="2"/>
  <c r="BS34" i="2"/>
  <c r="BT34" i="2"/>
  <c r="AC34" i="2"/>
  <c r="AE34" i="2"/>
  <c r="IE34" i="2" s="1"/>
  <c r="BV34" i="2"/>
  <c r="BF33" i="2"/>
  <c r="N33" i="2"/>
  <c r="AT33" i="2" s="1"/>
  <c r="AY33" i="2" s="1"/>
  <c r="E33" i="8"/>
  <c r="M33" i="2"/>
  <c r="AS33" i="2" s="1"/>
  <c r="AX33" i="2" s="1"/>
  <c r="F31" i="8"/>
  <c r="BG31" i="2"/>
  <c r="AR31" i="2"/>
  <c r="BH31" i="2"/>
  <c r="Z33" i="2"/>
  <c r="Y33" i="2"/>
  <c r="AR33" i="2"/>
  <c r="BG33" i="2"/>
  <c r="F33" i="8"/>
  <c r="BH33" i="2"/>
  <c r="AP37" i="2"/>
  <c r="IF37" i="2"/>
  <c r="CH34" i="2"/>
  <c r="R34" i="2" s="1"/>
  <c r="CI34" i="2"/>
  <c r="N35" i="2"/>
  <c r="AT35" i="2" s="1"/>
  <c r="AY35" i="2" s="1"/>
  <c r="M35" i="2"/>
  <c r="AS35" i="2" s="1"/>
  <c r="AX35" i="2" s="1"/>
  <c r="E35" i="8"/>
  <c r="BF35" i="2"/>
  <c r="AO31" i="2"/>
  <c r="K31" i="2"/>
  <c r="BU33" i="2"/>
  <c r="BQ24" i="2"/>
  <c r="Z24" i="2"/>
  <c r="FD13" i="2"/>
  <c r="FE13" i="2" s="1"/>
  <c r="BR16" i="2"/>
  <c r="DR4" i="2"/>
  <c r="DP4" i="2" s="1"/>
  <c r="AC11" i="2"/>
  <c r="BT16" i="2"/>
  <c r="CF16" i="2"/>
  <c r="BP16" i="2"/>
  <c r="BS16" i="2"/>
  <c r="BV16" i="2"/>
  <c r="BQ16" i="2"/>
  <c r="AG29" i="2"/>
  <c r="Z16" i="2"/>
  <c r="BU16" i="2"/>
  <c r="Y16" i="2"/>
  <c r="BT7" i="2"/>
  <c r="AE7" i="2"/>
  <c r="IE7" i="2" s="1"/>
  <c r="DG7" i="2"/>
  <c r="AO7" i="2"/>
  <c r="AW7" i="2" s="1"/>
  <c r="CI29" i="2"/>
  <c r="CH29" i="2"/>
  <c r="R29" i="2" s="1"/>
  <c r="S29" i="2" s="1"/>
  <c r="BR24" i="2"/>
  <c r="AC24" i="2"/>
  <c r="AF24" i="2" s="1"/>
  <c r="BU24" i="2"/>
  <c r="BT24" i="2"/>
  <c r="BP24" i="2"/>
  <c r="L24" i="2"/>
  <c r="N24" i="2" s="1"/>
  <c r="AT24" i="2" s="1"/>
  <c r="T28" i="2"/>
  <c r="F29" i="8"/>
  <c r="FV29" i="2" s="1"/>
  <c r="AO29" i="2"/>
  <c r="AW29" i="2" s="1"/>
  <c r="S28" i="2"/>
  <c r="K29" i="2"/>
  <c r="F29" i="10" s="1"/>
  <c r="FC29" i="2" s="1"/>
  <c r="Q29" i="2"/>
  <c r="AF29" i="2"/>
  <c r="BH29" i="2"/>
  <c r="IF29" i="2" s="1"/>
  <c r="BG29" i="2"/>
  <c r="DC29" i="2"/>
  <c r="DD29" i="2" s="1"/>
  <c r="FD29" i="2"/>
  <c r="FE29" i="2" s="1"/>
  <c r="Z27" i="2"/>
  <c r="CF27" i="2"/>
  <c r="CG27" i="2" s="1"/>
  <c r="Q27" i="2" s="1"/>
  <c r="L26" i="2"/>
  <c r="BH26" i="2" s="1"/>
  <c r="Y27" i="2"/>
  <c r="AO26" i="2"/>
  <c r="AW26" i="2" s="1"/>
  <c r="AC26" i="2"/>
  <c r="AD26" i="2" s="1"/>
  <c r="F28" i="10"/>
  <c r="FC28" i="2" s="1"/>
  <c r="DB28" i="2"/>
  <c r="K26" i="2"/>
  <c r="BF26" i="2" s="1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BT23" i="2"/>
  <c r="J23" i="2"/>
  <c r="AE23" i="2"/>
  <c r="IE23" i="2" s="1"/>
  <c r="L23" i="2"/>
  <c r="AC23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BU25" i="2"/>
  <c r="CH25" i="2"/>
  <c r="R25" i="2" s="1"/>
  <c r="CI25" i="2"/>
  <c r="Z25" i="2"/>
  <c r="Y25" i="2"/>
  <c r="AG24" i="2"/>
  <c r="AD24" i="2"/>
  <c r="BF24" i="2"/>
  <c r="E24" i="8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D15" i="2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BR4" i="2"/>
  <c r="Y4" i="2"/>
  <c r="BF7" i="2"/>
  <c r="DB7" i="2"/>
  <c r="E10" i="8"/>
  <c r="GD10" i="2" s="1"/>
  <c r="DR5" i="2"/>
  <c r="DP5" i="2" s="1"/>
  <c r="BQ3" i="2"/>
  <c r="CF4" i="2"/>
  <c r="CI4" i="2" s="1"/>
  <c r="BT4" i="2"/>
  <c r="CE4" i="2"/>
  <c r="E12" i="8"/>
  <c r="BS4" i="2"/>
  <c r="BU3" i="2"/>
  <c r="BT3" i="2"/>
  <c r="BS3" i="2"/>
  <c r="BV3" i="2"/>
  <c r="BR3" i="2"/>
  <c r="Z4" i="2"/>
  <c r="A4" i="2"/>
  <c r="AL4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DR6" i="2"/>
  <c r="DP6" i="2" s="1"/>
  <c r="GD7" i="2"/>
  <c r="IH7" i="2"/>
  <c r="II4" i="2"/>
  <c r="IH4" i="2"/>
  <c r="AD11" i="2"/>
  <c r="F13" i="10"/>
  <c r="IF8" i="2"/>
  <c r="AP8" i="2"/>
  <c r="DR2" i="2"/>
  <c r="IF6" i="2"/>
  <c r="AP6" i="2"/>
  <c r="BV2" i="2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BF12" i="2"/>
  <c r="F12" i="10"/>
  <c r="N12" i="2"/>
  <c r="AT12" i="2" s="1"/>
  <c r="AD3" i="2"/>
  <c r="B26" i="5"/>
  <c r="B17" i="9"/>
  <c r="FE5" i="2"/>
  <c r="BF4" i="2"/>
  <c r="F4" i="10"/>
  <c r="F7" i="10"/>
  <c r="FE6" i="2"/>
  <c r="Z2" i="2"/>
  <c r="Y2" i="2"/>
  <c r="DD9" i="2"/>
  <c r="FY37" i="2" l="1"/>
  <c r="JH37" i="2" s="1"/>
  <c r="JI37" i="2" s="1"/>
  <c r="JJ37" i="2" s="1"/>
  <c r="S37" i="2"/>
  <c r="T37" i="2"/>
  <c r="M24" i="2"/>
  <c r="AS24" i="2" s="1"/>
  <c r="AX24" i="2" s="1"/>
  <c r="DC24" i="2"/>
  <c r="DD24" i="2" s="1"/>
  <c r="F5" i="10"/>
  <c r="N29" i="2"/>
  <c r="AT29" i="2" s="1"/>
  <c r="AY29" i="2" s="1"/>
  <c r="CG32" i="2"/>
  <c r="Q32" i="2" s="1"/>
  <c r="BW37" i="2"/>
  <c r="Q30" i="2"/>
  <c r="BW35" i="2"/>
  <c r="AR24" i="2"/>
  <c r="AD30" i="2"/>
  <c r="AF30" i="2"/>
  <c r="AG30" i="2"/>
  <c r="GD36" i="2"/>
  <c r="FY36" i="2"/>
  <c r="BH24" i="2"/>
  <c r="GD35" i="2"/>
  <c r="FY35" i="2"/>
  <c r="FY33" i="2"/>
  <c r="GD33" i="2"/>
  <c r="F34" i="8"/>
  <c r="BH34" i="2"/>
  <c r="AR34" i="2"/>
  <c r="BG34" i="2"/>
  <c r="BG24" i="2"/>
  <c r="K34" i="2"/>
  <c r="BW34" i="2" s="1"/>
  <c r="AO34" i="2"/>
  <c r="AU36" i="8"/>
  <c r="IM36" i="2" s="1"/>
  <c r="Q34" i="2"/>
  <c r="T34" i="2"/>
  <c r="S34" i="2"/>
  <c r="BH32" i="2"/>
  <c r="F32" i="8"/>
  <c r="AR32" i="2"/>
  <c r="BG32" i="2"/>
  <c r="F24" i="8"/>
  <c r="GT24" i="2" s="1"/>
  <c r="AP31" i="2"/>
  <c r="IF31" i="2"/>
  <c r="AF32" i="2"/>
  <c r="AG32" i="2"/>
  <c r="AD32" i="2"/>
  <c r="BW36" i="2"/>
  <c r="BW31" i="2"/>
  <c r="CH33" i="2"/>
  <c r="R33" i="2" s="1"/>
  <c r="CI33" i="2"/>
  <c r="AR30" i="2"/>
  <c r="BG30" i="2"/>
  <c r="F30" i="8"/>
  <c r="BH30" i="2"/>
  <c r="N31" i="2"/>
  <c r="AT31" i="2" s="1"/>
  <c r="AY31" i="2" s="1"/>
  <c r="E31" i="8"/>
  <c r="BF31" i="2"/>
  <c r="M31" i="2"/>
  <c r="AS31" i="2" s="1"/>
  <c r="AX31" i="2" s="1"/>
  <c r="GE33" i="2"/>
  <c r="FX33" i="2"/>
  <c r="FU33" i="2"/>
  <c r="GT33" i="2"/>
  <c r="GQ33" i="2"/>
  <c r="FT33" i="2"/>
  <c r="FV33" i="2"/>
  <c r="GN33" i="2"/>
  <c r="CI32" i="2"/>
  <c r="CH32" i="2"/>
  <c r="R32" i="2" s="1"/>
  <c r="T32" i="2" s="1"/>
  <c r="IF33" i="2"/>
  <c r="AP33" i="2"/>
  <c r="AW31" i="2"/>
  <c r="AF34" i="2"/>
  <c r="AD34" i="2"/>
  <c r="AG34" i="2"/>
  <c r="CH30" i="2"/>
  <c r="R30" i="2" s="1"/>
  <c r="S30" i="2" s="1"/>
  <c r="CI30" i="2"/>
  <c r="K32" i="2"/>
  <c r="AO32" i="2"/>
  <c r="CG33" i="2"/>
  <c r="BW33" i="2"/>
  <c r="GE31" i="2"/>
  <c r="FT31" i="2"/>
  <c r="GN31" i="2"/>
  <c r="FU31" i="2"/>
  <c r="GT31" i="2"/>
  <c r="FX31" i="2"/>
  <c r="FV31" i="2"/>
  <c r="GQ31" i="2"/>
  <c r="AU37" i="8"/>
  <c r="IM37" i="2" s="1"/>
  <c r="AO30" i="2"/>
  <c r="K30" i="2"/>
  <c r="AR12" i="2"/>
  <c r="FD12" i="2"/>
  <c r="FE12" i="2" s="1"/>
  <c r="FD7" i="2"/>
  <c r="FE7" i="2" s="1"/>
  <c r="BH7" i="2"/>
  <c r="DC7" i="2"/>
  <c r="DD7" i="2" s="1"/>
  <c r="M7" i="2"/>
  <c r="AS7" i="2" s="1"/>
  <c r="AX7" i="2" s="1"/>
  <c r="N7" i="2"/>
  <c r="AT7" i="2" s="1"/>
  <c r="AY7" i="2" s="1"/>
  <c r="BG7" i="2"/>
  <c r="DL7" i="2"/>
  <c r="GT29" i="2"/>
  <c r="GE29" i="2"/>
  <c r="T29" i="2"/>
  <c r="AG7" i="2"/>
  <c r="FU29" i="2"/>
  <c r="AF7" i="2"/>
  <c r="BF29" i="2"/>
  <c r="DB29" i="2"/>
  <c r="DL29" i="2" s="1"/>
  <c r="K15" i="2"/>
  <c r="DB15" i="2" s="1"/>
  <c r="DL15" i="2" s="1"/>
  <c r="AF26" i="2"/>
  <c r="FX29" i="2"/>
  <c r="AU29" i="8" s="1"/>
  <c r="IM29" i="2" s="1"/>
  <c r="FT29" i="2"/>
  <c r="GN29" i="2"/>
  <c r="GQ29" i="2"/>
  <c r="AF15" i="2"/>
  <c r="AF14" i="2"/>
  <c r="AG15" i="2"/>
  <c r="F14" i="8"/>
  <c r="GE14" i="2" s="1"/>
  <c r="AP29" i="2"/>
  <c r="M12" i="2"/>
  <c r="AS12" i="2" s="1"/>
  <c r="AX12" i="2" s="1"/>
  <c r="BH14" i="2"/>
  <c r="IF14" i="2" s="1"/>
  <c r="DC12" i="2"/>
  <c r="DH12" i="2" s="1"/>
  <c r="DM12" i="2" s="1"/>
  <c r="BG12" i="2"/>
  <c r="F12" i="8"/>
  <c r="FV12" i="2" s="1"/>
  <c r="BH12" i="2"/>
  <c r="AP12" i="2" s="1"/>
  <c r="E29" i="8"/>
  <c r="FY29" i="2" s="1"/>
  <c r="M29" i="2"/>
  <c r="AS29" i="2" s="1"/>
  <c r="AX29" i="2" s="1"/>
  <c r="AF12" i="2"/>
  <c r="BW29" i="2"/>
  <c r="BG27" i="2"/>
  <c r="CI27" i="2"/>
  <c r="CH27" i="2"/>
  <c r="R27" i="2" s="1"/>
  <c r="S27" i="2" s="1"/>
  <c r="AG26" i="2"/>
  <c r="DC26" i="2"/>
  <c r="DD26" i="2" s="1"/>
  <c r="DH29" i="2"/>
  <c r="DM29" i="2" s="1"/>
  <c r="DI29" i="2"/>
  <c r="DN29" i="2" s="1"/>
  <c r="AR26" i="2"/>
  <c r="M26" i="2"/>
  <c r="AS26" i="2" s="1"/>
  <c r="AX26" i="2" s="1"/>
  <c r="F26" i="8"/>
  <c r="FU26" i="2" s="1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CG26" i="2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AG23" i="2"/>
  <c r="AF23" i="2"/>
  <c r="AD23" i="2"/>
  <c r="AP26" i="2"/>
  <c r="IF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S25" i="2"/>
  <c r="Q15" i="2"/>
  <c r="DL24" i="2"/>
  <c r="DI24" i="2"/>
  <c r="DN24" i="2" s="1"/>
  <c r="GE25" i="2"/>
  <c r="GT25" i="2"/>
  <c r="FU25" i="2"/>
  <c r="GQ25" i="2"/>
  <c r="FT25" i="2"/>
  <c r="FX25" i="2"/>
  <c r="FV25" i="2"/>
  <c r="GN25" i="2"/>
  <c r="FU16" i="2"/>
  <c r="GT16" i="2"/>
  <c r="FT16" i="2"/>
  <c r="AP24" i="2"/>
  <c r="IF24" i="2"/>
  <c r="GE24" i="2"/>
  <c r="FT24" i="2"/>
  <c r="GD24" i="2"/>
  <c r="GQ16" i="2"/>
  <c r="CG12" i="2"/>
  <c r="AP16" i="2"/>
  <c r="AY12" i="2"/>
  <c r="CH12" i="2"/>
  <c r="R12" i="2" s="1"/>
  <c r="DG9" i="2"/>
  <c r="K9" i="2"/>
  <c r="BF9" i="2" s="1"/>
  <c r="T15" i="2"/>
  <c r="AL6" i="2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FU14" i="2"/>
  <c r="AR4" i="2"/>
  <c r="FT14" i="2"/>
  <c r="GT14" i="2"/>
  <c r="GQ14" i="2"/>
  <c r="AG11" i="2"/>
  <c r="AF11" i="2"/>
  <c r="GN14" i="2"/>
  <c r="FV14" i="2"/>
  <c r="BW19" i="2"/>
  <c r="GQ8" i="2"/>
  <c r="FV8" i="2"/>
  <c r="GQ19" i="2"/>
  <c r="FX19" i="2"/>
  <c r="GE19" i="2"/>
  <c r="GT19" i="2"/>
  <c r="FT19" i="2"/>
  <c r="FV19" i="2"/>
  <c r="GN19" i="2"/>
  <c r="FU19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IF12" i="2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CH10" i="2"/>
  <c r="R10" i="2" s="1"/>
  <c r="S10" i="2" s="1"/>
  <c r="AP5" i="2"/>
  <c r="M15" i="2"/>
  <c r="AS15" i="2" s="1"/>
  <c r="GN9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FC6" i="2" s="1"/>
  <c r="AO6" i="2"/>
  <c r="AW6" i="2" s="1"/>
  <c r="N6" i="2"/>
  <c r="AT6" i="2" s="1"/>
  <c r="CG4" i="2"/>
  <c r="Q4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12" i="2"/>
  <c r="BW5" i="2"/>
  <c r="BW4" i="2"/>
  <c r="BW6" i="2"/>
  <c r="BW10" i="2"/>
  <c r="DB9" i="2"/>
  <c r="DP2" i="2"/>
  <c r="FC10" i="2"/>
  <c r="FC13" i="2"/>
  <c r="AU10" i="8"/>
  <c r="IM10" i="2" s="1"/>
  <c r="FC4" i="2"/>
  <c r="FC5" i="2"/>
  <c r="BW25" i="2" l="1"/>
  <c r="BG37" i="8"/>
  <c r="IY37" i="2" s="1"/>
  <c r="AV37" i="8"/>
  <c r="IL37" i="2" s="1"/>
  <c r="FU24" i="2"/>
  <c r="DH24" i="2"/>
  <c r="DM24" i="2" s="1"/>
  <c r="FY24" i="2"/>
  <c r="JH24" i="2" s="1"/>
  <c r="JI24" i="2" s="1"/>
  <c r="JJ24" i="2" s="1"/>
  <c r="GT12" i="2"/>
  <c r="FX24" i="2"/>
  <c r="AU24" i="8" s="1"/>
  <c r="IM24" i="2" s="1"/>
  <c r="GQ24" i="2"/>
  <c r="GN24" i="2"/>
  <c r="N15" i="2"/>
  <c r="AT15" i="2" s="1"/>
  <c r="AY15" i="2" s="1"/>
  <c r="E15" i="8"/>
  <c r="GD15" i="2" s="1"/>
  <c r="BF15" i="2"/>
  <c r="GD29" i="2"/>
  <c r="JH36" i="2"/>
  <c r="JI36" i="2" s="1"/>
  <c r="JJ36" i="2" s="1"/>
  <c r="BG36" i="8"/>
  <c r="AV36" i="8"/>
  <c r="IL36" i="2" s="1"/>
  <c r="S32" i="2"/>
  <c r="GD31" i="2"/>
  <c r="FY31" i="2"/>
  <c r="BG33" i="8"/>
  <c r="AV33" i="8"/>
  <c r="IL33" i="2" s="1"/>
  <c r="JH33" i="2"/>
  <c r="JI33" i="2" s="1"/>
  <c r="JJ33" i="2" s="1"/>
  <c r="FV24" i="2"/>
  <c r="DI15" i="2"/>
  <c r="DN15" i="2" s="1"/>
  <c r="Q33" i="2"/>
  <c r="T33" i="2"/>
  <c r="S33" i="2"/>
  <c r="AU31" i="8"/>
  <c r="IM31" i="2" s="1"/>
  <c r="AW32" i="2"/>
  <c r="AP30" i="2"/>
  <c r="IF30" i="2"/>
  <c r="FU32" i="2"/>
  <c r="GN32" i="2"/>
  <c r="FT32" i="2"/>
  <c r="GQ32" i="2"/>
  <c r="GT32" i="2"/>
  <c r="FX32" i="2"/>
  <c r="FV32" i="2"/>
  <c r="GE32" i="2"/>
  <c r="JH35" i="2"/>
  <c r="JI35" i="2" s="1"/>
  <c r="JJ35" i="2" s="1"/>
  <c r="BG35" i="8"/>
  <c r="AV35" i="8"/>
  <c r="IL35" i="2" s="1"/>
  <c r="E30" i="8"/>
  <c r="BF30" i="2"/>
  <c r="M30" i="2"/>
  <c r="AS30" i="2" s="1"/>
  <c r="AX30" i="2" s="1"/>
  <c r="N30" i="2"/>
  <c r="AT30" i="2" s="1"/>
  <c r="AY30" i="2" s="1"/>
  <c r="N32" i="2"/>
  <c r="AT32" i="2" s="1"/>
  <c r="AY32" i="2" s="1"/>
  <c r="E32" i="8"/>
  <c r="BF32" i="2"/>
  <c r="M32" i="2"/>
  <c r="AS32" i="2" s="1"/>
  <c r="AX32" i="2" s="1"/>
  <c r="AU33" i="8"/>
  <c r="IM33" i="2" s="1"/>
  <c r="BW30" i="2"/>
  <c r="AP32" i="2"/>
  <c r="IF32" i="2"/>
  <c r="AW34" i="2"/>
  <c r="AP34" i="2"/>
  <c r="IF34" i="2"/>
  <c r="T30" i="2"/>
  <c r="AW30" i="2"/>
  <c r="GE30" i="2"/>
  <c r="FU30" i="2"/>
  <c r="FT30" i="2"/>
  <c r="GT30" i="2"/>
  <c r="GN30" i="2"/>
  <c r="FV30" i="2"/>
  <c r="GQ30" i="2"/>
  <c r="FX30" i="2"/>
  <c r="BW32" i="2"/>
  <c r="N34" i="2"/>
  <c r="AT34" i="2" s="1"/>
  <c r="AY34" i="2" s="1"/>
  <c r="BF34" i="2"/>
  <c r="M34" i="2"/>
  <c r="AS34" i="2" s="1"/>
  <c r="AX34" i="2" s="1"/>
  <c r="E34" i="8"/>
  <c r="GN34" i="2"/>
  <c r="FX34" i="2"/>
  <c r="FT34" i="2"/>
  <c r="GE34" i="2"/>
  <c r="FV34" i="2"/>
  <c r="FU34" i="2"/>
  <c r="GQ34" i="2"/>
  <c r="GT34" i="2"/>
  <c r="DH15" i="2"/>
  <c r="DM15" i="2" s="1"/>
  <c r="DD12" i="2"/>
  <c r="FT27" i="2"/>
  <c r="AP14" i="2"/>
  <c r="FX27" i="2"/>
  <c r="AU27" i="8" s="1"/>
  <c r="IM27" i="2" s="1"/>
  <c r="FY12" i="2"/>
  <c r="BG12" i="8" s="1"/>
  <c r="IY12" i="2" s="1"/>
  <c r="GQ12" i="2"/>
  <c r="FU12" i="2"/>
  <c r="FT12" i="2"/>
  <c r="DI12" i="2"/>
  <c r="DN12" i="2" s="1"/>
  <c r="T26" i="2"/>
  <c r="GE26" i="2"/>
  <c r="GT26" i="2"/>
  <c r="FY13" i="2"/>
  <c r="BG13" i="8" s="1"/>
  <c r="IY13" i="2" s="1"/>
  <c r="FX26" i="2"/>
  <c r="AU26" i="8" s="1"/>
  <c r="IM26" i="2" s="1"/>
  <c r="AX13" i="2"/>
  <c r="GN26" i="2"/>
  <c r="S7" i="2"/>
  <c r="FY7" i="2"/>
  <c r="AV7" i="8" s="1"/>
  <c r="IL7" i="2" s="1"/>
  <c r="FX7" i="2"/>
  <c r="AU7" i="8" s="1"/>
  <c r="IM7" i="2" s="1"/>
  <c r="FU7" i="2"/>
  <c r="FV7" i="2"/>
  <c r="GT7" i="2"/>
  <c r="GE7" i="2"/>
  <c r="GN7" i="2"/>
  <c r="GQ7" i="2"/>
  <c r="GN27" i="2"/>
  <c r="T27" i="2"/>
  <c r="FX12" i="2"/>
  <c r="AU12" i="8" s="1"/>
  <c r="IM12" i="2" s="1"/>
  <c r="GE12" i="2"/>
  <c r="GN12" i="2"/>
  <c r="FY26" i="2"/>
  <c r="FV26" i="2"/>
  <c r="E9" i="8"/>
  <c r="GQ26" i="2"/>
  <c r="FT26" i="2"/>
  <c r="M9" i="2"/>
  <c r="AS9" i="2" s="1"/>
  <c r="AX9" i="2" s="1"/>
  <c r="BW22" i="2"/>
  <c r="AP25" i="2"/>
  <c r="E14" i="8"/>
  <c r="FY14" i="2" s="1"/>
  <c r="JH14" i="2" s="1"/>
  <c r="JI14" i="2" s="1"/>
  <c r="JJ14" i="2" s="1"/>
  <c r="DL13" i="2"/>
  <c r="A6" i="2"/>
  <c r="BW14" i="2"/>
  <c r="N14" i="2"/>
  <c r="AT14" i="2" s="1"/>
  <c r="AY14" i="2" s="1"/>
  <c r="S26" i="2"/>
  <c r="GT27" i="2"/>
  <c r="FV27" i="2"/>
  <c r="AY13" i="2"/>
  <c r="FU27" i="2"/>
  <c r="GE27" i="2"/>
  <c r="DB22" i="2"/>
  <c r="DH22" i="2" s="1"/>
  <c r="DM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DH13" i="2"/>
  <c r="DM13" i="2" s="1"/>
  <c r="S12" i="2"/>
  <c r="AP15" i="2"/>
  <c r="DL27" i="2"/>
  <c r="DH27" i="2"/>
  <c r="DM27" i="2" s="1"/>
  <c r="DI27" i="2"/>
  <c r="DN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AU15" i="8" s="1"/>
  <c r="IM15" i="2" s="1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FY4" i="2"/>
  <c r="BG4" i="8" s="1"/>
  <c r="IY4" i="2" s="1"/>
  <c r="GN4" i="2"/>
  <c r="FX4" i="2"/>
  <c r="AU4" i="8" s="1"/>
  <c r="IM4" i="2" s="1"/>
  <c r="GT4" i="2"/>
  <c r="GE4" i="2"/>
  <c r="GQ4" i="2"/>
  <c r="AU22" i="8"/>
  <c r="IM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BG16" i="8"/>
  <c r="JH16" i="2"/>
  <c r="JI16" i="2" s="1"/>
  <c r="JJ16" i="2" s="1"/>
  <c r="AV16" i="8"/>
  <c r="IL16" i="2" s="1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7" i="2"/>
  <c r="AL7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AV24" i="8" l="1"/>
  <c r="IL24" i="2" s="1"/>
  <c r="BG24" i="8"/>
  <c r="FY15" i="2"/>
  <c r="BG15" i="8" s="1"/>
  <c r="AV12" i="8"/>
  <c r="IL12" i="2" s="1"/>
  <c r="HL31" i="2"/>
  <c r="HQ33" i="2"/>
  <c r="HL32" i="2"/>
  <c r="IN32" i="2"/>
  <c r="AU32" i="8"/>
  <c r="IM32" i="2" s="1"/>
  <c r="HQ35" i="2"/>
  <c r="HP37" i="2"/>
  <c r="HQ37" i="2"/>
  <c r="HQ36" i="2"/>
  <c r="HQ30" i="2"/>
  <c r="GD32" i="2"/>
  <c r="FY32" i="2"/>
  <c r="JH31" i="2"/>
  <c r="JI31" i="2" s="1"/>
  <c r="JJ31" i="2" s="1"/>
  <c r="BG31" i="8"/>
  <c r="AV31" i="8"/>
  <c r="IL31" i="2" s="1"/>
  <c r="IY36" i="2"/>
  <c r="HQ34" i="2"/>
  <c r="IN34" i="2"/>
  <c r="HL34" i="2"/>
  <c r="AU34" i="8"/>
  <c r="IM34" i="2" s="1"/>
  <c r="HP35" i="2"/>
  <c r="HL33" i="2"/>
  <c r="IN30" i="2"/>
  <c r="AU30" i="8"/>
  <c r="IM30" i="2" s="1"/>
  <c r="HL30" i="2"/>
  <c r="HP33" i="2"/>
  <c r="HQ31" i="2"/>
  <c r="HP31" i="2"/>
  <c r="HQ32" i="2"/>
  <c r="GD34" i="2"/>
  <c r="FY34" i="2"/>
  <c r="IN33" i="2"/>
  <c r="IY35" i="2"/>
  <c r="IN31" i="2"/>
  <c r="IN35" i="2"/>
  <c r="HL35" i="2"/>
  <c r="IN36" i="2"/>
  <c r="HL36" i="2"/>
  <c r="IN37" i="2"/>
  <c r="HL37" i="2"/>
  <c r="GD30" i="2"/>
  <c r="HP30" i="2" s="1"/>
  <c r="FY30" i="2"/>
  <c r="IY33" i="2"/>
  <c r="AV14" i="8"/>
  <c r="IL14" i="2" s="1"/>
  <c r="BG14" i="8"/>
  <c r="IY14" i="2" s="1"/>
  <c r="AV13" i="8"/>
  <c r="IL13" i="2" s="1"/>
  <c r="JH12" i="2"/>
  <c r="JI12" i="2" s="1"/>
  <c r="JJ12" i="2" s="1"/>
  <c r="DT20" i="2"/>
  <c r="EB20" i="2" s="1"/>
  <c r="JH13" i="2"/>
  <c r="JI13" i="2" s="1"/>
  <c r="JJ13" i="2" s="1"/>
  <c r="DT29" i="2"/>
  <c r="EJ29" i="2" s="1"/>
  <c r="DT45" i="2"/>
  <c r="EH45" i="2" s="1"/>
  <c r="DT53" i="2"/>
  <c r="EC53" i="2" s="1"/>
  <c r="DT132" i="2"/>
  <c r="DU132" i="2" s="1"/>
  <c r="DT191" i="2"/>
  <c r="EG191" i="2" s="1"/>
  <c r="DT67" i="2"/>
  <c r="EV67" i="2" s="1"/>
  <c r="DT168" i="2"/>
  <c r="EF168" i="2" s="1"/>
  <c r="DT157" i="2"/>
  <c r="DT201" i="2"/>
  <c r="EB201" i="2" s="1"/>
  <c r="DT171" i="2"/>
  <c r="DU171" i="2" s="1"/>
  <c r="DT139" i="2"/>
  <c r="DZ139" i="2" s="1"/>
  <c r="DT47" i="2"/>
  <c r="DV47" i="2" s="1"/>
  <c r="DT103" i="2"/>
  <c r="ED103" i="2" s="1"/>
  <c r="DT109" i="2"/>
  <c r="ER109" i="2" s="1"/>
  <c r="DT154" i="2"/>
  <c r="EH154" i="2" s="1"/>
  <c r="DT74" i="2"/>
  <c r="EL74" i="2" s="1"/>
  <c r="DT91" i="2"/>
  <c r="DX91" i="2" s="1"/>
  <c r="DY91" i="2" s="1"/>
  <c r="DT199" i="2"/>
  <c r="EG199" i="2" s="1"/>
  <c r="DT58" i="2"/>
  <c r="DX58" i="2" s="1"/>
  <c r="DY58" i="2" s="1"/>
  <c r="DT99" i="2"/>
  <c r="DV99" i="2" s="1"/>
  <c r="DT108" i="2"/>
  <c r="DU108" i="2" s="1"/>
  <c r="DT88" i="2"/>
  <c r="ES88" i="2" s="1"/>
  <c r="EU88" i="2" s="1"/>
  <c r="DT181" i="2"/>
  <c r="EP181" i="2" s="1"/>
  <c r="DT143" i="2"/>
  <c r="EO143" i="2" s="1"/>
  <c r="DT84" i="2"/>
  <c r="DZ84" i="2" s="1"/>
  <c r="DT77" i="2"/>
  <c r="ED77" i="2" s="1"/>
  <c r="DT89" i="2"/>
  <c r="DU89" i="2" s="1"/>
  <c r="DT163" i="2"/>
  <c r="EV163" i="2" s="1"/>
  <c r="DT112" i="2"/>
  <c r="EM112" i="2" s="1"/>
  <c r="DT76" i="2"/>
  <c r="DX76" i="2" s="1"/>
  <c r="DY76" i="2" s="1"/>
  <c r="DT38" i="2"/>
  <c r="EF38" i="2" s="1"/>
  <c r="DT180" i="2"/>
  <c r="DT115" i="2"/>
  <c r="EP115" i="2" s="1"/>
  <c r="DT39" i="2"/>
  <c r="EJ39" i="2" s="1"/>
  <c r="DT34" i="2"/>
  <c r="DT149" i="2"/>
  <c r="EA149" i="2" s="1"/>
  <c r="ET149" i="2" s="1"/>
  <c r="DT90" i="2"/>
  <c r="EM90" i="2" s="1"/>
  <c r="DT83" i="2"/>
  <c r="EO83" i="2" s="1"/>
  <c r="DT15" i="2"/>
  <c r="EC15" i="2" s="1"/>
  <c r="DT144" i="2"/>
  <c r="DT81" i="2"/>
  <c r="EV81" i="2" s="1"/>
  <c r="DT31" i="2"/>
  <c r="DZ31" i="2" s="1"/>
  <c r="DT126" i="2"/>
  <c r="DV126" i="2" s="1"/>
  <c r="DT110" i="2"/>
  <c r="EO110" i="2" s="1"/>
  <c r="DT133" i="2"/>
  <c r="EV133" i="2" s="1"/>
  <c r="DT101" i="2"/>
  <c r="DW101" i="2" s="1"/>
  <c r="DT177" i="2"/>
  <c r="DU177" i="2" s="1"/>
  <c r="DT54" i="2"/>
  <c r="EE54" i="2" s="1"/>
  <c r="DT75" i="2"/>
  <c r="EA75" i="2" s="1"/>
  <c r="ET75" i="2" s="1"/>
  <c r="DT158" i="2"/>
  <c r="EP158" i="2" s="1"/>
  <c r="DT80" i="2"/>
  <c r="DT23" i="2"/>
  <c r="EE23" i="2" s="1"/>
  <c r="DT93" i="2"/>
  <c r="EC93" i="2" s="1"/>
  <c r="DT50" i="2"/>
  <c r="EC50" i="2" s="1"/>
  <c r="DT200" i="2"/>
  <c r="DX200" i="2" s="1"/>
  <c r="DY200" i="2" s="1"/>
  <c r="DT188" i="2"/>
  <c r="EN188" i="2" s="1"/>
  <c r="DT16" i="2"/>
  <c r="DW16" i="2" s="1"/>
  <c r="DT36" i="2"/>
  <c r="EO36" i="2" s="1"/>
  <c r="DT120" i="2"/>
  <c r="EC120" i="2" s="1"/>
  <c r="DT195" i="2"/>
  <c r="DZ195" i="2" s="1"/>
  <c r="DT151" i="2"/>
  <c r="DU151" i="2" s="1"/>
  <c r="DT63" i="2"/>
  <c r="EN63" i="2" s="1"/>
  <c r="DT153" i="2"/>
  <c r="DU153" i="2" s="1"/>
  <c r="DT146" i="2"/>
  <c r="ED146" i="2" s="1"/>
  <c r="DT19" i="2"/>
  <c r="DT13" i="2"/>
  <c r="DV13" i="2" s="1"/>
  <c r="DT32" i="2"/>
  <c r="DV32" i="2" s="1"/>
  <c r="DT156" i="2"/>
  <c r="DV156" i="2" s="1"/>
  <c r="DT140" i="2"/>
  <c r="DX140" i="2" s="1"/>
  <c r="DY140" i="2" s="1"/>
  <c r="DT118" i="2"/>
  <c r="ED118" i="2" s="1"/>
  <c r="DT102" i="2"/>
  <c r="EI102" i="2" s="1"/>
  <c r="DT176" i="2"/>
  <c r="EM176" i="2" s="1"/>
  <c r="DT21" i="2"/>
  <c r="DW21" i="2" s="1"/>
  <c r="DT107" i="2"/>
  <c r="DV107" i="2" s="1"/>
  <c r="DT162" i="2"/>
  <c r="DX162" i="2" s="1"/>
  <c r="DY162" i="2" s="1"/>
  <c r="DT173" i="2"/>
  <c r="EH173" i="2" s="1"/>
  <c r="DT137" i="2"/>
  <c r="EL137" i="2" s="1"/>
  <c r="DT192" i="2"/>
  <c r="DV192" i="2" s="1"/>
  <c r="DT104" i="2"/>
  <c r="EN104" i="2" s="1"/>
  <c r="DT14" i="2"/>
  <c r="ER14" i="2" s="1"/>
  <c r="DT52" i="2"/>
  <c r="DW52" i="2" s="1"/>
  <c r="DT27" i="2"/>
  <c r="ER27" i="2" s="1"/>
  <c r="DT46" i="2"/>
  <c r="EM46" i="2" s="1"/>
  <c r="DT185" i="2"/>
  <c r="DX185" i="2" s="1"/>
  <c r="DY185" i="2" s="1"/>
  <c r="DT57" i="2"/>
  <c r="EM57" i="2" s="1"/>
  <c r="DT113" i="2"/>
  <c r="EB113" i="2" s="1"/>
  <c r="DT187" i="2"/>
  <c r="EC187" i="2" s="1"/>
  <c r="DT33" i="2"/>
  <c r="EA33" i="2" s="1"/>
  <c r="ET33" i="2" s="1"/>
  <c r="DT114" i="2"/>
  <c r="EH114" i="2" s="1"/>
  <c r="DT170" i="2"/>
  <c r="EE170" i="2" s="1"/>
  <c r="DT56" i="2"/>
  <c r="DT169" i="2"/>
  <c r="EN169" i="2" s="1"/>
  <c r="DT51" i="2"/>
  <c r="EN51" i="2" s="1"/>
  <c r="DT138" i="2"/>
  <c r="EK138" i="2" s="1"/>
  <c r="DT61" i="2"/>
  <c r="EK61" i="2" s="1"/>
  <c r="DT4" i="2"/>
  <c r="DV4" i="2" s="1"/>
  <c r="DT48" i="2"/>
  <c r="EB48" i="2" s="1"/>
  <c r="DT135" i="2"/>
  <c r="EO135" i="2" s="1"/>
  <c r="DT85" i="2"/>
  <c r="EM85" i="2" s="1"/>
  <c r="DT59" i="2"/>
  <c r="ER59" i="2" s="1"/>
  <c r="DT116" i="2"/>
  <c r="EC116" i="2" s="1"/>
  <c r="DT98" i="2"/>
  <c r="DV98" i="2" s="1"/>
  <c r="DT194" i="2"/>
  <c r="EK194" i="2" s="1"/>
  <c r="DT66" i="2"/>
  <c r="DZ66" i="2" s="1"/>
  <c r="DT41" i="2"/>
  <c r="EB41" i="2" s="1"/>
  <c r="DT196" i="2"/>
  <c r="ES196" i="2" s="1"/>
  <c r="EU196" i="2" s="1"/>
  <c r="DT172" i="2"/>
  <c r="DX172" i="2" s="1"/>
  <c r="DY172" i="2" s="1"/>
  <c r="DT198" i="2"/>
  <c r="EE198" i="2" s="1"/>
  <c r="DT26" i="2"/>
  <c r="EP26" i="2" s="1"/>
  <c r="DT159" i="2"/>
  <c r="EL159" i="2" s="1"/>
  <c r="DT94" i="2"/>
  <c r="DT165" i="2"/>
  <c r="EC165" i="2" s="1"/>
  <c r="DT142" i="2"/>
  <c r="EM142" i="2" s="1"/>
  <c r="DT183" i="2"/>
  <c r="DT30" i="2"/>
  <c r="DT40" i="2"/>
  <c r="ED40" i="2" s="1"/>
  <c r="DT35" i="2"/>
  <c r="DX35" i="2" s="1"/>
  <c r="DY35" i="2" s="1"/>
  <c r="DT182" i="2"/>
  <c r="EO182" i="2" s="1"/>
  <c r="DT136" i="2"/>
  <c r="EO136" i="2" s="1"/>
  <c r="DT193" i="2"/>
  <c r="EQ193" i="2" s="1"/>
  <c r="DT78" i="2"/>
  <c r="ED78" i="2" s="1"/>
  <c r="DT69" i="2"/>
  <c r="DT95" i="2"/>
  <c r="EO95" i="2" s="1"/>
  <c r="DT42" i="2"/>
  <c r="EA42" i="2" s="1"/>
  <c r="ET42" i="2" s="1"/>
  <c r="DT129" i="2"/>
  <c r="DU129" i="2" s="1"/>
  <c r="DT55" i="2"/>
  <c r="ED55" i="2" s="1"/>
  <c r="DT86" i="2"/>
  <c r="DZ86" i="2" s="1"/>
  <c r="DT122" i="2"/>
  <c r="DT147" i="2"/>
  <c r="DT70" i="2"/>
  <c r="DT97" i="2"/>
  <c r="DT43" i="2"/>
  <c r="EV43" i="2" s="1"/>
  <c r="DT72" i="2"/>
  <c r="EH72" i="2" s="1"/>
  <c r="DT152" i="2"/>
  <c r="EI152" i="2" s="1"/>
  <c r="DT130" i="2"/>
  <c r="DV130" i="2" s="1"/>
  <c r="DT145" i="2"/>
  <c r="EL145" i="2" s="1"/>
  <c r="DT105" i="2"/>
  <c r="EJ105" i="2" s="1"/>
  <c r="DT87" i="2"/>
  <c r="EI87" i="2" s="1"/>
  <c r="DT65" i="2"/>
  <c r="DT17" i="2"/>
  <c r="EV17" i="2" s="1"/>
  <c r="DT128" i="2"/>
  <c r="EN128" i="2" s="1"/>
  <c r="DT134" i="2"/>
  <c r="EK134" i="2" s="1"/>
  <c r="DT37" i="2"/>
  <c r="DU37" i="2" s="1"/>
  <c r="DT155" i="2"/>
  <c r="DW155" i="2" s="1"/>
  <c r="DT197" i="2"/>
  <c r="EP197" i="2" s="1"/>
  <c r="DT124" i="2"/>
  <c r="EC124" i="2" s="1"/>
  <c r="DT22" i="2"/>
  <c r="DT62" i="2"/>
  <c r="EB62" i="2" s="1"/>
  <c r="DT174" i="2"/>
  <c r="EA174" i="2" s="1"/>
  <c r="ET174" i="2" s="1"/>
  <c r="DT127" i="2"/>
  <c r="EP127" i="2" s="1"/>
  <c r="DT184" i="2"/>
  <c r="EI184" i="2" s="1"/>
  <c r="DT49" i="2"/>
  <c r="DT73" i="2"/>
  <c r="ES73" i="2" s="1"/>
  <c r="EU73" i="2" s="1"/>
  <c r="DT25" i="2"/>
  <c r="DZ25" i="2" s="1"/>
  <c r="DT106" i="2"/>
  <c r="EE106" i="2" s="1"/>
  <c r="DT141" i="2"/>
  <c r="DX141" i="2" s="1"/>
  <c r="DY141" i="2" s="1"/>
  <c r="DT150" i="2"/>
  <c r="DT175" i="2"/>
  <c r="EG175" i="2" s="1"/>
  <c r="DT131" i="2"/>
  <c r="EQ131" i="2" s="1"/>
  <c r="DT160" i="2"/>
  <c r="EQ160" i="2" s="1"/>
  <c r="DT92" i="2"/>
  <c r="ES92" i="2" s="1"/>
  <c r="EU92" i="2" s="1"/>
  <c r="DT148" i="2"/>
  <c r="EQ148" i="2" s="1"/>
  <c r="DT96" i="2"/>
  <c r="EL96" i="2" s="1"/>
  <c r="DT178" i="2"/>
  <c r="EC178" i="2" s="1"/>
  <c r="DT119" i="2"/>
  <c r="EV119" i="2" s="1"/>
  <c r="DT24" i="2"/>
  <c r="ED24" i="2" s="1"/>
  <c r="DT12" i="2"/>
  <c r="DV12" i="2" s="1"/>
  <c r="DT164" i="2"/>
  <c r="DT9" i="2"/>
  <c r="DT186" i="2"/>
  <c r="DT161" i="2"/>
  <c r="DZ161" i="2" s="1"/>
  <c r="DT60" i="2"/>
  <c r="DU60" i="2" s="1"/>
  <c r="DT79" i="2"/>
  <c r="EC79" i="2" s="1"/>
  <c r="DT189" i="2"/>
  <c r="EG189" i="2" s="1"/>
  <c r="DT44" i="2"/>
  <c r="EK44" i="2" s="1"/>
  <c r="DT125" i="2"/>
  <c r="EK125" i="2" s="1"/>
  <c r="DT71" i="2"/>
  <c r="EE71" i="2" s="1"/>
  <c r="DT28" i="2"/>
  <c r="EG28" i="2" s="1"/>
  <c r="DT121" i="2"/>
  <c r="DW121" i="2" s="1"/>
  <c r="DT111" i="2"/>
  <c r="EB111" i="2" s="1"/>
  <c r="DT64" i="2"/>
  <c r="EF64" i="2" s="1"/>
  <c r="DT179" i="2"/>
  <c r="EO179" i="2" s="1"/>
  <c r="DT82" i="2"/>
  <c r="DT100" i="2"/>
  <c r="EC100" i="2" s="1"/>
  <c r="DT18" i="2"/>
  <c r="EF18" i="2" s="1"/>
  <c r="DT166" i="2"/>
  <c r="ED166" i="2" s="1"/>
  <c r="DT68" i="2"/>
  <c r="ES68" i="2" s="1"/>
  <c r="EU68" i="2" s="1"/>
  <c r="DT123" i="2"/>
  <c r="DX123" i="2" s="1"/>
  <c r="DY123" i="2" s="1"/>
  <c r="DT190" i="2"/>
  <c r="EG190" i="2" s="1"/>
  <c r="DT117" i="2"/>
  <c r="EN117" i="2" s="1"/>
  <c r="DT167" i="2"/>
  <c r="EK167" i="2" s="1"/>
  <c r="JH7" i="2"/>
  <c r="JI7" i="2" s="1"/>
  <c r="JJ7" i="2" s="1"/>
  <c r="BG7" i="8"/>
  <c r="IY7" i="2" s="1"/>
  <c r="GD14" i="2"/>
  <c r="DL22" i="2"/>
  <c r="DI22" i="2"/>
  <c r="DN22" i="2" s="1"/>
  <c r="G28" i="10"/>
  <c r="G29" i="10"/>
  <c r="IY29" i="2"/>
  <c r="HL29" i="2"/>
  <c r="IN29" i="2"/>
  <c r="HQ27" i="2"/>
  <c r="HP27" i="2" s="1"/>
  <c r="HQ29" i="2"/>
  <c r="HP29" i="2"/>
  <c r="HL28" i="2"/>
  <c r="IY28" i="2"/>
  <c r="IN28" i="2"/>
  <c r="DI14" i="2"/>
  <c r="DN14" i="2" s="1"/>
  <c r="HQ28" i="2"/>
  <c r="HP28" i="2" s="1"/>
  <c r="DH14" i="2"/>
  <c r="DM14" i="2" s="1"/>
  <c r="IN27" i="2"/>
  <c r="G26" i="10"/>
  <c r="G27" i="10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DL23" i="2"/>
  <c r="DI23" i="2"/>
  <c r="DN23" i="2" s="1"/>
  <c r="DH23" i="2"/>
  <c r="DM23" i="2" s="1"/>
  <c r="GD23" i="2"/>
  <c r="FY23" i="2"/>
  <c r="IY26" i="2"/>
  <c r="HQ26" i="2"/>
  <c r="IN24" i="2"/>
  <c r="IN26" i="2"/>
  <c r="HL26" i="2"/>
  <c r="HP26" i="2"/>
  <c r="GD25" i="2"/>
  <c r="HQ25" i="2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P22" i="2" s="1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M2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L2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M48" i="9"/>
  <c r="N184" i="9"/>
  <c r="N129" i="9"/>
  <c r="O190" i="9"/>
  <c r="G92" i="9"/>
  <c r="N135" i="9"/>
  <c r="L64" i="9"/>
  <c r="I73" i="9"/>
  <c r="I157" i="9"/>
  <c r="O79" i="9"/>
  <c r="P2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R2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Q2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G95" i="9"/>
  <c r="R172" i="9"/>
  <c r="Q56" i="9"/>
  <c r="R135" i="9"/>
  <c r="J87" i="9"/>
  <c r="R100" i="9"/>
  <c r="J169" i="9"/>
  <c r="J144" i="9"/>
  <c r="L58" i="9"/>
  <c r="R173" i="9"/>
  <c r="I134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N2" i="9"/>
  <c r="J71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HL15" i="2"/>
  <c r="HQ14" i="2"/>
  <c r="HP14" i="2" s="1"/>
  <c r="HL14" i="2"/>
  <c r="IN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N133" i="9"/>
  <c r="H171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O2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N148" i="9"/>
  <c r="L89" i="9"/>
  <c r="I162" i="9"/>
  <c r="G154" i="9"/>
  <c r="Q77" i="9"/>
  <c r="J113" i="9"/>
  <c r="O179" i="9"/>
  <c r="H110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U198" i="2"/>
  <c r="DZ35" i="2"/>
  <c r="EC129" i="2"/>
  <c r="DU20" i="2"/>
  <c r="M59" i="9" s="1"/>
  <c r="DW20" i="2"/>
  <c r="DX20" i="2" s="1"/>
  <c r="O59" i="9" s="1"/>
  <c r="EK51" i="2"/>
  <c r="EH51" i="2"/>
  <c r="H173" i="9"/>
  <c r="EQ22" i="2"/>
  <c r="DW174" i="2"/>
  <c r="EL150" i="2"/>
  <c r="EM189" i="2"/>
  <c r="EJ119" i="2"/>
  <c r="EP119" i="2"/>
  <c r="ES154" i="2"/>
  <c r="EU154" i="2" s="1"/>
  <c r="DX154" i="2"/>
  <c r="DY154" i="2" s="1"/>
  <c r="EB199" i="2"/>
  <c r="EL108" i="2"/>
  <c r="EP108" i="2"/>
  <c r="DZ108" i="2"/>
  <c r="DW108" i="2"/>
  <c r="EF58" i="2"/>
  <c r="ER58" i="2"/>
  <c r="DX201" i="2"/>
  <c r="DY201" i="2" s="1"/>
  <c r="EI45" i="2"/>
  <c r="DU45" i="2"/>
  <c r="EP171" i="2"/>
  <c r="EJ103" i="2"/>
  <c r="DV103" i="2"/>
  <c r="EV103" i="2"/>
  <c r="EC103" i="2"/>
  <c r="EF103" i="2"/>
  <c r="DZ91" i="2"/>
  <c r="EJ181" i="2"/>
  <c r="EF181" i="2"/>
  <c r="EC77" i="2"/>
  <c r="DX77" i="2"/>
  <c r="DY77" i="2" s="1"/>
  <c r="EP77" i="2"/>
  <c r="EH112" i="2"/>
  <c r="EL112" i="2"/>
  <c r="EG112" i="2"/>
  <c r="DZ38" i="2"/>
  <c r="EJ115" i="2"/>
  <c r="EN39" i="2"/>
  <c r="ER90" i="2"/>
  <c r="EG90" i="2"/>
  <c r="DZ90" i="2"/>
  <c r="EV31" i="2"/>
  <c r="DX31" i="2"/>
  <c r="DY31" i="2" s="1"/>
  <c r="EC31" i="2"/>
  <c r="ES139" i="2"/>
  <c r="EU139" i="2" s="1"/>
  <c r="EK191" i="2"/>
  <c r="EF191" i="2"/>
  <c r="EJ191" i="2"/>
  <c r="DW191" i="2"/>
  <c r="EO191" i="2"/>
  <c r="EV191" i="2"/>
  <c r="EM109" i="2"/>
  <c r="EO72" i="2"/>
  <c r="EB72" i="2"/>
  <c r="DV72" i="2"/>
  <c r="DZ116" i="2"/>
  <c r="EQ130" i="2"/>
  <c r="EI130" i="2"/>
  <c r="DU194" i="2"/>
  <c r="EV194" i="2"/>
  <c r="EO133" i="2"/>
  <c r="DX133" i="2"/>
  <c r="DY133" i="2" s="1"/>
  <c r="EE133" i="2"/>
  <c r="ES133" i="2"/>
  <c r="EU133" i="2" s="1"/>
  <c r="DV133" i="2"/>
  <c r="EK133" i="2"/>
  <c r="EN177" i="2"/>
  <c r="EP75" i="2"/>
  <c r="ER75" i="2"/>
  <c r="EB158" i="2"/>
  <c r="DZ158" i="2"/>
  <c r="EA93" i="2"/>
  <c r="ET93" i="2" s="1"/>
  <c r="EM93" i="2"/>
  <c r="DZ93" i="2"/>
  <c r="EL93" i="2"/>
  <c r="EE93" i="2"/>
  <c r="EB93" i="2"/>
  <c r="ES93" i="2"/>
  <c r="EU93" i="2" s="1"/>
  <c r="DW93" i="2"/>
  <c r="EG16" i="2"/>
  <c r="EI16" i="2"/>
  <c r="EN16" i="2"/>
  <c r="DX151" i="2"/>
  <c r="DY151" i="2" s="1"/>
  <c r="EF151" i="2"/>
  <c r="EK151" i="2"/>
  <c r="EC151" i="2"/>
  <c r="DV151" i="2"/>
  <c r="DZ151" i="2"/>
  <c r="EV128" i="2"/>
  <c r="EL128" i="2"/>
  <c r="EI128" i="2"/>
  <c r="EF128" i="2"/>
  <c r="EK137" i="2"/>
  <c r="EA137" i="2"/>
  <c r="ET137" i="2" s="1"/>
  <c r="EQ137" i="2"/>
  <c r="EL52" i="2"/>
  <c r="EF57" i="2"/>
  <c r="EC57" i="2"/>
  <c r="DZ57" i="2"/>
  <c r="EL57" i="2"/>
  <c r="EH187" i="2"/>
  <c r="EQ187" i="2"/>
  <c r="EJ114" i="2"/>
  <c r="EC140" i="2"/>
  <c r="EM140" i="2"/>
  <c r="EF140" i="2"/>
  <c r="EN140" i="2"/>
  <c r="ES140" i="2"/>
  <c r="EU140" i="2" s="1"/>
  <c r="EK140" i="2"/>
  <c r="DZ140" i="2"/>
  <c r="EP140" i="2"/>
  <c r="EE102" i="2"/>
  <c r="DT10" i="2"/>
  <c r="DT11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Q75" i="9"/>
  <c r="I169" i="9"/>
  <c r="P116" i="9"/>
  <c r="M105" i="9"/>
  <c r="Q183" i="9"/>
  <c r="H77" i="9"/>
  <c r="P143" i="9"/>
  <c r="M132" i="9"/>
  <c r="N124" i="9"/>
  <c r="G111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I86" i="9"/>
  <c r="I72" i="9"/>
  <c r="R160" i="9"/>
  <c r="O168" i="9"/>
  <c r="L100" i="9"/>
  <c r="R77" i="9"/>
  <c r="J165" i="9"/>
  <c r="G177" i="9"/>
  <c r="H98" i="9"/>
  <c r="Q86" i="9"/>
  <c r="H179" i="9"/>
  <c r="H69" i="9"/>
  <c r="P135" i="9"/>
  <c r="M124" i="9"/>
  <c r="N116" i="9"/>
  <c r="G99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M61" i="9"/>
  <c r="J158" i="9"/>
  <c r="O164" i="9"/>
  <c r="P97" i="9"/>
  <c r="Q87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G195" i="9"/>
  <c r="L121" i="9"/>
  <c r="Q108" i="9"/>
  <c r="J98" i="9"/>
  <c r="N73" i="9"/>
  <c r="I165" i="9"/>
  <c r="H123" i="9"/>
  <c r="I113" i="9"/>
  <c r="N10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L5" i="9" s="1"/>
  <c r="DT7" i="2"/>
  <c r="M176" i="9"/>
  <c r="L168" i="9"/>
  <c r="I199" i="9"/>
  <c r="DT3" i="2"/>
  <c r="DV3" i="2" s="1"/>
  <c r="DT5" i="2"/>
  <c r="I29" i="8"/>
  <c r="W34" i="8" s="1"/>
  <c r="DW4" i="2"/>
  <c r="DX4" i="2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L8" i="9" s="1"/>
  <c r="DT2" i="2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R137" i="2" l="1"/>
  <c r="EJ137" i="2"/>
  <c r="EC172" i="2"/>
  <c r="EE116" i="2"/>
  <c r="EO57" i="2"/>
  <c r="EB137" i="2"/>
  <c r="EV137" i="2"/>
  <c r="EL172" i="2"/>
  <c r="DX105" i="2"/>
  <c r="DY105" i="2" s="1"/>
  <c r="DV116" i="2"/>
  <c r="EE72" i="2"/>
  <c r="ES169" i="2"/>
  <c r="EU169" i="2" s="1"/>
  <c r="ER129" i="2"/>
  <c r="L10" i="9"/>
  <c r="L74" i="9"/>
  <c r="HP25" i="2"/>
  <c r="ED140" i="2"/>
  <c r="EH140" i="2"/>
  <c r="EQ57" i="2"/>
  <c r="DX57" i="2"/>
  <c r="DY57" i="2" s="1"/>
  <c r="DX137" i="2"/>
  <c r="DY137" i="2" s="1"/>
  <c r="EN137" i="2"/>
  <c r="EH128" i="2"/>
  <c r="ER146" i="2"/>
  <c r="EH151" i="2"/>
  <c r="EM36" i="2"/>
  <c r="EO188" i="2"/>
  <c r="EJ93" i="2"/>
  <c r="EH93" i="2"/>
  <c r="EI158" i="2"/>
  <c r="EH133" i="2"/>
  <c r="EK110" i="2"/>
  <c r="ER116" i="2"/>
  <c r="DZ72" i="2"/>
  <c r="EE191" i="2"/>
  <c r="EI191" i="2"/>
  <c r="EH81" i="2"/>
  <c r="EO149" i="2"/>
  <c r="ED112" i="2"/>
  <c r="ES112" i="2"/>
  <c r="EU112" i="2" s="1"/>
  <c r="EM84" i="2"/>
  <c r="EL91" i="2"/>
  <c r="EK103" i="2"/>
  <c r="EM171" i="2"/>
  <c r="EN108" i="2"/>
  <c r="DV199" i="2"/>
  <c r="EQ119" i="2"/>
  <c r="EV141" i="2"/>
  <c r="EP35" i="2"/>
  <c r="DX32" i="2"/>
  <c r="DY32" i="2" s="1"/>
  <c r="DV152" i="2"/>
  <c r="EO89" i="2"/>
  <c r="DZ156" i="2"/>
  <c r="DZ63" i="2"/>
  <c r="DX195" i="2"/>
  <c r="DY195" i="2" s="1"/>
  <c r="EV192" i="2"/>
  <c r="EO76" i="2"/>
  <c r="EF178" i="2"/>
  <c r="DU192" i="2"/>
  <c r="DX96" i="2"/>
  <c r="DY96" i="2" s="1"/>
  <c r="ES145" i="2"/>
  <c r="EU145" i="2" s="1"/>
  <c r="EA89" i="2"/>
  <c r="ET89" i="2" s="1"/>
  <c r="EN53" i="2"/>
  <c r="EQ67" i="2"/>
  <c r="EK189" i="2"/>
  <c r="EI113" i="2"/>
  <c r="ER195" i="2"/>
  <c r="DW23" i="2"/>
  <c r="DV66" i="2"/>
  <c r="DV109" i="2"/>
  <c r="EI118" i="2"/>
  <c r="DW192" i="2"/>
  <c r="ER63" i="2"/>
  <c r="DW83" i="2"/>
  <c r="EP76" i="2"/>
  <c r="EM67" i="2"/>
  <c r="EN189" i="2"/>
  <c r="EQ134" i="2"/>
  <c r="EP98" i="2"/>
  <c r="EN85" i="2"/>
  <c r="EI139" i="2"/>
  <c r="EL55" i="2"/>
  <c r="ED159" i="2"/>
  <c r="EG156" i="2"/>
  <c r="DW163" i="2"/>
  <c r="EJ198" i="2"/>
  <c r="EE87" i="2"/>
  <c r="EO27" i="2"/>
  <c r="DX170" i="2"/>
  <c r="DY170" i="2" s="1"/>
  <c r="EQ87" i="2"/>
  <c r="ER167" i="2"/>
  <c r="EO170" i="2"/>
  <c r="EL27" i="2"/>
  <c r="EG107" i="2"/>
  <c r="EO196" i="2"/>
  <c r="EN148" i="2"/>
  <c r="EM170" i="2"/>
  <c r="ES27" i="2"/>
  <c r="EU27" i="2" s="1"/>
  <c r="EA196" i="2"/>
  <c r="ET196" i="2" s="1"/>
  <c r="EQ27" i="2"/>
  <c r="EQ170" i="2"/>
  <c r="EH27" i="2"/>
  <c r="EV195" i="2"/>
  <c r="EJ173" i="2"/>
  <c r="EF123" i="2"/>
  <c r="EP141" i="2"/>
  <c r="EJ140" i="2"/>
  <c r="ER140" i="2"/>
  <c r="EK57" i="2"/>
  <c r="EC52" i="2"/>
  <c r="EP137" i="2"/>
  <c r="EP107" i="2"/>
  <c r="EK128" i="2"/>
  <c r="ER151" i="2"/>
  <c r="EI36" i="2"/>
  <c r="EG93" i="2"/>
  <c r="EK93" i="2"/>
  <c r="ED133" i="2"/>
  <c r="EA110" i="2"/>
  <c r="ET110" i="2" s="1"/>
  <c r="EO116" i="2"/>
  <c r="DW72" i="2"/>
  <c r="EA191" i="2"/>
  <c r="ET191" i="2" s="1"/>
  <c r="EF29" i="2"/>
  <c r="EN90" i="2"/>
  <c r="DZ112" i="2"/>
  <c r="EQ89" i="2"/>
  <c r="EI103" i="2"/>
  <c r="EM45" i="2"/>
  <c r="EP24" i="2"/>
  <c r="EV179" i="2"/>
  <c r="EK106" i="2"/>
  <c r="ER51" i="2"/>
  <c r="ER35" i="2"/>
  <c r="EG134" i="2"/>
  <c r="EH83" i="2"/>
  <c r="EO55" i="2"/>
  <c r="EQ182" i="2"/>
  <c r="EM118" i="2"/>
  <c r="ER113" i="2"/>
  <c r="EG50" i="2"/>
  <c r="EI98" i="2"/>
  <c r="ED83" i="2"/>
  <c r="EE24" i="2"/>
  <c r="EV55" i="2"/>
  <c r="EV127" i="2"/>
  <c r="EJ118" i="2"/>
  <c r="EL113" i="2"/>
  <c r="DU152" i="2"/>
  <c r="EQ83" i="2"/>
  <c r="EH179" i="2"/>
  <c r="EC175" i="2"/>
  <c r="EH113" i="2"/>
  <c r="EP192" i="2"/>
  <c r="EI54" i="2"/>
  <c r="EK59" i="2"/>
  <c r="DU43" i="2"/>
  <c r="EC76" i="2"/>
  <c r="EE111" i="2"/>
  <c r="EP175" i="2"/>
  <c r="EL62" i="2"/>
  <c r="DV40" i="2"/>
  <c r="ES118" i="2"/>
  <c r="EU118" i="2" s="1"/>
  <c r="EM134" i="2"/>
  <c r="EM120" i="2"/>
  <c r="EM50" i="2"/>
  <c r="ED101" i="2"/>
  <c r="DZ98" i="2"/>
  <c r="EM152" i="2"/>
  <c r="DX109" i="2"/>
  <c r="DY109" i="2" s="1"/>
  <c r="DW67" i="2"/>
  <c r="EE55" i="2"/>
  <c r="EK127" i="2"/>
  <c r="DZ159" i="2"/>
  <c r="DV118" i="2"/>
  <c r="EQ140" i="2"/>
  <c r="EP185" i="2"/>
  <c r="EG14" i="2"/>
  <c r="EO173" i="2"/>
  <c r="DU134" i="2"/>
  <c r="DX63" i="2"/>
  <c r="DY63" i="2" s="1"/>
  <c r="ER120" i="2"/>
  <c r="EH50" i="2"/>
  <c r="EM133" i="2"/>
  <c r="EP152" i="2"/>
  <c r="DZ191" i="2"/>
  <c r="DU76" i="2"/>
  <c r="DW88" i="2"/>
  <c r="EK67" i="2"/>
  <c r="DZ178" i="2"/>
  <c r="EC189" i="2"/>
  <c r="EQ175" i="2"/>
  <c r="EH127" i="2"/>
  <c r="EQ138" i="2"/>
  <c r="EJ159" i="2"/>
  <c r="EE75" i="2"/>
  <c r="EG29" i="2"/>
  <c r="EH115" i="2"/>
  <c r="EP41" i="2"/>
  <c r="DZ115" i="2"/>
  <c r="EF118" i="2"/>
  <c r="EB114" i="2"/>
  <c r="EE113" i="2"/>
  <c r="DZ52" i="2"/>
  <c r="EF63" i="2"/>
  <c r="ER50" i="2"/>
  <c r="EC101" i="2"/>
  <c r="ER41" i="2"/>
  <c r="DU145" i="2"/>
  <c r="EV59" i="2"/>
  <c r="EJ99" i="2"/>
  <c r="EP67" i="2"/>
  <c r="EL179" i="2"/>
  <c r="EK175" i="2"/>
  <c r="EA78" i="2"/>
  <c r="ET78" i="2" s="1"/>
  <c r="EQ159" i="2"/>
  <c r="DZ176" i="2"/>
  <c r="DW118" i="2"/>
  <c r="ED113" i="2"/>
  <c r="EK46" i="2"/>
  <c r="EG52" i="2"/>
  <c r="EL192" i="2"/>
  <c r="ES173" i="2"/>
  <c r="EU173" i="2" s="1"/>
  <c r="DZ134" i="2"/>
  <c r="EG63" i="2"/>
  <c r="EB195" i="2"/>
  <c r="EJ16" i="2"/>
  <c r="DW50" i="2"/>
  <c r="ER54" i="2"/>
  <c r="EL101" i="2"/>
  <c r="EN98" i="2"/>
  <c r="EF152" i="2"/>
  <c r="EQ109" i="2"/>
  <c r="DX29" i="2"/>
  <c r="DY29" i="2" s="1"/>
  <c r="EF81" i="2"/>
  <c r="EN83" i="2"/>
  <c r="DX149" i="2"/>
  <c r="DY149" i="2" s="1"/>
  <c r="DV76" i="2"/>
  <c r="EH163" i="2"/>
  <c r="EA84" i="2"/>
  <c r="ET84" i="2" s="1"/>
  <c r="EB99" i="2"/>
  <c r="EA88" i="2"/>
  <c r="ET88" i="2" s="1"/>
  <c r="EO67" i="2"/>
  <c r="EB132" i="2"/>
  <c r="EJ179" i="2"/>
  <c r="ES189" i="2"/>
  <c r="EU189" i="2" s="1"/>
  <c r="EP55" i="2"/>
  <c r="ES55" i="2"/>
  <c r="EU55" i="2" s="1"/>
  <c r="ER175" i="2"/>
  <c r="EM127" i="2"/>
  <c r="EA182" i="2"/>
  <c r="ET182" i="2" s="1"/>
  <c r="EG142" i="2"/>
  <c r="EG159" i="2"/>
  <c r="EA118" i="2"/>
  <c r="ET118" i="2" s="1"/>
  <c r="EG118" i="2"/>
  <c r="EH156" i="2"/>
  <c r="ER114" i="2"/>
  <c r="EO113" i="2"/>
  <c r="EJ185" i="2"/>
  <c r="DZ192" i="2"/>
  <c r="ES192" i="2"/>
  <c r="EU192" i="2" s="1"/>
  <c r="EL134" i="2"/>
  <c r="EB134" i="2"/>
  <c r="DZ17" i="2"/>
  <c r="EI63" i="2"/>
  <c r="DU16" i="2"/>
  <c r="EK50" i="2"/>
  <c r="EN23" i="2"/>
  <c r="EH75" i="2"/>
  <c r="EB101" i="2"/>
  <c r="EN110" i="2"/>
  <c r="EA98" i="2"/>
  <c r="ET98" i="2" s="1"/>
  <c r="EV152" i="2"/>
  <c r="EM43" i="2"/>
  <c r="EO109" i="2"/>
  <c r="EM29" i="2"/>
  <c r="EB83" i="2"/>
  <c r="EQ115" i="2"/>
  <c r="EG76" i="2"/>
  <c r="ER67" i="2"/>
  <c r="DX24" i="2"/>
  <c r="DY24" i="2" s="1"/>
  <c r="EC179" i="2"/>
  <c r="EH189" i="2"/>
  <c r="EH55" i="2"/>
  <c r="EM175" i="2"/>
  <c r="EM159" i="2"/>
  <c r="EO118" i="2"/>
  <c r="EB156" i="2"/>
  <c r="DV114" i="2"/>
  <c r="EJ113" i="2"/>
  <c r="EF185" i="2"/>
  <c r="EA192" i="2"/>
  <c r="ET192" i="2" s="1"/>
  <c r="EV134" i="2"/>
  <c r="EL17" i="2"/>
  <c r="EK63" i="2"/>
  <c r="ED16" i="2"/>
  <c r="EA50" i="2"/>
  <c r="ET50" i="2" s="1"/>
  <c r="DX23" i="2"/>
  <c r="DY23" i="2" s="1"/>
  <c r="EM75" i="2"/>
  <c r="EN101" i="2"/>
  <c r="ED110" i="2"/>
  <c r="ED98" i="2"/>
  <c r="ES152" i="2"/>
  <c r="EU152" i="2" s="1"/>
  <c r="ES109" i="2"/>
  <c r="EU109" i="2" s="1"/>
  <c r="ES29" i="2"/>
  <c r="EU29" i="2" s="1"/>
  <c r="EG83" i="2"/>
  <c r="EK115" i="2"/>
  <c r="ER76" i="2"/>
  <c r="EP88" i="2"/>
  <c r="EA47" i="2"/>
  <c r="ET47" i="2" s="1"/>
  <c r="DU67" i="2"/>
  <c r="EQ24" i="2"/>
  <c r="EQ111" i="2"/>
  <c r="EP189" i="2"/>
  <c r="EA55" i="2"/>
  <c r="ET55" i="2" s="1"/>
  <c r="EH175" i="2"/>
  <c r="DZ127" i="2"/>
  <c r="EI62" i="2"/>
  <c r="DZ42" i="2"/>
  <c r="EQ40" i="2"/>
  <c r="EC159" i="2"/>
  <c r="EE118" i="2"/>
  <c r="EA114" i="2"/>
  <c r="ET114" i="2" s="1"/>
  <c r="DV113" i="2"/>
  <c r="EA185" i="2"/>
  <c r="ET185" i="2" s="1"/>
  <c r="EK52" i="2"/>
  <c r="EC192" i="2"/>
  <c r="EB21" i="2"/>
  <c r="EH134" i="2"/>
  <c r="EA63" i="2"/>
  <c r="ET63" i="2" s="1"/>
  <c r="DX50" i="2"/>
  <c r="DY50" i="2" s="1"/>
  <c r="EK75" i="2"/>
  <c r="DX101" i="2"/>
  <c r="DY101" i="2" s="1"/>
  <c r="EJ98" i="2"/>
  <c r="EN152" i="2"/>
  <c r="DU48" i="2"/>
  <c r="ED29" i="2"/>
  <c r="ER83" i="2"/>
  <c r="EM149" i="2"/>
  <c r="EO163" i="2"/>
  <c r="EN84" i="2"/>
  <c r="DX99" i="2"/>
  <c r="DY99" i="2" s="1"/>
  <c r="EH88" i="2"/>
  <c r="EA67" i="2"/>
  <c r="ET67" i="2" s="1"/>
  <c r="EK179" i="2"/>
  <c r="ES111" i="2"/>
  <c r="EU111" i="2" s="1"/>
  <c r="EF55" i="2"/>
  <c r="DW175" i="2"/>
  <c r="EN127" i="2"/>
  <c r="EC169" i="2"/>
  <c r="EH182" i="2"/>
  <c r="DZ40" i="2"/>
  <c r="EO159" i="2"/>
  <c r="EB118" i="2"/>
  <c r="EC156" i="2"/>
  <c r="EA113" i="2"/>
  <c r="ET113" i="2" s="1"/>
  <c r="EV173" i="2"/>
  <c r="EC134" i="2"/>
  <c r="EJ17" i="2"/>
  <c r="EC63" i="2"/>
  <c r="EP195" i="2"/>
  <c r="EE50" i="2"/>
  <c r="EO50" i="2"/>
  <c r="EM23" i="2"/>
  <c r="EL41" i="2"/>
  <c r="EV98" i="2"/>
  <c r="EJ152" i="2"/>
  <c r="EP48" i="2"/>
  <c r="EV109" i="2"/>
  <c r="EO29" i="2"/>
  <c r="EK83" i="2"/>
  <c r="EN76" i="2"/>
  <c r="DU163" i="2"/>
  <c r="ER84" i="2"/>
  <c r="EI99" i="2"/>
  <c r="ED88" i="2"/>
  <c r="EV47" i="2"/>
  <c r="EG67" i="2"/>
  <c r="EI24" i="2"/>
  <c r="DZ179" i="2"/>
  <c r="DV189" i="2"/>
  <c r="EB55" i="2"/>
  <c r="DX175" i="2"/>
  <c r="DY175" i="2" s="1"/>
  <c r="DV141" i="2"/>
  <c r="ED138" i="2"/>
  <c r="DU159" i="2"/>
  <c r="EA159" i="2"/>
  <c r="ET159" i="2" s="1"/>
  <c r="EP146" i="2"/>
  <c r="EO156" i="2"/>
  <c r="EH185" i="2"/>
  <c r="EN173" i="2"/>
  <c r="EE17" i="2"/>
  <c r="EF195" i="2"/>
  <c r="EA195" i="2"/>
  <c r="ET195" i="2" s="1"/>
  <c r="EF23" i="2"/>
  <c r="EH110" i="2"/>
  <c r="EA59" i="2"/>
  <c r="ET59" i="2" s="1"/>
  <c r="DU149" i="2"/>
  <c r="EO47" i="2"/>
  <c r="EV111" i="2"/>
  <c r="DZ141" i="2"/>
  <c r="EJ169" i="2"/>
  <c r="EO42" i="2"/>
  <c r="EM14" i="2"/>
  <c r="EJ54" i="2"/>
  <c r="EH149" i="2"/>
  <c r="EL42" i="2"/>
  <c r="DZ189" i="2"/>
  <c r="ED189" i="2"/>
  <c r="EV113" i="2"/>
  <c r="EC113" i="2"/>
  <c r="EM113" i="2"/>
  <c r="EM192" i="2"/>
  <c r="EI192" i="2"/>
  <c r="DX192" i="2"/>
  <c r="DY192" i="2" s="1"/>
  <c r="EA101" i="2"/>
  <c r="ET101" i="2" s="1"/>
  <c r="ER101" i="2"/>
  <c r="EK150" i="2"/>
  <c r="DZ150" i="2"/>
  <c r="EF174" i="2"/>
  <c r="EI174" i="2"/>
  <c r="ER128" i="2"/>
  <c r="EJ128" i="2"/>
  <c r="EP128" i="2"/>
  <c r="EA72" i="2"/>
  <c r="ET72" i="2" s="1"/>
  <c r="EG72" i="2"/>
  <c r="ES129" i="2"/>
  <c r="EU129" i="2" s="1"/>
  <c r="EG129" i="2"/>
  <c r="ED57" i="2"/>
  <c r="ER57" i="2"/>
  <c r="ED137" i="2"/>
  <c r="EH137" i="2"/>
  <c r="DV140" i="2"/>
  <c r="EA140" i="2"/>
  <c r="ET140" i="2" s="1"/>
  <c r="DU140" i="2"/>
  <c r="DW151" i="2"/>
  <c r="EV151" i="2"/>
  <c r="EP151" i="2"/>
  <c r="DX93" i="2"/>
  <c r="DY93" i="2" s="1"/>
  <c r="EV93" i="2"/>
  <c r="DV93" i="2"/>
  <c r="EJ133" i="2"/>
  <c r="EN133" i="2"/>
  <c r="EJ90" i="2"/>
  <c r="EC90" i="2"/>
  <c r="DU112" i="2"/>
  <c r="EJ112" i="2"/>
  <c r="DX108" i="2"/>
  <c r="DY108" i="2" s="1"/>
  <c r="EI108" i="2"/>
  <c r="ER191" i="2"/>
  <c r="EL191" i="2"/>
  <c r="EK123" i="2"/>
  <c r="DZ123" i="2"/>
  <c r="DZ111" i="2"/>
  <c r="EG111" i="2"/>
  <c r="EP178" i="2"/>
  <c r="EL178" i="2"/>
  <c r="EI17" i="2"/>
  <c r="EG17" i="2"/>
  <c r="EH43" i="2"/>
  <c r="EP43" i="2"/>
  <c r="EI40" i="2"/>
  <c r="EL40" i="2"/>
  <c r="ES198" i="2"/>
  <c r="EU198" i="2" s="1"/>
  <c r="EN198" i="2"/>
  <c r="DX59" i="2"/>
  <c r="DY59" i="2" s="1"/>
  <c r="EO59" i="2"/>
  <c r="EF169" i="2"/>
  <c r="DV169" i="2"/>
  <c r="EM185" i="2"/>
  <c r="EL185" i="2"/>
  <c r="DV185" i="2"/>
  <c r="EL173" i="2"/>
  <c r="ER173" i="2"/>
  <c r="EG173" i="2"/>
  <c r="EV156" i="2"/>
  <c r="EI156" i="2"/>
  <c r="EO195" i="2"/>
  <c r="EN195" i="2"/>
  <c r="EK23" i="2"/>
  <c r="ED23" i="2"/>
  <c r="EJ110" i="2"/>
  <c r="EC110" i="2"/>
  <c r="ES163" i="2"/>
  <c r="EU163" i="2" s="1"/>
  <c r="EG163" i="2"/>
  <c r="DU99" i="2"/>
  <c r="EV99" i="2"/>
  <c r="DU47" i="2"/>
  <c r="EB47" i="2"/>
  <c r="ES132" i="2"/>
  <c r="EU132" i="2" s="1"/>
  <c r="EN132" i="2"/>
  <c r="EP176" i="2"/>
  <c r="DX156" i="2"/>
  <c r="DY156" i="2" s="1"/>
  <c r="DX33" i="2"/>
  <c r="DY33" i="2" s="1"/>
  <c r="EV185" i="2"/>
  <c r="EQ173" i="2"/>
  <c r="EF17" i="2"/>
  <c r="DW195" i="2"/>
  <c r="EM188" i="2"/>
  <c r="EV23" i="2"/>
  <c r="DZ110" i="2"/>
  <c r="EL59" i="2"/>
  <c r="ED43" i="2"/>
  <c r="ED149" i="2"/>
  <c r="EM163" i="2"/>
  <c r="EV123" i="2"/>
  <c r="EA99" i="2"/>
  <c r="ET99" i="2" s="1"/>
  <c r="EM47" i="2"/>
  <c r="ED132" i="2"/>
  <c r="EQ178" i="2"/>
  <c r="EK141" i="2"/>
  <c r="DU169" i="2"/>
  <c r="DX40" i="2"/>
  <c r="DY40" i="2" s="1"/>
  <c r="EN65" i="2"/>
  <c r="EG65" i="2"/>
  <c r="EI97" i="2"/>
  <c r="EE97" i="2"/>
  <c r="EB56" i="2"/>
  <c r="EN56" i="2"/>
  <c r="EG80" i="2"/>
  <c r="EL80" i="2"/>
  <c r="DU126" i="2"/>
  <c r="EB126" i="2"/>
  <c r="EI34" i="2"/>
  <c r="DZ34" i="2"/>
  <c r="EM139" i="2"/>
  <c r="DX139" i="2"/>
  <c r="DY139" i="2" s="1"/>
  <c r="DW53" i="2"/>
  <c r="EL53" i="2"/>
  <c r="HS33" i="2"/>
  <c r="EV176" i="2"/>
  <c r="ED156" i="2"/>
  <c r="EO33" i="2"/>
  <c r="EC185" i="2"/>
  <c r="DV173" i="2"/>
  <c r="EB17" i="2"/>
  <c r="ED195" i="2"/>
  <c r="EC188" i="2"/>
  <c r="EQ23" i="2"/>
  <c r="DU23" i="2"/>
  <c r="EI110" i="2"/>
  <c r="ES110" i="2"/>
  <c r="EU110" i="2" s="1"/>
  <c r="EB59" i="2"/>
  <c r="EJ43" i="2"/>
  <c r="EV149" i="2"/>
  <c r="EK163" i="2"/>
  <c r="ER123" i="2"/>
  <c r="ES99" i="2"/>
  <c r="EU99" i="2" s="1"/>
  <c r="EG47" i="2"/>
  <c r="EF132" i="2"/>
  <c r="EQ141" i="2"/>
  <c r="EQ169" i="2"/>
  <c r="EQ105" i="2"/>
  <c r="EN105" i="2"/>
  <c r="EQ114" i="2"/>
  <c r="ES114" i="2"/>
  <c r="EU114" i="2" s="1"/>
  <c r="DU52" i="2"/>
  <c r="EA52" i="2"/>
  <c r="ET52" i="2" s="1"/>
  <c r="EO16" i="2"/>
  <c r="EM16" i="2"/>
  <c r="DX75" i="2"/>
  <c r="DY75" i="2" s="1"/>
  <c r="EN75" i="2"/>
  <c r="EL81" i="2"/>
  <c r="EJ81" i="2"/>
  <c r="EF115" i="2"/>
  <c r="EA115" i="2"/>
  <c r="ET115" i="2" s="1"/>
  <c r="ED91" i="2"/>
  <c r="EE91" i="2"/>
  <c r="EG201" i="2"/>
  <c r="EP201" i="2"/>
  <c r="DU156" i="2"/>
  <c r="EJ156" i="2"/>
  <c r="EQ185" i="2"/>
  <c r="ES185" i="2"/>
  <c r="EU185" i="2" s="1"/>
  <c r="DW173" i="2"/>
  <c r="EA173" i="2"/>
  <c r="ET173" i="2" s="1"/>
  <c r="EH17" i="2"/>
  <c r="EK17" i="2"/>
  <c r="EL195" i="2"/>
  <c r="EM195" i="2"/>
  <c r="DV23" i="2"/>
  <c r="EJ23" i="2"/>
  <c r="DW110" i="2"/>
  <c r="DU110" i="2"/>
  <c r="ES59" i="2"/>
  <c r="EU59" i="2" s="1"/>
  <c r="DZ59" i="2"/>
  <c r="EF43" i="2"/>
  <c r="DW149" i="2"/>
  <c r="EB149" i="2"/>
  <c r="EA163" i="2"/>
  <c r="ET163" i="2" s="1"/>
  <c r="EN163" i="2"/>
  <c r="EJ123" i="2"/>
  <c r="DZ99" i="2"/>
  <c r="EC99" i="2"/>
  <c r="EJ47" i="2"/>
  <c r="ER47" i="2"/>
  <c r="EL132" i="2"/>
  <c r="EH178" i="2"/>
  <c r="EJ178" i="2"/>
  <c r="EK111" i="2"/>
  <c r="EN141" i="2"/>
  <c r="EG62" i="2"/>
  <c r="EI169" i="2"/>
  <c r="EF40" i="2"/>
  <c r="EC40" i="2"/>
  <c r="EB198" i="2"/>
  <c r="HS34" i="2"/>
  <c r="BG30" i="8"/>
  <c r="JH30" i="2"/>
  <c r="JI30" i="2" s="1"/>
  <c r="JJ30" i="2" s="1"/>
  <c r="AV30" i="8"/>
  <c r="IL30" i="2" s="1"/>
  <c r="JH34" i="2"/>
  <c r="JI34" i="2" s="1"/>
  <c r="JJ34" i="2" s="1"/>
  <c r="AV34" i="8"/>
  <c r="IL34" i="2" s="1"/>
  <c r="BG34" i="8"/>
  <c r="JH32" i="2"/>
  <c r="JI32" i="2" s="1"/>
  <c r="JJ32" i="2" s="1"/>
  <c r="BG32" i="8"/>
  <c r="AV32" i="8"/>
  <c r="IL32" i="2" s="1"/>
  <c r="HS35" i="2"/>
  <c r="W37" i="8"/>
  <c r="W35" i="8"/>
  <c r="W33" i="8"/>
  <c r="W36" i="8"/>
  <c r="W31" i="8"/>
  <c r="EM156" i="2"/>
  <c r="EN156" i="2"/>
  <c r="EN185" i="2"/>
  <c r="DU185" i="2"/>
  <c r="DX173" i="2"/>
  <c r="DY173" i="2" s="1"/>
  <c r="EB173" i="2"/>
  <c r="ED17" i="2"/>
  <c r="DU195" i="2"/>
  <c r="EC195" i="2"/>
  <c r="ES23" i="2"/>
  <c r="EU23" i="2" s="1"/>
  <c r="EL23" i="2"/>
  <c r="EP110" i="2"/>
  <c r="DV110" i="2"/>
  <c r="EH59" i="2"/>
  <c r="DZ43" i="2"/>
  <c r="EB43" i="2"/>
  <c r="EE149" i="2"/>
  <c r="EN149" i="2"/>
  <c r="EF163" i="2"/>
  <c r="DW123" i="2"/>
  <c r="EM99" i="2"/>
  <c r="EQ99" i="2"/>
  <c r="EE47" i="2"/>
  <c r="EA132" i="2"/>
  <c r="ET132" i="2" s="1"/>
  <c r="EM178" i="2"/>
  <c r="DW111" i="2"/>
  <c r="ED141" i="2"/>
  <c r="ER141" i="2"/>
  <c r="EG169" i="2"/>
  <c r="EH40" i="2"/>
  <c r="EQ198" i="2"/>
  <c r="BX29" i="2"/>
  <c r="BX37" i="2"/>
  <c r="BX36" i="2"/>
  <c r="BX35" i="2"/>
  <c r="BX31" i="2"/>
  <c r="BX34" i="2"/>
  <c r="BX33" i="2"/>
  <c r="BX32" i="2"/>
  <c r="BX30" i="2"/>
  <c r="W30" i="8"/>
  <c r="HP34" i="2"/>
  <c r="W32" i="8"/>
  <c r="HS32" i="2"/>
  <c r="HP32" i="2"/>
  <c r="EL156" i="2"/>
  <c r="ER156" i="2"/>
  <c r="EI185" i="2"/>
  <c r="DW185" i="2"/>
  <c r="EK185" i="2"/>
  <c r="EF173" i="2"/>
  <c r="EC173" i="2"/>
  <c r="EP17" i="2"/>
  <c r="ES17" i="2"/>
  <c r="EU17" i="2" s="1"/>
  <c r="EK146" i="2"/>
  <c r="EK195" i="2"/>
  <c r="EJ195" i="2"/>
  <c r="EG23" i="2"/>
  <c r="DZ23" i="2"/>
  <c r="EA23" i="2"/>
  <c r="ET23" i="2" s="1"/>
  <c r="EB110" i="2"/>
  <c r="EQ110" i="2"/>
  <c r="EP66" i="2"/>
  <c r="ED59" i="2"/>
  <c r="EN59" i="2"/>
  <c r="EG43" i="2"/>
  <c r="DV149" i="2"/>
  <c r="DX163" i="2"/>
  <c r="DY163" i="2" s="1"/>
  <c r="EL123" i="2"/>
  <c r="EQ123" i="2"/>
  <c r="EL99" i="2"/>
  <c r="EP47" i="2"/>
  <c r="EQ47" i="2"/>
  <c r="ER132" i="2"/>
  <c r="ED178" i="2"/>
  <c r="DX111" i="2"/>
  <c r="DY111" i="2" s="1"/>
  <c r="ES160" i="2"/>
  <c r="EU160" i="2" s="1"/>
  <c r="EB141" i="2"/>
  <c r="ED169" i="2"/>
  <c r="EG42" i="2"/>
  <c r="EB40" i="2"/>
  <c r="HS30" i="2"/>
  <c r="CJ37" i="2"/>
  <c r="CJ36" i="2"/>
  <c r="CJ31" i="2"/>
  <c r="CJ35" i="2"/>
  <c r="CJ34" i="2"/>
  <c r="CJ33" i="2"/>
  <c r="CJ32" i="2"/>
  <c r="CJ30" i="2"/>
  <c r="HS31" i="2"/>
  <c r="IY31" i="2"/>
  <c r="HS36" i="2"/>
  <c r="HP36" i="2"/>
  <c r="HS37" i="2"/>
  <c r="EN114" i="2"/>
  <c r="EQ52" i="2"/>
  <c r="DZ16" i="2"/>
  <c r="EB16" i="2"/>
  <c r="ED75" i="2"/>
  <c r="DZ75" i="2"/>
  <c r="DV41" i="2"/>
  <c r="EO105" i="2"/>
  <c r="EN29" i="2"/>
  <c r="EC81" i="2"/>
  <c r="ES115" i="2"/>
  <c r="EU115" i="2" s="1"/>
  <c r="EC84" i="2"/>
  <c r="EV91" i="2"/>
  <c r="EF201" i="2"/>
  <c r="EF114" i="2"/>
  <c r="EO114" i="2"/>
  <c r="ED52" i="2"/>
  <c r="DV52" i="2"/>
  <c r="EB19" i="2"/>
  <c r="EH16" i="2"/>
  <c r="EK16" i="2"/>
  <c r="DV75" i="2"/>
  <c r="EL75" i="2"/>
  <c r="EG41" i="2"/>
  <c r="EE48" i="2"/>
  <c r="EK29" i="2"/>
  <c r="EL115" i="2"/>
  <c r="DW84" i="2"/>
  <c r="ER91" i="2"/>
  <c r="EN73" i="2"/>
  <c r="ED114" i="2"/>
  <c r="DW114" i="2"/>
  <c r="EN52" i="2"/>
  <c r="EA16" i="2"/>
  <c r="ET16" i="2" s="1"/>
  <c r="EP16" i="2"/>
  <c r="EG75" i="2"/>
  <c r="EA29" i="2"/>
  <c r="ET29" i="2" s="1"/>
  <c r="EN81" i="2"/>
  <c r="DW115" i="2"/>
  <c r="EB84" i="2"/>
  <c r="EM91" i="2"/>
  <c r="ES201" i="2"/>
  <c r="EU201" i="2" s="1"/>
  <c r="EP156" i="2"/>
  <c r="EF156" i="2"/>
  <c r="EA156" i="2"/>
  <c r="ET156" i="2" s="1"/>
  <c r="EG185" i="2"/>
  <c r="EE185" i="2"/>
  <c r="ED173" i="2"/>
  <c r="DU173" i="2"/>
  <c r="DZ173" i="2"/>
  <c r="EO17" i="2"/>
  <c r="EN17" i="2"/>
  <c r="ES195" i="2"/>
  <c r="EU195" i="2" s="1"/>
  <c r="EH195" i="2"/>
  <c r="EH23" i="2"/>
  <c r="ER23" i="2"/>
  <c r="EP23" i="2"/>
  <c r="EG110" i="2"/>
  <c r="EF110" i="2"/>
  <c r="EE110" i="2"/>
  <c r="DW59" i="2"/>
  <c r="EL43" i="2"/>
  <c r="EG149" i="2"/>
  <c r="EI149" i="2"/>
  <c r="DZ163" i="2"/>
  <c r="EE163" i="2"/>
  <c r="EI123" i="2"/>
  <c r="EG123" i="2"/>
  <c r="EF99" i="2"/>
  <c r="EN99" i="2"/>
  <c r="ES47" i="2"/>
  <c r="EU47" i="2" s="1"/>
  <c r="EK47" i="2"/>
  <c r="EC132" i="2"/>
  <c r="ER178" i="2"/>
  <c r="EJ111" i="2"/>
  <c r="EL141" i="2"/>
  <c r="DW169" i="2"/>
  <c r="EJ42" i="2"/>
  <c r="EV40" i="2"/>
  <c r="DW198" i="2"/>
  <c r="ES156" i="2"/>
  <c r="EU156" i="2" s="1"/>
  <c r="DW156" i="2"/>
  <c r="EK156" i="2"/>
  <c r="EB185" i="2"/>
  <c r="EO185" i="2"/>
  <c r="DZ185" i="2"/>
  <c r="EP173" i="2"/>
  <c r="EE173" i="2"/>
  <c r="EI173" i="2"/>
  <c r="ER17" i="2"/>
  <c r="EM17" i="2"/>
  <c r="EI195" i="2"/>
  <c r="EG195" i="2"/>
  <c r="EQ195" i="2"/>
  <c r="EC23" i="2"/>
  <c r="EO23" i="2"/>
  <c r="ER110" i="2"/>
  <c r="DX110" i="2"/>
  <c r="DY110" i="2" s="1"/>
  <c r="EL110" i="2"/>
  <c r="EJ59" i="2"/>
  <c r="EC59" i="2"/>
  <c r="EN43" i="2"/>
  <c r="DV43" i="2"/>
  <c r="ES149" i="2"/>
  <c r="EU149" i="2" s="1"/>
  <c r="DZ149" i="2"/>
  <c r="EP163" i="2"/>
  <c r="ED163" i="2"/>
  <c r="EC163" i="2"/>
  <c r="EE123" i="2"/>
  <c r="EH123" i="2"/>
  <c r="EK99" i="2"/>
  <c r="EO99" i="2"/>
  <c r="ED47" i="2"/>
  <c r="EL47" i="2"/>
  <c r="EP132" i="2"/>
  <c r="EG132" i="2"/>
  <c r="DV178" i="2"/>
  <c r="ES178" i="2"/>
  <c r="EU178" i="2" s="1"/>
  <c r="DU111" i="2"/>
  <c r="ED111" i="2"/>
  <c r="EA141" i="2"/>
  <c r="ET141" i="2" s="1"/>
  <c r="DW141" i="2"/>
  <c r="EM62" i="2"/>
  <c r="EK169" i="2"/>
  <c r="EP169" i="2"/>
  <c r="EC42" i="2"/>
  <c r="EA40" i="2"/>
  <c r="ET40" i="2" s="1"/>
  <c r="EJ40" i="2"/>
  <c r="EC198" i="2"/>
  <c r="EG140" i="2"/>
  <c r="EV140" i="2"/>
  <c r="EI140" i="2"/>
  <c r="DZ114" i="2"/>
  <c r="EK114" i="2"/>
  <c r="EI114" i="2"/>
  <c r="EA57" i="2"/>
  <c r="ET57" i="2" s="1"/>
  <c r="EN57" i="2"/>
  <c r="EP27" i="2"/>
  <c r="EI52" i="2"/>
  <c r="EF52" i="2"/>
  <c r="EF137" i="2"/>
  <c r="EC137" i="2"/>
  <c r="DU107" i="2"/>
  <c r="ED128" i="2"/>
  <c r="EA128" i="2"/>
  <c r="ET128" i="2" s="1"/>
  <c r="EI151" i="2"/>
  <c r="EB151" i="2"/>
  <c r="ES36" i="2"/>
  <c r="EU36" i="2" s="1"/>
  <c r="DX16" i="2"/>
  <c r="DY16" i="2" s="1"/>
  <c r="EE16" i="2"/>
  <c r="ER93" i="2"/>
  <c r="EN93" i="2"/>
  <c r="ED93" i="2"/>
  <c r="DW75" i="2"/>
  <c r="EJ75" i="2"/>
  <c r="EB75" i="2"/>
  <c r="DU133" i="2"/>
  <c r="EA133" i="2"/>
  <c r="ET133" i="2" s="1"/>
  <c r="EB196" i="2"/>
  <c r="ED41" i="2"/>
  <c r="EI105" i="2"/>
  <c r="EI116" i="2"/>
  <c r="EJ72" i="2"/>
  <c r="DU72" i="2"/>
  <c r="EP191" i="2"/>
  <c r="EM191" i="2"/>
  <c r="EQ191" i="2"/>
  <c r="EE29" i="2"/>
  <c r="EQ29" i="2"/>
  <c r="EJ31" i="2"/>
  <c r="EA81" i="2"/>
  <c r="ET81" i="2" s="1"/>
  <c r="DU90" i="2"/>
  <c r="DX115" i="2"/>
  <c r="DY115" i="2" s="1"/>
  <c r="DV115" i="2"/>
  <c r="EK112" i="2"/>
  <c r="EF112" i="2"/>
  <c r="DZ77" i="2"/>
  <c r="EJ84" i="2"/>
  <c r="EC91" i="2"/>
  <c r="EK91" i="2"/>
  <c r="EB103" i="2"/>
  <c r="ER171" i="2"/>
  <c r="EQ201" i="2"/>
  <c r="EQ108" i="2"/>
  <c r="EH199" i="2"/>
  <c r="EH119" i="2"/>
  <c r="DX129" i="2"/>
  <c r="DY129" i="2" s="1"/>
  <c r="DW140" i="2"/>
  <c r="EO140" i="2"/>
  <c r="EL140" i="2"/>
  <c r="EV170" i="2"/>
  <c r="DU114" i="2"/>
  <c r="EC114" i="2"/>
  <c r="ES57" i="2"/>
  <c r="EU57" i="2" s="1"/>
  <c r="EV57" i="2"/>
  <c r="DW57" i="2"/>
  <c r="EB52" i="2"/>
  <c r="DX52" i="2"/>
  <c r="DY52" i="2" s="1"/>
  <c r="EV52" i="2"/>
  <c r="EM137" i="2"/>
  <c r="EG137" i="2"/>
  <c r="DU21" i="2"/>
  <c r="EE128" i="2"/>
  <c r="EG151" i="2"/>
  <c r="EJ151" i="2"/>
  <c r="ER16" i="2"/>
  <c r="EV16" i="2"/>
  <c r="ES16" i="2"/>
  <c r="EU16" i="2" s="1"/>
  <c r="EP93" i="2"/>
  <c r="EQ93" i="2"/>
  <c r="EC158" i="2"/>
  <c r="EV75" i="2"/>
  <c r="DU75" i="2"/>
  <c r="EQ75" i="2"/>
  <c r="EL133" i="2"/>
  <c r="EP133" i="2"/>
  <c r="EB133" i="2"/>
  <c r="EP196" i="2"/>
  <c r="EF41" i="2"/>
  <c r="EJ116" i="2"/>
  <c r="EB116" i="2"/>
  <c r="EP72" i="2"/>
  <c r="DX48" i="2"/>
  <c r="DY48" i="2" s="1"/>
  <c r="EC191" i="2"/>
  <c r="DV191" i="2"/>
  <c r="EV29" i="2"/>
  <c r="DU29" i="2"/>
  <c r="ER31" i="2"/>
  <c r="EM81" i="2"/>
  <c r="EI90" i="2"/>
  <c r="EV39" i="2"/>
  <c r="EE115" i="2"/>
  <c r="EI112" i="2"/>
  <c r="EH84" i="2"/>
  <c r="EQ91" i="2"/>
  <c r="ER103" i="2"/>
  <c r="EE45" i="2"/>
  <c r="EN201" i="2"/>
  <c r="DV108" i="2"/>
  <c r="EO119" i="2"/>
  <c r="EK92" i="2"/>
  <c r="DX174" i="2"/>
  <c r="DY174" i="2" s="1"/>
  <c r="DW197" i="2"/>
  <c r="DX51" i="2"/>
  <c r="DY51" i="2" s="1"/>
  <c r="EB140" i="2"/>
  <c r="EE140" i="2"/>
  <c r="EL170" i="2"/>
  <c r="EV114" i="2"/>
  <c r="EP114" i="2"/>
  <c r="EP57" i="2"/>
  <c r="EJ57" i="2"/>
  <c r="EB57" i="2"/>
  <c r="EV27" i="2"/>
  <c r="EM52" i="2"/>
  <c r="EP52" i="2"/>
  <c r="ES52" i="2"/>
  <c r="EU52" i="2" s="1"/>
  <c r="DV137" i="2"/>
  <c r="EI137" i="2"/>
  <c r="ES137" i="2"/>
  <c r="EU137" i="2" s="1"/>
  <c r="DZ128" i="2"/>
  <c r="DW13" i="2"/>
  <c r="DX13" i="2" s="1"/>
  <c r="DY13" i="2" s="1"/>
  <c r="DW19" i="2"/>
  <c r="DX19" i="2" s="1"/>
  <c r="DY19" i="2" s="1"/>
  <c r="EA151" i="2"/>
  <c r="ET151" i="2" s="1"/>
  <c r="EF16" i="2"/>
  <c r="EQ16" i="2"/>
  <c r="EO93" i="2"/>
  <c r="DV158" i="2"/>
  <c r="EI75" i="2"/>
  <c r="EC75" i="2"/>
  <c r="DZ133" i="2"/>
  <c r="EF133" i="2"/>
  <c r="EK116" i="2"/>
  <c r="DX191" i="2"/>
  <c r="DY191" i="2" s="1"/>
  <c r="DV29" i="2"/>
  <c r="ER29" i="2"/>
  <c r="EI81" i="2"/>
  <c r="EA39" i="2"/>
  <c r="ET39" i="2" s="1"/>
  <c r="EV190" i="2"/>
  <c r="EC201" i="2"/>
  <c r="EE156" i="2"/>
  <c r="EQ156" i="2"/>
  <c r="ED185" i="2"/>
  <c r="ER185" i="2"/>
  <c r="EK173" i="2"/>
  <c r="EM173" i="2"/>
  <c r="DU17" i="2"/>
  <c r="EC17" i="2"/>
  <c r="DV195" i="2"/>
  <c r="EE195" i="2"/>
  <c r="EI23" i="2"/>
  <c r="EB23" i="2"/>
  <c r="EV110" i="2"/>
  <c r="EM110" i="2"/>
  <c r="EG59" i="2"/>
  <c r="DV59" i="2"/>
  <c r="EI43" i="2"/>
  <c r="ES43" i="2"/>
  <c r="EU43" i="2" s="1"/>
  <c r="EK149" i="2"/>
  <c r="DV163" i="2"/>
  <c r="DV123" i="2"/>
  <c r="EH99" i="2"/>
  <c r="DZ47" i="2"/>
  <c r="EI47" i="2"/>
  <c r="EJ132" i="2"/>
  <c r="EK178" i="2"/>
  <c r="EN178" i="2"/>
  <c r="EF111" i="2"/>
  <c r="EA111" i="2"/>
  <c r="ET111" i="2" s="1"/>
  <c r="EH141" i="2"/>
  <c r="EC141" i="2"/>
  <c r="DW62" i="2"/>
  <c r="DZ169" i="2"/>
  <c r="EM42" i="2"/>
  <c r="EE40" i="2"/>
  <c r="EP40" i="2"/>
  <c r="EP198" i="2"/>
  <c r="EP179" i="2"/>
  <c r="EG179" i="2"/>
  <c r="DU179" i="2"/>
  <c r="ES179" i="2"/>
  <c r="EU179" i="2" s="1"/>
  <c r="EB179" i="2"/>
  <c r="EE189" i="2"/>
  <c r="EO189" i="2"/>
  <c r="EQ189" i="2"/>
  <c r="EV24" i="2"/>
  <c r="ES24" i="2"/>
  <c r="EU24" i="2" s="1"/>
  <c r="EF24" i="2"/>
  <c r="EM119" i="2"/>
  <c r="EB119" i="2"/>
  <c r="EF119" i="2"/>
  <c r="EI175" i="2"/>
  <c r="EB175" i="2"/>
  <c r="DZ175" i="2"/>
  <c r="EL175" i="2"/>
  <c r="ED150" i="2"/>
  <c r="EE150" i="2"/>
  <c r="DW150" i="2"/>
  <c r="EJ127" i="2"/>
  <c r="EQ127" i="2"/>
  <c r="EI127" i="2"/>
  <c r="EP174" i="2"/>
  <c r="EC174" i="2"/>
  <c r="EJ174" i="2"/>
  <c r="ED134" i="2"/>
  <c r="EP134" i="2"/>
  <c r="DW134" i="2"/>
  <c r="EG128" i="2"/>
  <c r="EB128" i="2"/>
  <c r="DV105" i="2"/>
  <c r="ER105" i="2"/>
  <c r="EK152" i="2"/>
  <c r="EG152" i="2"/>
  <c r="EE152" i="2"/>
  <c r="ED72" i="2"/>
  <c r="EN72" i="2"/>
  <c r="EL72" i="2"/>
  <c r="ES147" i="2"/>
  <c r="EU147" i="2" s="1"/>
  <c r="EL147" i="2"/>
  <c r="EK55" i="2"/>
  <c r="DU55" i="2"/>
  <c r="DX55" i="2"/>
  <c r="DY55" i="2" s="1"/>
  <c r="EQ129" i="2"/>
  <c r="EI129" i="2"/>
  <c r="EK129" i="2"/>
  <c r="ED182" i="2"/>
  <c r="DZ182" i="2"/>
  <c r="EE182" i="2"/>
  <c r="EQ35" i="2"/>
  <c r="EJ35" i="2"/>
  <c r="EI35" i="2"/>
  <c r="EH159" i="2"/>
  <c r="DV159" i="2"/>
  <c r="EK159" i="2"/>
  <c r="EN26" i="2"/>
  <c r="EL26" i="2"/>
  <c r="EO26" i="2"/>
  <c r="EK41" i="2"/>
  <c r="ES41" i="2"/>
  <c r="EU41" i="2" s="1"/>
  <c r="DX41" i="2"/>
  <c r="DY41" i="2" s="1"/>
  <c r="EB98" i="2"/>
  <c r="EM98" i="2"/>
  <c r="EQ98" i="2"/>
  <c r="DX98" i="2"/>
  <c r="DY98" i="2" s="1"/>
  <c r="EH98" i="2"/>
  <c r="EM116" i="2"/>
  <c r="EA116" i="2"/>
  <c r="ET116" i="2" s="1"/>
  <c r="EV116" i="2"/>
  <c r="DW116" i="2"/>
  <c r="EN116" i="2"/>
  <c r="DZ48" i="2"/>
  <c r="DV48" i="2"/>
  <c r="EN48" i="2"/>
  <c r="DW138" i="2"/>
  <c r="DU138" i="2"/>
  <c r="EB51" i="2"/>
  <c r="DU51" i="2"/>
  <c r="DV21" i="2"/>
  <c r="DU19" i="2"/>
  <c r="EE63" i="2"/>
  <c r="EL63" i="2"/>
  <c r="DU63" i="2"/>
  <c r="EE151" i="2"/>
  <c r="ES151" i="2"/>
  <c r="EU151" i="2" s="1"/>
  <c r="EQ151" i="2"/>
  <c r="EL16" i="2"/>
  <c r="EC16" i="2"/>
  <c r="DV16" i="2"/>
  <c r="DU50" i="2"/>
  <c r="EI50" i="2"/>
  <c r="EB50" i="2"/>
  <c r="DU93" i="2"/>
  <c r="EI93" i="2"/>
  <c r="EF93" i="2"/>
  <c r="ES75" i="2"/>
  <c r="EU75" i="2" s="1"/>
  <c r="EF75" i="2"/>
  <c r="EO75" i="2"/>
  <c r="EJ101" i="2"/>
  <c r="EF101" i="2"/>
  <c r="EG101" i="2"/>
  <c r="EM101" i="2"/>
  <c r="EG133" i="2"/>
  <c r="EI133" i="2"/>
  <c r="ER133" i="2"/>
  <c r="EQ133" i="2"/>
  <c r="EC133" i="2"/>
  <c r="DW133" i="2"/>
  <c r="EG81" i="2"/>
  <c r="DW81" i="2"/>
  <c r="EB81" i="2"/>
  <c r="ES81" i="2"/>
  <c r="EU81" i="2" s="1"/>
  <c r="ED81" i="2"/>
  <c r="ES83" i="2"/>
  <c r="EU83" i="2" s="1"/>
  <c r="EA83" i="2"/>
  <c r="ET83" i="2" s="1"/>
  <c r="DU83" i="2"/>
  <c r="DW90" i="2"/>
  <c r="ES90" i="2"/>
  <c r="EU90" i="2" s="1"/>
  <c r="EK90" i="2"/>
  <c r="DX90" i="2"/>
  <c r="DY90" i="2" s="1"/>
  <c r="EL90" i="2"/>
  <c r="EM115" i="2"/>
  <c r="ER115" i="2"/>
  <c r="ED115" i="2"/>
  <c r="EG115" i="2"/>
  <c r="EM76" i="2"/>
  <c r="EK76" i="2"/>
  <c r="EB76" i="2"/>
  <c r="EF76" i="2"/>
  <c r="EV76" i="2"/>
  <c r="EC112" i="2"/>
  <c r="EQ112" i="2"/>
  <c r="DX112" i="2"/>
  <c r="DY112" i="2" s="1"/>
  <c r="EV112" i="2"/>
  <c r="EL84" i="2"/>
  <c r="EE84" i="2"/>
  <c r="EG84" i="2"/>
  <c r="DU84" i="2"/>
  <c r="EK88" i="2"/>
  <c r="EC88" i="2"/>
  <c r="DU88" i="2"/>
  <c r="ES108" i="2"/>
  <c r="EU108" i="2" s="1"/>
  <c r="EE108" i="2"/>
  <c r="ED108" i="2"/>
  <c r="EG108" i="2"/>
  <c r="EN91" i="2"/>
  <c r="EA91" i="2"/>
  <c r="ET91" i="2" s="1"/>
  <c r="EB91" i="2"/>
  <c r="EP91" i="2"/>
  <c r="EB109" i="2"/>
  <c r="EN109" i="2"/>
  <c r="EC109" i="2"/>
  <c r="EJ109" i="2"/>
  <c r="EI109" i="2"/>
  <c r="EN103" i="2"/>
  <c r="DW103" i="2"/>
  <c r="EH103" i="2"/>
  <c r="EE103" i="2"/>
  <c r="EV201" i="2"/>
  <c r="EE201" i="2"/>
  <c r="DV201" i="2"/>
  <c r="ER201" i="2"/>
  <c r="ED67" i="2"/>
  <c r="EE67" i="2"/>
  <c r="ES67" i="2"/>
  <c r="EU67" i="2" s="1"/>
  <c r="EH191" i="2"/>
  <c r="ES191" i="2"/>
  <c r="EU191" i="2" s="1"/>
  <c r="DU191" i="2"/>
  <c r="EB191" i="2"/>
  <c r="EN191" i="2"/>
  <c r="ED191" i="2"/>
  <c r="EP29" i="2"/>
  <c r="EB29" i="2"/>
  <c r="EC29" i="2"/>
  <c r="DZ29" i="2"/>
  <c r="EL29" i="2"/>
  <c r="EH29" i="2"/>
  <c r="EG102" i="2"/>
  <c r="DW56" i="2"/>
  <c r="EF162" i="2"/>
  <c r="EE172" i="2"/>
  <c r="EF32" i="2"/>
  <c r="EG153" i="2"/>
  <c r="DZ177" i="2"/>
  <c r="EK65" i="2"/>
  <c r="EN194" i="2"/>
  <c r="EL85" i="2"/>
  <c r="ED139" i="2"/>
  <c r="EG139" i="2"/>
  <c r="EA126" i="2"/>
  <c r="ET126" i="2" s="1"/>
  <c r="EB79" i="2"/>
  <c r="DV20" i="2"/>
  <c r="N59" i="9" s="1"/>
  <c r="EA17" i="2"/>
  <c r="ET17" i="2" s="1"/>
  <c r="DX17" i="2"/>
  <c r="DY17" i="2" s="1"/>
  <c r="DW17" i="2"/>
  <c r="DV17" i="2"/>
  <c r="EQ17" i="2"/>
  <c r="EI59" i="2"/>
  <c r="EM59" i="2"/>
  <c r="EE59" i="2"/>
  <c r="EF59" i="2"/>
  <c r="EQ59" i="2"/>
  <c r="EA43" i="2"/>
  <c r="ET43" i="2" s="1"/>
  <c r="EQ43" i="2"/>
  <c r="EE43" i="2"/>
  <c r="ED123" i="2"/>
  <c r="EO123" i="2"/>
  <c r="EA123" i="2"/>
  <c r="ET123" i="2" s="1"/>
  <c r="EN123" i="2"/>
  <c r="EB178" i="2"/>
  <c r="DU178" i="2"/>
  <c r="DW178" i="2"/>
  <c r="EG178" i="2"/>
  <c r="EI111" i="2"/>
  <c r="EO111" i="2"/>
  <c r="EH111" i="2"/>
  <c r="EM111" i="2"/>
  <c r="DU141" i="2"/>
  <c r="EM141" i="2"/>
  <c r="EG141" i="2"/>
  <c r="EO62" i="2"/>
  <c r="ER155" i="2"/>
  <c r="EM169" i="2"/>
  <c r="EV169" i="2"/>
  <c r="EL169" i="2"/>
  <c r="EO169" i="2"/>
  <c r="EE42" i="2"/>
  <c r="EK40" i="2"/>
  <c r="DW40" i="2"/>
  <c r="EG40" i="2"/>
  <c r="EG198" i="2"/>
  <c r="ED198" i="2"/>
  <c r="EP123" i="2"/>
  <c r="ES123" i="2"/>
  <c r="EU123" i="2" s="1"/>
  <c r="EM123" i="2"/>
  <c r="DU123" i="2"/>
  <c r="EB123" i="2"/>
  <c r="EC123" i="2"/>
  <c r="EL111" i="2"/>
  <c r="ER111" i="2"/>
  <c r="EC111" i="2"/>
  <c r="DV111" i="2"/>
  <c r="EP111" i="2"/>
  <c r="EN111" i="2"/>
  <c r="EA178" i="2"/>
  <c r="ET178" i="2" s="1"/>
  <c r="DX178" i="2"/>
  <c r="DY178" i="2" s="1"/>
  <c r="EV178" i="2"/>
  <c r="EI178" i="2"/>
  <c r="EE178" i="2"/>
  <c r="EO178" i="2"/>
  <c r="EO141" i="2"/>
  <c r="EE141" i="2"/>
  <c r="EJ141" i="2"/>
  <c r="ES141" i="2"/>
  <c r="EU141" i="2" s="1"/>
  <c r="EI141" i="2"/>
  <c r="EF141" i="2"/>
  <c r="DU62" i="2"/>
  <c r="ES62" i="2"/>
  <c r="EU62" i="2" s="1"/>
  <c r="DX62" i="2"/>
  <c r="DY62" i="2" s="1"/>
  <c r="EC43" i="2"/>
  <c r="DW43" i="2"/>
  <c r="EK43" i="2"/>
  <c r="ER43" i="2"/>
  <c r="DX43" i="2"/>
  <c r="DY43" i="2" s="1"/>
  <c r="EO43" i="2"/>
  <c r="EK42" i="2"/>
  <c r="ER42" i="2"/>
  <c r="DU40" i="2"/>
  <c r="ER40" i="2"/>
  <c r="ES40" i="2"/>
  <c r="EU40" i="2" s="1"/>
  <c r="EO40" i="2"/>
  <c r="EM40" i="2"/>
  <c r="EN40" i="2"/>
  <c r="EK198" i="2"/>
  <c r="EF198" i="2"/>
  <c r="EM198" i="2"/>
  <c r="EH198" i="2"/>
  <c r="EP59" i="2"/>
  <c r="DU59" i="2"/>
  <c r="ER169" i="2"/>
  <c r="EB169" i="2"/>
  <c r="EE169" i="2"/>
  <c r="DX169" i="2"/>
  <c r="DY169" i="2" s="1"/>
  <c r="EH169" i="2"/>
  <c r="EA169" i="2"/>
  <c r="ET169" i="2" s="1"/>
  <c r="EP149" i="2"/>
  <c r="EJ149" i="2"/>
  <c r="EF149" i="2"/>
  <c r="ER149" i="2"/>
  <c r="EC149" i="2"/>
  <c r="EQ149" i="2"/>
  <c r="EL149" i="2"/>
  <c r="EJ163" i="2"/>
  <c r="EI163" i="2"/>
  <c r="EB163" i="2"/>
  <c r="ER163" i="2"/>
  <c r="EQ163" i="2"/>
  <c r="EL163" i="2"/>
  <c r="ER99" i="2"/>
  <c r="DW99" i="2"/>
  <c r="EE99" i="2"/>
  <c r="EG99" i="2"/>
  <c r="ED99" i="2"/>
  <c r="EP99" i="2"/>
  <c r="EF74" i="2"/>
  <c r="EK74" i="2"/>
  <c r="EH47" i="2"/>
  <c r="EC47" i="2"/>
  <c r="EN47" i="2"/>
  <c r="DX47" i="2"/>
  <c r="DY47" i="2" s="1"/>
  <c r="EF47" i="2"/>
  <c r="DW47" i="2"/>
  <c r="EK132" i="2"/>
  <c r="EV132" i="2"/>
  <c r="DW132" i="2"/>
  <c r="DZ132" i="2"/>
  <c r="EJ56" i="2"/>
  <c r="EL114" i="2"/>
  <c r="EG114" i="2"/>
  <c r="EM114" i="2"/>
  <c r="EE114" i="2"/>
  <c r="DX114" i="2"/>
  <c r="DY114" i="2" s="1"/>
  <c r="DW187" i="2"/>
  <c r="DU57" i="2"/>
  <c r="EI57" i="2"/>
  <c r="DV57" i="2"/>
  <c r="EH57" i="2"/>
  <c r="EE57" i="2"/>
  <c r="EG57" i="2"/>
  <c r="ER52" i="2"/>
  <c r="EO52" i="2"/>
  <c r="EJ52" i="2"/>
  <c r="EE52" i="2"/>
  <c r="EH52" i="2"/>
  <c r="DU137" i="2"/>
  <c r="DW137" i="2"/>
  <c r="DZ137" i="2"/>
  <c r="EE137" i="2"/>
  <c r="EO137" i="2"/>
  <c r="DV162" i="2"/>
  <c r="DX21" i="2"/>
  <c r="DY21" i="2" s="1"/>
  <c r="DX128" i="2"/>
  <c r="DY128" i="2" s="1"/>
  <c r="EO128" i="2"/>
  <c r="ES128" i="2"/>
  <c r="EU128" i="2" s="1"/>
  <c r="DV128" i="2"/>
  <c r="DV19" i="2"/>
  <c r="EN153" i="2"/>
  <c r="ED151" i="2"/>
  <c r="EN151" i="2"/>
  <c r="EO151" i="2"/>
  <c r="EM151" i="2"/>
  <c r="EL151" i="2"/>
  <c r="EL65" i="2"/>
  <c r="EC41" i="2"/>
  <c r="EQ41" i="2"/>
  <c r="EH41" i="2"/>
  <c r="EG105" i="2"/>
  <c r="EA105" i="2"/>
  <c r="ET105" i="2" s="1"/>
  <c r="ER130" i="2"/>
  <c r="ED116" i="2"/>
  <c r="EG116" i="2"/>
  <c r="DU116" i="2"/>
  <c r="EP116" i="2"/>
  <c r="EF116" i="2"/>
  <c r="EQ85" i="2"/>
  <c r="EV72" i="2"/>
  <c r="EK72" i="2"/>
  <c r="EQ72" i="2"/>
  <c r="EI72" i="2"/>
  <c r="ES72" i="2"/>
  <c r="EU72" i="2" s="1"/>
  <c r="EH48" i="2"/>
  <c r="ER48" i="2"/>
  <c r="DZ97" i="2"/>
  <c r="DZ81" i="2"/>
  <c r="DU81" i="2"/>
  <c r="DV81" i="2"/>
  <c r="EK81" i="2"/>
  <c r="DV90" i="2"/>
  <c r="EE90" i="2"/>
  <c r="EV90" i="2"/>
  <c r="EH90" i="2"/>
  <c r="DV119" i="2"/>
  <c r="EK119" i="2"/>
  <c r="EJ147" i="2"/>
  <c r="EJ92" i="2"/>
  <c r="EM150" i="2"/>
  <c r="EG174" i="2"/>
  <c r="EB174" i="2"/>
  <c r="ER61" i="2"/>
  <c r="DV129" i="2"/>
  <c r="EF129" i="2"/>
  <c r="EH35" i="2"/>
  <c r="EK190" i="2"/>
  <c r="EH190" i="2"/>
  <c r="ER79" i="2"/>
  <c r="EM79" i="2"/>
  <c r="ED119" i="2"/>
  <c r="DU119" i="2"/>
  <c r="DW119" i="2"/>
  <c r="EI119" i="2"/>
  <c r="EI150" i="2"/>
  <c r="ES150" i="2"/>
  <c r="EU150" i="2" s="1"/>
  <c r="DV150" i="2"/>
  <c r="EE174" i="2"/>
  <c r="EN174" i="2"/>
  <c r="ES174" i="2"/>
  <c r="EU174" i="2" s="1"/>
  <c r="ER174" i="2"/>
  <c r="DZ174" i="2"/>
  <c r="DZ129" i="2"/>
  <c r="EM129" i="2"/>
  <c r="EJ129" i="2"/>
  <c r="EO129" i="2"/>
  <c r="EO35" i="2"/>
  <c r="EV35" i="2"/>
  <c r="DW35" i="2"/>
  <c r="EM26" i="2"/>
  <c r="DZ26" i="2"/>
  <c r="ER26" i="2"/>
  <c r="EF51" i="2"/>
  <c r="EP51" i="2"/>
  <c r="EV51" i="2"/>
  <c r="ER81" i="2"/>
  <c r="EE81" i="2"/>
  <c r="EQ81" i="2"/>
  <c r="EO81" i="2"/>
  <c r="DX81" i="2"/>
  <c r="DY81" i="2" s="1"/>
  <c r="EP81" i="2"/>
  <c r="EA90" i="2"/>
  <c r="ET90" i="2" s="1"/>
  <c r="EO90" i="2"/>
  <c r="EF90" i="2"/>
  <c r="EQ90" i="2"/>
  <c r="ED90" i="2"/>
  <c r="EB90" i="2"/>
  <c r="EP90" i="2"/>
  <c r="EC115" i="2"/>
  <c r="EO115" i="2"/>
  <c r="EN115" i="2"/>
  <c r="EV115" i="2"/>
  <c r="EB115" i="2"/>
  <c r="DU115" i="2"/>
  <c r="EI115" i="2"/>
  <c r="DV112" i="2"/>
  <c r="EO112" i="2"/>
  <c r="DW112" i="2"/>
  <c r="EN112" i="2"/>
  <c r="EP112" i="2"/>
  <c r="EP84" i="2"/>
  <c r="EV84" i="2"/>
  <c r="DV84" i="2"/>
  <c r="ES84" i="2"/>
  <c r="EU84" i="2" s="1"/>
  <c r="DX84" i="2"/>
  <c r="DY84" i="2" s="1"/>
  <c r="EF108" i="2"/>
  <c r="EA108" i="2"/>
  <c r="ET108" i="2" s="1"/>
  <c r="EC108" i="2"/>
  <c r="ER108" i="2"/>
  <c r="EK108" i="2"/>
  <c r="EO91" i="2"/>
  <c r="EH91" i="2"/>
  <c r="EJ91" i="2"/>
  <c r="EG91" i="2"/>
  <c r="EM103" i="2"/>
  <c r="DX103" i="2"/>
  <c r="DY103" i="2" s="1"/>
  <c r="EO103" i="2"/>
  <c r="ES103" i="2"/>
  <c r="EU103" i="2" s="1"/>
  <c r="DZ103" i="2"/>
  <c r="DU201" i="2"/>
  <c r="EL201" i="2"/>
  <c r="EA201" i="2"/>
  <c r="ET201" i="2" s="1"/>
  <c r="EI201" i="2"/>
  <c r="EK201" i="2"/>
  <c r="ES190" i="2"/>
  <c r="EU190" i="2" s="1"/>
  <c r="ES79" i="2"/>
  <c r="EU79" i="2" s="1"/>
  <c r="EI190" i="2"/>
  <c r="ES82" i="2"/>
  <c r="EU82" i="2" s="1"/>
  <c r="EM82" i="2"/>
  <c r="ED161" i="2"/>
  <c r="EE161" i="2"/>
  <c r="EN106" i="2"/>
  <c r="EJ106" i="2"/>
  <c r="EV22" i="2"/>
  <c r="EP22" i="2"/>
  <c r="DX126" i="2"/>
  <c r="DY126" i="2" s="1"/>
  <c r="EL126" i="2"/>
  <c r="EF34" i="2"/>
  <c r="EV34" i="2"/>
  <c r="EK89" i="2"/>
  <c r="EJ89" i="2"/>
  <c r="EV181" i="2"/>
  <c r="DZ181" i="2"/>
  <c r="EL154" i="2"/>
  <c r="DU154" i="2"/>
  <c r="DV168" i="2"/>
  <c r="EG168" i="2"/>
  <c r="EP53" i="2"/>
  <c r="EH53" i="2"/>
  <c r="DW29" i="2"/>
  <c r="EI29" i="2"/>
  <c r="DU128" i="2"/>
  <c r="EC128" i="2"/>
  <c r="DW128" i="2"/>
  <c r="EQ128" i="2"/>
  <c r="EM128" i="2"/>
  <c r="EA41" i="2"/>
  <c r="ET41" i="2" s="1"/>
  <c r="DW41" i="2"/>
  <c r="EI41" i="2"/>
  <c r="EM41" i="2"/>
  <c r="DZ105" i="2"/>
  <c r="EK105" i="2"/>
  <c r="EM105" i="2"/>
  <c r="ES116" i="2"/>
  <c r="EU116" i="2" s="1"/>
  <c r="EH116" i="2"/>
  <c r="DX116" i="2"/>
  <c r="DY116" i="2" s="1"/>
  <c r="EQ116" i="2"/>
  <c r="EL116" i="2"/>
  <c r="ER72" i="2"/>
  <c r="DX72" i="2"/>
  <c r="DY72" i="2" s="1"/>
  <c r="EM72" i="2"/>
  <c r="EF72" i="2"/>
  <c r="EC72" i="2"/>
  <c r="EK48" i="2"/>
  <c r="EI48" i="2"/>
  <c r="EG48" i="2"/>
  <c r="ER190" i="2"/>
  <c r="ED190" i="2"/>
  <c r="DZ190" i="2"/>
  <c r="ER119" i="2"/>
  <c r="EN119" i="2"/>
  <c r="EG119" i="2"/>
  <c r="EL119" i="2"/>
  <c r="EI79" i="2"/>
  <c r="EG79" i="2"/>
  <c r="EN79" i="2"/>
  <c r="EV79" i="2"/>
  <c r="EG150" i="2"/>
  <c r="EV150" i="2"/>
  <c r="EF73" i="2"/>
  <c r="EL174" i="2"/>
  <c r="DU174" i="2"/>
  <c r="EO174" i="2"/>
  <c r="EQ174" i="2"/>
  <c r="EE51" i="2"/>
  <c r="EM51" i="2"/>
  <c r="EV129" i="2"/>
  <c r="EH129" i="2"/>
  <c r="EP129" i="2"/>
  <c r="EA129" i="2"/>
  <c r="ET129" i="2" s="1"/>
  <c r="DV35" i="2"/>
  <c r="EB35" i="2"/>
  <c r="EC26" i="2"/>
  <c r="ES26" i="2"/>
  <c r="EU26" i="2" s="1"/>
  <c r="EE190" i="2"/>
  <c r="DX190" i="2"/>
  <c r="DY190" i="2" s="1"/>
  <c r="EO190" i="2"/>
  <c r="DW190" i="2"/>
  <c r="EB190" i="2"/>
  <c r="EL190" i="2"/>
  <c r="EH79" i="2"/>
  <c r="DV79" i="2"/>
  <c r="EE79" i="2"/>
  <c r="EF79" i="2"/>
  <c r="EJ79" i="2"/>
  <c r="EA79" i="2"/>
  <c r="ET79" i="2" s="1"/>
  <c r="EA119" i="2"/>
  <c r="ET119" i="2" s="1"/>
  <c r="EE119" i="2"/>
  <c r="DX119" i="2"/>
  <c r="DY119" i="2" s="1"/>
  <c r="ES119" i="2"/>
  <c r="EU119" i="2" s="1"/>
  <c r="EC119" i="2"/>
  <c r="DZ119" i="2"/>
  <c r="EO92" i="2"/>
  <c r="DZ92" i="2"/>
  <c r="DU150" i="2"/>
  <c r="EA150" i="2"/>
  <c r="ET150" i="2" s="1"/>
  <c r="EJ150" i="2"/>
  <c r="EB150" i="2"/>
  <c r="EV174" i="2"/>
  <c r="EH174" i="2"/>
  <c r="EM174" i="2"/>
  <c r="ED174" i="2"/>
  <c r="DV174" i="2"/>
  <c r="EK174" i="2"/>
  <c r="EG147" i="2"/>
  <c r="EQ147" i="2"/>
  <c r="EL129" i="2"/>
  <c r="ED129" i="2"/>
  <c r="EB129" i="2"/>
  <c r="EE129" i="2"/>
  <c r="DW129" i="2"/>
  <c r="EN129" i="2"/>
  <c r="EC35" i="2"/>
  <c r="EG35" i="2"/>
  <c r="EM35" i="2"/>
  <c r="ED35" i="2"/>
  <c r="ER142" i="2"/>
  <c r="EC142" i="2"/>
  <c r="EV26" i="2"/>
  <c r="EE26" i="2"/>
  <c r="DX26" i="2"/>
  <c r="DY26" i="2" s="1"/>
  <c r="EI51" i="2"/>
  <c r="EL51" i="2"/>
  <c r="ED51" i="2"/>
  <c r="DV51" i="2"/>
  <c r="EE112" i="2"/>
  <c r="EB112" i="2"/>
  <c r="EA112" i="2"/>
  <c r="ET112" i="2" s="1"/>
  <c r="ER112" i="2"/>
  <c r="ED84" i="2"/>
  <c r="EO84" i="2"/>
  <c r="EI84" i="2"/>
  <c r="EQ84" i="2"/>
  <c r="EF84" i="2"/>
  <c r="EK84" i="2"/>
  <c r="EH108" i="2"/>
  <c r="EB108" i="2"/>
  <c r="EM108" i="2"/>
  <c r="EJ108" i="2"/>
  <c r="EV108" i="2"/>
  <c r="EO108" i="2"/>
  <c r="DW91" i="2"/>
  <c r="DV91" i="2"/>
  <c r="ES91" i="2"/>
  <c r="EU91" i="2" s="1"/>
  <c r="EI91" i="2"/>
  <c r="EF91" i="2"/>
  <c r="DU91" i="2"/>
  <c r="EA103" i="2"/>
  <c r="ET103" i="2" s="1"/>
  <c r="DU103" i="2"/>
  <c r="EG103" i="2"/>
  <c r="EQ103" i="2"/>
  <c r="EL103" i="2"/>
  <c r="EP103" i="2"/>
  <c r="DZ201" i="2"/>
  <c r="EJ201" i="2"/>
  <c r="EH201" i="2"/>
  <c r="ED201" i="2"/>
  <c r="EM201" i="2"/>
  <c r="DW201" i="2"/>
  <c r="EO201" i="2"/>
  <c r="DV190" i="2"/>
  <c r="EQ190" i="2"/>
  <c r="EF190" i="2"/>
  <c r="EM190" i="2"/>
  <c r="EA190" i="2"/>
  <c r="ET190" i="2" s="1"/>
  <c r="EP79" i="2"/>
  <c r="DX79" i="2"/>
  <c r="DY79" i="2" s="1"/>
  <c r="EO79" i="2"/>
  <c r="EK79" i="2"/>
  <c r="ED79" i="2"/>
  <c r="DU190" i="2"/>
  <c r="EC190" i="2"/>
  <c r="EJ190" i="2"/>
  <c r="EN190" i="2"/>
  <c r="EP190" i="2"/>
  <c r="DZ79" i="2"/>
  <c r="EQ79" i="2"/>
  <c r="DW79" i="2"/>
  <c r="EL79" i="2"/>
  <c r="DU79" i="2"/>
  <c r="EC118" i="2"/>
  <c r="ER118" i="2"/>
  <c r="EV118" i="2"/>
  <c r="EG170" i="2"/>
  <c r="DZ170" i="2"/>
  <c r="EK113" i="2"/>
  <c r="DX113" i="2"/>
  <c r="DY113" i="2" s="1"/>
  <c r="DW113" i="2"/>
  <c r="EG27" i="2"/>
  <c r="EF192" i="2"/>
  <c r="EE192" i="2"/>
  <c r="ER192" i="2"/>
  <c r="EK192" i="2"/>
  <c r="EO107" i="2"/>
  <c r="EE134" i="2"/>
  <c r="EI134" i="2"/>
  <c r="ES134" i="2"/>
  <c r="EU134" i="2" s="1"/>
  <c r="DV63" i="2"/>
  <c r="EM63" i="2"/>
  <c r="ED63" i="2"/>
  <c r="EH63" i="2"/>
  <c r="EG36" i="2"/>
  <c r="EJ50" i="2"/>
  <c r="DV50" i="2"/>
  <c r="DZ50" i="2"/>
  <c r="EF158" i="2"/>
  <c r="EP101" i="2"/>
  <c r="DU101" i="2"/>
  <c r="ES101" i="2"/>
  <c r="EU101" i="2" s="1"/>
  <c r="EK101" i="2"/>
  <c r="ER98" i="2"/>
  <c r="EO98" i="2"/>
  <c r="EK98" i="2"/>
  <c r="DZ152" i="2"/>
  <c r="EO152" i="2"/>
  <c r="DW152" i="2"/>
  <c r="EK135" i="2"/>
  <c r="ED109" i="2"/>
  <c r="EH109" i="2"/>
  <c r="EK109" i="2"/>
  <c r="EI83" i="2"/>
  <c r="EL83" i="2"/>
  <c r="EV83" i="2"/>
  <c r="EO39" i="2"/>
  <c r="DZ76" i="2"/>
  <c r="EL76" i="2"/>
  <c r="EE76" i="2"/>
  <c r="EO77" i="2"/>
  <c r="DV171" i="2"/>
  <c r="EL45" i="2"/>
  <c r="EL88" i="2"/>
  <c r="EQ88" i="2"/>
  <c r="DV67" i="2"/>
  <c r="EN67" i="2"/>
  <c r="EH67" i="2"/>
  <c r="EL199" i="2"/>
  <c r="EN24" i="2"/>
  <c r="EH24" i="2"/>
  <c r="EH166" i="2"/>
  <c r="EN179" i="2"/>
  <c r="DV179" i="2"/>
  <c r="EF179" i="2"/>
  <c r="EB189" i="2"/>
  <c r="EF189" i="2"/>
  <c r="EI189" i="2"/>
  <c r="EM55" i="2"/>
  <c r="EC55" i="2"/>
  <c r="EJ55" i="2"/>
  <c r="EE175" i="2"/>
  <c r="ES175" i="2"/>
  <c r="EU175" i="2" s="1"/>
  <c r="EO175" i="2"/>
  <c r="EE127" i="2"/>
  <c r="ER127" i="2"/>
  <c r="ER138" i="2"/>
  <c r="EO138" i="2"/>
  <c r="EJ182" i="2"/>
  <c r="EF182" i="2"/>
  <c r="EP159" i="2"/>
  <c r="EN159" i="2"/>
  <c r="EI159" i="2"/>
  <c r="EP118" i="2"/>
  <c r="DU118" i="2"/>
  <c r="EQ118" i="2"/>
  <c r="DX118" i="2"/>
  <c r="DY118" i="2" s="1"/>
  <c r="ED170" i="2"/>
  <c r="EP113" i="2"/>
  <c r="DU113" i="2"/>
  <c r="EQ113" i="2"/>
  <c r="EK27" i="2"/>
  <c r="EQ192" i="2"/>
  <c r="ED192" i="2"/>
  <c r="EO192" i="2"/>
  <c r="EQ107" i="2"/>
  <c r="DV134" i="2"/>
  <c r="ER134" i="2"/>
  <c r="EO134" i="2"/>
  <c r="ES63" i="2"/>
  <c r="EU63" i="2" s="1"/>
  <c r="EV63" i="2"/>
  <c r="DW63" i="2"/>
  <c r="ED36" i="2"/>
  <c r="ED50" i="2"/>
  <c r="EF50" i="2"/>
  <c r="EQ50" i="2"/>
  <c r="DZ101" i="2"/>
  <c r="EQ101" i="2"/>
  <c r="EI101" i="2"/>
  <c r="EF98" i="2"/>
  <c r="EC98" i="2"/>
  <c r="EG98" i="2"/>
  <c r="EH152" i="2"/>
  <c r="EL152" i="2"/>
  <c r="DX152" i="2"/>
  <c r="DY152" i="2" s="1"/>
  <c r="EF135" i="2"/>
  <c r="DU109" i="2"/>
  <c r="EA109" i="2"/>
  <c r="ET109" i="2" s="1"/>
  <c r="EL109" i="2"/>
  <c r="EE83" i="2"/>
  <c r="EP83" i="2"/>
  <c r="DZ83" i="2"/>
  <c r="EJ83" i="2"/>
  <c r="ER39" i="2"/>
  <c r="ED76" i="2"/>
  <c r="EA76" i="2"/>
  <c r="ET76" i="2" s="1"/>
  <c r="ES76" i="2"/>
  <c r="EU76" i="2" s="1"/>
  <c r="EB77" i="2"/>
  <c r="EI171" i="2"/>
  <c r="EB45" i="2"/>
  <c r="EB88" i="2"/>
  <c r="EV88" i="2"/>
  <c r="EF67" i="2"/>
  <c r="EJ67" i="2"/>
  <c r="EB67" i="2"/>
  <c r="EM199" i="2"/>
  <c r="EO24" i="2"/>
  <c r="EM24" i="2"/>
  <c r="EJ24" i="2"/>
  <c r="ED179" i="2"/>
  <c r="ER179" i="2"/>
  <c r="DW179" i="2"/>
  <c r="EA189" i="2"/>
  <c r="ET189" i="2" s="1"/>
  <c r="EV189" i="2"/>
  <c r="DU189" i="2"/>
  <c r="EN55" i="2"/>
  <c r="DV55" i="2"/>
  <c r="DW55" i="2"/>
  <c r="EV175" i="2"/>
  <c r="DU175" i="2"/>
  <c r="ED175" i="2"/>
  <c r="EL127" i="2"/>
  <c r="ES127" i="2"/>
  <c r="EU127" i="2" s="1"/>
  <c r="DV138" i="2"/>
  <c r="EL138" i="2"/>
  <c r="ES182" i="2"/>
  <c r="EU182" i="2" s="1"/>
  <c r="EV159" i="2"/>
  <c r="EE159" i="2"/>
  <c r="DX159" i="2"/>
  <c r="DY159" i="2" s="1"/>
  <c r="DZ118" i="2"/>
  <c r="EK118" i="2"/>
  <c r="EH118" i="2"/>
  <c r="DZ113" i="2"/>
  <c r="ES113" i="2"/>
  <c r="EU113" i="2" s="1"/>
  <c r="EN113" i="2"/>
  <c r="EJ192" i="2"/>
  <c r="EG192" i="2"/>
  <c r="EB192" i="2"/>
  <c r="EN134" i="2"/>
  <c r="EF134" i="2"/>
  <c r="EA134" i="2"/>
  <c r="ET134" i="2" s="1"/>
  <c r="EP63" i="2"/>
  <c r="EB63" i="2"/>
  <c r="EO63" i="2"/>
  <c r="ES50" i="2"/>
  <c r="EU50" i="2" s="1"/>
  <c r="EP50" i="2"/>
  <c r="EL50" i="2"/>
  <c r="EO101" i="2"/>
  <c r="EH101" i="2"/>
  <c r="EE101" i="2"/>
  <c r="DW98" i="2"/>
  <c r="ES98" i="2"/>
  <c r="EU98" i="2" s="1"/>
  <c r="DU98" i="2"/>
  <c r="EQ152" i="2"/>
  <c r="ED152" i="2"/>
  <c r="EB152" i="2"/>
  <c r="ER152" i="2"/>
  <c r="EE109" i="2"/>
  <c r="EP109" i="2"/>
  <c r="DW109" i="2"/>
  <c r="EF83" i="2"/>
  <c r="DX83" i="2"/>
  <c r="DY83" i="2" s="1"/>
  <c r="EM83" i="2"/>
  <c r="EI76" i="2"/>
  <c r="EJ76" i="2"/>
  <c r="EQ76" i="2"/>
  <c r="EG88" i="2"/>
  <c r="EF88" i="2"/>
  <c r="DX67" i="2"/>
  <c r="DY67" i="2" s="1"/>
  <c r="EC67" i="2"/>
  <c r="EI67" i="2"/>
  <c r="DU24" i="2"/>
  <c r="DZ24" i="2"/>
  <c r="EQ179" i="2"/>
  <c r="EM179" i="2"/>
  <c r="EA179" i="2"/>
  <c r="ET179" i="2" s="1"/>
  <c r="EL189" i="2"/>
  <c r="DX189" i="2"/>
  <c r="DY189" i="2" s="1"/>
  <c r="DW189" i="2"/>
  <c r="EG55" i="2"/>
  <c r="DZ55" i="2"/>
  <c r="ER55" i="2"/>
  <c r="DV175" i="2"/>
  <c r="EA175" i="2"/>
  <c r="ET175" i="2" s="1"/>
  <c r="EN175" i="2"/>
  <c r="DX127" i="2"/>
  <c r="DY127" i="2" s="1"/>
  <c r="DV127" i="2"/>
  <c r="EP138" i="2"/>
  <c r="EN138" i="2"/>
  <c r="EM182" i="2"/>
  <c r="ES159" i="2"/>
  <c r="EU159" i="2" s="1"/>
  <c r="ER159" i="2"/>
  <c r="EF159" i="2"/>
  <c r="EL118" i="2"/>
  <c r="EN118" i="2"/>
  <c r="EG113" i="2"/>
  <c r="EF113" i="2"/>
  <c r="EH192" i="2"/>
  <c r="EN192" i="2"/>
  <c r="DX134" i="2"/>
  <c r="DY134" i="2" s="1"/>
  <c r="EJ134" i="2"/>
  <c r="EQ63" i="2"/>
  <c r="EJ63" i="2"/>
  <c r="EN50" i="2"/>
  <c r="EV50" i="2"/>
  <c r="EV101" i="2"/>
  <c r="DV101" i="2"/>
  <c r="EE98" i="2"/>
  <c r="EL98" i="2"/>
  <c r="EC152" i="2"/>
  <c r="EA152" i="2"/>
  <c r="ET152" i="2" s="1"/>
  <c r="DZ109" i="2"/>
  <c r="EF109" i="2"/>
  <c r="EG109" i="2"/>
  <c r="EC83" i="2"/>
  <c r="DV83" i="2"/>
  <c r="EH76" i="2"/>
  <c r="DW76" i="2"/>
  <c r="DZ88" i="2"/>
  <c r="EO88" i="2"/>
  <c r="DZ67" i="2"/>
  <c r="EL67" i="2"/>
  <c r="EK24" i="2"/>
  <c r="EE179" i="2"/>
  <c r="EI179" i="2"/>
  <c r="DX179" i="2"/>
  <c r="DY179" i="2" s="1"/>
  <c r="ER189" i="2"/>
  <c r="EJ189" i="2"/>
  <c r="EQ55" i="2"/>
  <c r="EI55" i="2"/>
  <c r="EJ175" i="2"/>
  <c r="EF175" i="2"/>
  <c r="EA127" i="2"/>
  <c r="ET127" i="2" s="1"/>
  <c r="EB159" i="2"/>
  <c r="DW159" i="2"/>
  <c r="EI117" i="2"/>
  <c r="EO117" i="2"/>
  <c r="EA68" i="2"/>
  <c r="ET68" i="2" s="1"/>
  <c r="ER60" i="2"/>
  <c r="EJ117" i="2"/>
  <c r="DZ117" i="2"/>
  <c r="EF117" i="2"/>
  <c r="DX117" i="2"/>
  <c r="DY117" i="2" s="1"/>
  <c r="DX64" i="2"/>
  <c r="DY64" i="2" s="1"/>
  <c r="EJ60" i="2"/>
  <c r="EE60" i="2"/>
  <c r="EA117" i="2"/>
  <c r="ET117" i="2" s="1"/>
  <c r="EH117" i="2"/>
  <c r="DZ60" i="2"/>
  <c r="EL60" i="2"/>
  <c r="EP117" i="2"/>
  <c r="DU117" i="2"/>
  <c r="EG117" i="2"/>
  <c r="EV117" i="2"/>
  <c r="EL117" i="2"/>
  <c r="EK117" i="2"/>
  <c r="DV117" i="2"/>
  <c r="EB117" i="2"/>
  <c r="EC117" i="2"/>
  <c r="EG68" i="2"/>
  <c r="EE68" i="2"/>
  <c r="DU100" i="2"/>
  <c r="EM64" i="2"/>
  <c r="ER64" i="2"/>
  <c r="EA60" i="2"/>
  <c r="ET60" i="2" s="1"/>
  <c r="DV60" i="2"/>
  <c r="DW60" i="2"/>
  <c r="EG60" i="2"/>
  <c r="EH60" i="2"/>
  <c r="EM60" i="2"/>
  <c r="EQ117" i="2"/>
  <c r="ES117" i="2"/>
  <c r="EU117" i="2" s="1"/>
  <c r="EE117" i="2"/>
  <c r="ED117" i="2"/>
  <c r="DW117" i="2"/>
  <c r="ER117" i="2"/>
  <c r="EM117" i="2"/>
  <c r="ER68" i="2"/>
  <c r="DW64" i="2"/>
  <c r="EP60" i="2"/>
  <c r="EO60" i="2"/>
  <c r="DX60" i="2"/>
  <c r="DY60" i="2" s="1"/>
  <c r="ED60" i="2"/>
  <c r="EA64" i="2"/>
  <c r="ET64" i="2" s="1"/>
  <c r="EN64" i="2"/>
  <c r="EB64" i="2"/>
  <c r="ED64" i="2"/>
  <c r="EO96" i="2"/>
  <c r="EC96" i="2"/>
  <c r="DZ58" i="2"/>
  <c r="EA58" i="2"/>
  <c r="ET58" i="2" s="1"/>
  <c r="EO64" i="2"/>
  <c r="EG64" i="2"/>
  <c r="EI64" i="2"/>
  <c r="DW24" i="2"/>
  <c r="EA24" i="2"/>
  <c r="ET24" i="2" s="1"/>
  <c r="EC24" i="2"/>
  <c r="DV24" i="2"/>
  <c r="EG24" i="2"/>
  <c r="EL24" i="2"/>
  <c r="ER24" i="2"/>
  <c r="EB24" i="2"/>
  <c r="EV182" i="2"/>
  <c r="DW182" i="2"/>
  <c r="EN182" i="2"/>
  <c r="ER182" i="2"/>
  <c r="EG182" i="2"/>
  <c r="EI138" i="2"/>
  <c r="DX138" i="2"/>
  <c r="DY138" i="2" s="1"/>
  <c r="DZ138" i="2"/>
  <c r="EF138" i="2"/>
  <c r="EJ138" i="2"/>
  <c r="EE138" i="2"/>
  <c r="DX88" i="2"/>
  <c r="DY88" i="2" s="1"/>
  <c r="EE88" i="2"/>
  <c r="EN88" i="2"/>
  <c r="EM88" i="2"/>
  <c r="ER88" i="2"/>
  <c r="EI88" i="2"/>
  <c r="EJ88" i="2"/>
  <c r="DV88" i="2"/>
  <c r="DZ64" i="2"/>
  <c r="EE64" i="2"/>
  <c r="EL64" i="2"/>
  <c r="EK64" i="2"/>
  <c r="EC64" i="2"/>
  <c r="DV64" i="2"/>
  <c r="ES64" i="2"/>
  <c r="EU64" i="2" s="1"/>
  <c r="EQ64" i="2"/>
  <c r="EP64" i="2"/>
  <c r="EP150" i="2"/>
  <c r="EF150" i="2"/>
  <c r="DX150" i="2"/>
  <c r="DY150" i="2" s="1"/>
  <c r="EH150" i="2"/>
  <c r="ER150" i="2"/>
  <c r="EQ150" i="2"/>
  <c r="EC150" i="2"/>
  <c r="EN150" i="2"/>
  <c r="EO150" i="2"/>
  <c r="EH26" i="2"/>
  <c r="DV26" i="2"/>
  <c r="EJ26" i="2"/>
  <c r="EQ26" i="2"/>
  <c r="ED26" i="2"/>
  <c r="EV64" i="2"/>
  <c r="EJ64" i="2"/>
  <c r="EH64" i="2"/>
  <c r="DU64" i="2"/>
  <c r="EB60" i="2"/>
  <c r="EC60" i="2"/>
  <c r="EQ60" i="2"/>
  <c r="EK60" i="2"/>
  <c r="EI60" i="2"/>
  <c r="EF60" i="2"/>
  <c r="EN60" i="2"/>
  <c r="EV60" i="2"/>
  <c r="ES60" i="2"/>
  <c r="EU60" i="2" s="1"/>
  <c r="EP62" i="2"/>
  <c r="EA62" i="2"/>
  <c r="ET62" i="2" s="1"/>
  <c r="EN62" i="2"/>
  <c r="ER62" i="2"/>
  <c r="EJ62" i="2"/>
  <c r="DZ62" i="2"/>
  <c r="EV42" i="2"/>
  <c r="EQ42" i="2"/>
  <c r="EF42" i="2"/>
  <c r="DU42" i="2"/>
  <c r="EB42" i="2"/>
  <c r="EP42" i="2"/>
  <c r="EI132" i="2"/>
  <c r="EO132" i="2"/>
  <c r="EE132" i="2"/>
  <c r="EH132" i="2"/>
  <c r="EM132" i="2"/>
  <c r="EQ132" i="2"/>
  <c r="DV132" i="2"/>
  <c r="DX132" i="2"/>
  <c r="DY132" i="2" s="1"/>
  <c r="DU12" i="2"/>
  <c r="DW102" i="2"/>
  <c r="DZ37" i="2"/>
  <c r="EP153" i="2"/>
  <c r="EG194" i="2"/>
  <c r="DZ15" i="2"/>
  <c r="DV38" i="2"/>
  <c r="EK168" i="2"/>
  <c r="EH102" i="2"/>
  <c r="EC104" i="2"/>
  <c r="EP37" i="2"/>
  <c r="EE153" i="2"/>
  <c r="EP200" i="2"/>
  <c r="EN15" i="2"/>
  <c r="DW38" i="2"/>
  <c r="EE168" i="2"/>
  <c r="DX104" i="2"/>
  <c r="DY104" i="2" s="1"/>
  <c r="EA37" i="2"/>
  <c r="ET37" i="2" s="1"/>
  <c r="EE200" i="2"/>
  <c r="EH38" i="2"/>
  <c r="EH168" i="2"/>
  <c r="EF44" i="2"/>
  <c r="EJ104" i="2"/>
  <c r="EC37" i="2"/>
  <c r="EN200" i="2"/>
  <c r="ER177" i="2"/>
  <c r="EG167" i="2"/>
  <c r="DV102" i="2"/>
  <c r="EH56" i="2"/>
  <c r="EV187" i="2"/>
  <c r="EQ46" i="2"/>
  <c r="EP104" i="2"/>
  <c r="EK37" i="2"/>
  <c r="DV153" i="2"/>
  <c r="EL200" i="2"/>
  <c r="EA80" i="2"/>
  <c r="ET80" i="2" s="1"/>
  <c r="EI177" i="2"/>
  <c r="DZ194" i="2"/>
  <c r="EG130" i="2"/>
  <c r="DU139" i="2"/>
  <c r="EQ15" i="2"/>
  <c r="EQ34" i="2"/>
  <c r="ED38" i="2"/>
  <c r="EN89" i="2"/>
  <c r="ER181" i="2"/>
  <c r="EF53" i="2"/>
  <c r="EP58" i="2"/>
  <c r="DZ121" i="2"/>
  <c r="EP136" i="2"/>
  <c r="EL102" i="2"/>
  <c r="DX187" i="2"/>
  <c r="DY187" i="2" s="1"/>
  <c r="ER46" i="2"/>
  <c r="EE104" i="2"/>
  <c r="EM162" i="2"/>
  <c r="EV37" i="2"/>
  <c r="EE32" i="2"/>
  <c r="EH153" i="2"/>
  <c r="ES120" i="2"/>
  <c r="EU120" i="2" s="1"/>
  <c r="DW200" i="2"/>
  <c r="EM80" i="2"/>
  <c r="ES177" i="2"/>
  <c r="EU177" i="2" s="1"/>
  <c r="EM97" i="2"/>
  <c r="ER139" i="2"/>
  <c r="ES15" i="2"/>
  <c r="EU15" i="2" s="1"/>
  <c r="DX34" i="2"/>
  <c r="DY34" i="2" s="1"/>
  <c r="EQ38" i="2"/>
  <c r="EV89" i="2"/>
  <c r="DU181" i="2"/>
  <c r="ES53" i="2"/>
  <c r="EU53" i="2" s="1"/>
  <c r="EG53" i="2"/>
  <c r="ED58" i="2"/>
  <c r="DV154" i="2"/>
  <c r="DV121" i="2"/>
  <c r="DW161" i="2"/>
  <c r="EP86" i="2"/>
  <c r="EG131" i="2"/>
  <c r="EG187" i="2"/>
  <c r="EO46" i="2"/>
  <c r="EK104" i="2"/>
  <c r="EC162" i="2"/>
  <c r="EB37" i="2"/>
  <c r="EH32" i="2"/>
  <c r="ER153" i="2"/>
  <c r="DV120" i="2"/>
  <c r="EJ200" i="2"/>
  <c r="EE80" i="2"/>
  <c r="EH177" i="2"/>
  <c r="EF97" i="2"/>
  <c r="EE126" i="2"/>
  <c r="EL15" i="2"/>
  <c r="EN34" i="2"/>
  <c r="EA38" i="2"/>
  <c r="ET38" i="2" s="1"/>
  <c r="EK181" i="2"/>
  <c r="EB53" i="2"/>
  <c r="DU58" i="2"/>
  <c r="EO154" i="2"/>
  <c r="EA96" i="2"/>
  <c r="ET96" i="2" s="1"/>
  <c r="EJ121" i="2"/>
  <c r="ES161" i="2"/>
  <c r="EU161" i="2" s="1"/>
  <c r="A11" i="1"/>
  <c r="EI71" i="2"/>
  <c r="EE18" i="2"/>
  <c r="EN71" i="2"/>
  <c r="ER18" i="2"/>
  <c r="EI18" i="2"/>
  <c r="L7" i="9"/>
  <c r="DV9" i="2"/>
  <c r="DZ71" i="2"/>
  <c r="DX18" i="2"/>
  <c r="DY18" i="2" s="1"/>
  <c r="ES71" i="2"/>
  <c r="EU71" i="2" s="1"/>
  <c r="ES102" i="2"/>
  <c r="EU102" i="2" s="1"/>
  <c r="EM187" i="2"/>
  <c r="EQ104" i="2"/>
  <c r="EQ37" i="2"/>
  <c r="EK153" i="2"/>
  <c r="EH200" i="2"/>
  <c r="EO177" i="2"/>
  <c r="EP177" i="2"/>
  <c r="EM194" i="2"/>
  <c r="EL130" i="2"/>
  <c r="EH15" i="2"/>
  <c r="DX15" i="2"/>
  <c r="DY15" i="2" s="1"/>
  <c r="EJ38" i="2"/>
  <c r="EC38" i="2"/>
  <c r="EC181" i="2"/>
  <c r="EA181" i="2"/>
  <c r="ET181" i="2" s="1"/>
  <c r="EP168" i="2"/>
  <c r="DX168" i="2"/>
  <c r="DY168" i="2" s="1"/>
  <c r="EV154" i="2"/>
  <c r="EJ154" i="2"/>
  <c r="EJ44" i="2"/>
  <c r="DW136" i="2"/>
  <c r="EQ102" i="2"/>
  <c r="EJ102" i="2"/>
  <c r="DZ187" i="2"/>
  <c r="EI187" i="2"/>
  <c r="ED104" i="2"/>
  <c r="EF37" i="2"/>
  <c r="DZ153" i="2"/>
  <c r="DZ200" i="2"/>
  <c r="EK200" i="2"/>
  <c r="EG177" i="2"/>
  <c r="EV177" i="2"/>
  <c r="EF194" i="2"/>
  <c r="EM130" i="2"/>
  <c r="EP130" i="2"/>
  <c r="EK15" i="2"/>
  <c r="EB15" i="2"/>
  <c r="EK38" i="2"/>
  <c r="EI181" i="2"/>
  <c r="DX181" i="2"/>
  <c r="DY181" i="2" s="1"/>
  <c r="EC168" i="2"/>
  <c r="EA168" i="2"/>
  <c r="ET168" i="2" s="1"/>
  <c r="EC154" i="2"/>
  <c r="EQ44" i="2"/>
  <c r="DW61" i="2"/>
  <c r="EB12" i="2"/>
  <c r="EP102" i="2"/>
  <c r="EK102" i="2"/>
  <c r="EE187" i="2"/>
  <c r="EO187" i="2"/>
  <c r="DU104" i="2"/>
  <c r="EM104" i="2"/>
  <c r="ED37" i="2"/>
  <c r="DX153" i="2"/>
  <c r="DY153" i="2" s="1"/>
  <c r="EC200" i="2"/>
  <c r="EF200" i="2"/>
  <c r="EC177" i="2"/>
  <c r="EK177" i="2"/>
  <c r="EB194" i="2"/>
  <c r="EJ130" i="2"/>
  <c r="EO15" i="2"/>
  <c r="DU15" i="2"/>
  <c r="EN38" i="2"/>
  <c r="EO181" i="2"/>
  <c r="DU168" i="2"/>
  <c r="EN168" i="2"/>
  <c r="EF154" i="2"/>
  <c r="EH82" i="2"/>
  <c r="ED86" i="2"/>
  <c r="ED131" i="2"/>
  <c r="EV61" i="2"/>
  <c r="DU102" i="2"/>
  <c r="EA187" i="2"/>
  <c r="ET187" i="2" s="1"/>
  <c r="EJ187" i="2"/>
  <c r="EV104" i="2"/>
  <c r="EH104" i="2"/>
  <c r="DV37" i="2"/>
  <c r="EI37" i="2"/>
  <c r="DW153" i="2"/>
  <c r="EB153" i="2"/>
  <c r="EQ200" i="2"/>
  <c r="ED200" i="2"/>
  <c r="EL177" i="2"/>
  <c r="EA194" i="2"/>
  <c r="ET194" i="2" s="1"/>
  <c r="EK130" i="2"/>
  <c r="EJ15" i="2"/>
  <c r="ES38" i="2"/>
  <c r="EU38" i="2" s="1"/>
  <c r="ER38" i="2"/>
  <c r="EV167" i="2"/>
  <c r="DV181" i="2"/>
  <c r="EI168" i="2"/>
  <c r="EI154" i="2"/>
  <c r="EN154" i="2"/>
  <c r="EV131" i="2"/>
  <c r="EI166" i="2"/>
  <c r="EQ166" i="2"/>
  <c r="EC166" i="2"/>
  <c r="EA166" i="2"/>
  <c r="ET166" i="2" s="1"/>
  <c r="EK166" i="2"/>
  <c r="EC28" i="2"/>
  <c r="DZ28" i="2"/>
  <c r="DW28" i="2"/>
  <c r="ED28" i="2"/>
  <c r="DV186" i="2"/>
  <c r="EO186" i="2"/>
  <c r="EF186" i="2"/>
  <c r="EH186" i="2"/>
  <c r="ES186" i="2"/>
  <c r="EU186" i="2" s="1"/>
  <c r="EJ148" i="2"/>
  <c r="DX148" i="2"/>
  <c r="DY148" i="2" s="1"/>
  <c r="DU148" i="2"/>
  <c r="EA148" i="2"/>
  <c r="ET148" i="2" s="1"/>
  <c r="EM148" i="2"/>
  <c r="EB25" i="2"/>
  <c r="ER25" i="2"/>
  <c r="EA25" i="2"/>
  <c r="ET25" i="2" s="1"/>
  <c r="EI124" i="2"/>
  <c r="EE124" i="2"/>
  <c r="EO124" i="2"/>
  <c r="DW124" i="2"/>
  <c r="DW87" i="2"/>
  <c r="ED87" i="2"/>
  <c r="EF87" i="2"/>
  <c r="EO87" i="2"/>
  <c r="EV87" i="2"/>
  <c r="EP87" i="2"/>
  <c r="DU87" i="2"/>
  <c r="DV87" i="2"/>
  <c r="EJ87" i="2"/>
  <c r="EK70" i="2"/>
  <c r="EA70" i="2"/>
  <c r="ET70" i="2" s="1"/>
  <c r="DZ70" i="2"/>
  <c r="DX70" i="2"/>
  <c r="DY70" i="2" s="1"/>
  <c r="EP70" i="2"/>
  <c r="DU69" i="2"/>
  <c r="EA69" i="2"/>
  <c r="ET69" i="2" s="1"/>
  <c r="ES69" i="2"/>
  <c r="EU69" i="2" s="1"/>
  <c r="DU183" i="2"/>
  <c r="DV183" i="2"/>
  <c r="EC183" i="2"/>
  <c r="EQ196" i="2"/>
  <c r="EF196" i="2"/>
  <c r="EI196" i="2"/>
  <c r="DW196" i="2"/>
  <c r="EJ196" i="2"/>
  <c r="EH196" i="2"/>
  <c r="EK196" i="2"/>
  <c r="DV196" i="2"/>
  <c r="DZ196" i="2"/>
  <c r="EN196" i="2"/>
  <c r="EL196" i="2"/>
  <c r="EG196" i="2"/>
  <c r="EV196" i="2"/>
  <c r="ER196" i="2"/>
  <c r="EE196" i="2"/>
  <c r="EV135" i="2"/>
  <c r="EA135" i="2"/>
  <c r="ET135" i="2" s="1"/>
  <c r="DZ135" i="2"/>
  <c r="EJ135" i="2"/>
  <c r="EN135" i="2"/>
  <c r="EL135" i="2"/>
  <c r="EM135" i="2"/>
  <c r="ED135" i="2"/>
  <c r="ES135" i="2"/>
  <c r="EU135" i="2" s="1"/>
  <c r="DW135" i="2"/>
  <c r="EH135" i="2"/>
  <c r="EF170" i="2"/>
  <c r="EC170" i="2"/>
  <c r="EN170" i="2"/>
  <c r="EI170" i="2"/>
  <c r="DU170" i="2"/>
  <c r="ES170" i="2"/>
  <c r="EU170" i="2" s="1"/>
  <c r="EH170" i="2"/>
  <c r="EJ170" i="2"/>
  <c r="DV170" i="2"/>
  <c r="EB170" i="2"/>
  <c r="DW170" i="2"/>
  <c r="ER170" i="2"/>
  <c r="EP170" i="2"/>
  <c r="EA170" i="2"/>
  <c r="ET170" i="2" s="1"/>
  <c r="EK170" i="2"/>
  <c r="DU27" i="2"/>
  <c r="ED27" i="2"/>
  <c r="EC27" i="2"/>
  <c r="EB27" i="2"/>
  <c r="DW27" i="2"/>
  <c r="DX27" i="2"/>
  <c r="DY27" i="2" s="1"/>
  <c r="EI27" i="2"/>
  <c r="EJ27" i="2"/>
  <c r="EN27" i="2"/>
  <c r="DZ27" i="2"/>
  <c r="EE27" i="2"/>
  <c r="EA27" i="2"/>
  <c r="ET27" i="2" s="1"/>
  <c r="EF27" i="2"/>
  <c r="DV27" i="2"/>
  <c r="EM27" i="2"/>
  <c r="EV107" i="2"/>
  <c r="EA107" i="2"/>
  <c r="ET107" i="2" s="1"/>
  <c r="EI107" i="2"/>
  <c r="EC107" i="2"/>
  <c r="EK107" i="2"/>
  <c r="ED107" i="2"/>
  <c r="EE107" i="2"/>
  <c r="EN107" i="2"/>
  <c r="EH107" i="2"/>
  <c r="EB107" i="2"/>
  <c r="EM107" i="2"/>
  <c r="EL107" i="2"/>
  <c r="ER107" i="2"/>
  <c r="DZ107" i="2"/>
  <c r="DX107" i="2"/>
  <c r="DY107" i="2" s="1"/>
  <c r="EF107" i="2"/>
  <c r="ES107" i="2"/>
  <c r="EU107" i="2" s="1"/>
  <c r="EJ107" i="2"/>
  <c r="DW107" i="2"/>
  <c r="EB13" i="2"/>
  <c r="DU13" i="2"/>
  <c r="DU36" i="2"/>
  <c r="DX36" i="2"/>
  <c r="DY36" i="2" s="1"/>
  <c r="EF36" i="2"/>
  <c r="EP36" i="2"/>
  <c r="DW36" i="2"/>
  <c r="EB36" i="2"/>
  <c r="DZ36" i="2"/>
  <c r="EV36" i="2"/>
  <c r="EL36" i="2"/>
  <c r="DV36" i="2"/>
  <c r="EE36" i="2"/>
  <c r="EC36" i="2"/>
  <c r="ER36" i="2"/>
  <c r="EQ36" i="2"/>
  <c r="EH36" i="2"/>
  <c r="EN36" i="2"/>
  <c r="EK36" i="2"/>
  <c r="EJ36" i="2"/>
  <c r="EA36" i="2"/>
  <c r="ET36" i="2" s="1"/>
  <c r="EE158" i="2"/>
  <c r="ES158" i="2"/>
  <c r="EU158" i="2" s="1"/>
  <c r="DU158" i="2"/>
  <c r="ED158" i="2"/>
  <c r="EG158" i="2"/>
  <c r="EQ158" i="2"/>
  <c r="EM158" i="2"/>
  <c r="EK158" i="2"/>
  <c r="EA158" i="2"/>
  <c r="ET158" i="2" s="1"/>
  <c r="DW158" i="2"/>
  <c r="EL158" i="2"/>
  <c r="EN158" i="2"/>
  <c r="EO158" i="2"/>
  <c r="EH158" i="2"/>
  <c r="DX158" i="2"/>
  <c r="DY158" i="2" s="1"/>
  <c r="EJ158" i="2"/>
  <c r="ER158" i="2"/>
  <c r="EV158" i="2"/>
  <c r="DU31" i="2"/>
  <c r="EH31" i="2"/>
  <c r="DV31" i="2"/>
  <c r="EK31" i="2"/>
  <c r="EF31" i="2"/>
  <c r="DW31" i="2"/>
  <c r="EP31" i="2"/>
  <c r="EI31" i="2"/>
  <c r="EA31" i="2"/>
  <c r="ET31" i="2" s="1"/>
  <c r="EO31" i="2"/>
  <c r="EN31" i="2"/>
  <c r="EE31" i="2"/>
  <c r="ED31" i="2"/>
  <c r="EB31" i="2"/>
  <c r="ES31" i="2"/>
  <c r="EU31" i="2" s="1"/>
  <c r="EL31" i="2"/>
  <c r="EG31" i="2"/>
  <c r="EQ31" i="2"/>
  <c r="EM31" i="2"/>
  <c r="EH39" i="2"/>
  <c r="DW39" i="2"/>
  <c r="EQ39" i="2"/>
  <c r="EE39" i="2"/>
  <c r="DU39" i="2"/>
  <c r="DZ39" i="2"/>
  <c r="DX39" i="2"/>
  <c r="DY39" i="2" s="1"/>
  <c r="ED39" i="2"/>
  <c r="EB39" i="2"/>
  <c r="EP39" i="2"/>
  <c r="EM39" i="2"/>
  <c r="EL39" i="2"/>
  <c r="EG39" i="2"/>
  <c r="EF39" i="2"/>
  <c r="EK39" i="2"/>
  <c r="ES39" i="2"/>
  <c r="EU39" i="2" s="1"/>
  <c r="EC39" i="2"/>
  <c r="DV39" i="2"/>
  <c r="EI39" i="2"/>
  <c r="ER77" i="2"/>
  <c r="EH77" i="2"/>
  <c r="EL77" i="2"/>
  <c r="EN77" i="2"/>
  <c r="EF77" i="2"/>
  <c r="EQ77" i="2"/>
  <c r="DW77" i="2"/>
  <c r="DU77" i="2"/>
  <c r="EA77" i="2"/>
  <c r="ET77" i="2" s="1"/>
  <c r="EV77" i="2"/>
  <c r="DV77" i="2"/>
  <c r="ES77" i="2"/>
  <c r="EU77" i="2" s="1"/>
  <c r="EI77" i="2"/>
  <c r="EJ77" i="2"/>
  <c r="EM77" i="2"/>
  <c r="EE77" i="2"/>
  <c r="EG77" i="2"/>
  <c r="EK77" i="2"/>
  <c r="DW199" i="2"/>
  <c r="EC199" i="2"/>
  <c r="EA199" i="2"/>
  <c r="ET199" i="2" s="1"/>
  <c r="EE199" i="2"/>
  <c r="EF199" i="2"/>
  <c r="DX199" i="2"/>
  <c r="DY199" i="2" s="1"/>
  <c r="EQ199" i="2"/>
  <c r="EK199" i="2"/>
  <c r="EI199" i="2"/>
  <c r="EV199" i="2"/>
  <c r="DU199" i="2"/>
  <c r="EP199" i="2"/>
  <c r="EN199" i="2"/>
  <c r="EO199" i="2"/>
  <c r="ER199" i="2"/>
  <c r="ED199" i="2"/>
  <c r="ES199" i="2"/>
  <c r="EU199" i="2" s="1"/>
  <c r="EJ199" i="2"/>
  <c r="DZ199" i="2"/>
  <c r="EH171" i="2"/>
  <c r="EV171" i="2"/>
  <c r="EB171" i="2"/>
  <c r="EO171" i="2"/>
  <c r="ES171" i="2"/>
  <c r="EU171" i="2" s="1"/>
  <c r="EE171" i="2"/>
  <c r="EL171" i="2"/>
  <c r="EF171" i="2"/>
  <c r="DZ171" i="2"/>
  <c r="ED171" i="2"/>
  <c r="EK171" i="2"/>
  <c r="EN171" i="2"/>
  <c r="EC171" i="2"/>
  <c r="EA171" i="2"/>
  <c r="ET171" i="2" s="1"/>
  <c r="EG171" i="2"/>
  <c r="EJ171" i="2"/>
  <c r="EQ171" i="2"/>
  <c r="DX171" i="2"/>
  <c r="DY171" i="2" s="1"/>
  <c r="DW171" i="2"/>
  <c r="ER45" i="2"/>
  <c r="EJ45" i="2"/>
  <c r="EK45" i="2"/>
  <c r="EF45" i="2"/>
  <c r="DW45" i="2"/>
  <c r="EQ45" i="2"/>
  <c r="DX45" i="2"/>
  <c r="DY45" i="2" s="1"/>
  <c r="EN45" i="2"/>
  <c r="DV45" i="2"/>
  <c r="EP45" i="2"/>
  <c r="EO45" i="2"/>
  <c r="EA45" i="2"/>
  <c r="ET45" i="2" s="1"/>
  <c r="EV45" i="2"/>
  <c r="DZ45" i="2"/>
  <c r="EC45" i="2"/>
  <c r="EG45" i="2"/>
  <c r="ES45" i="2"/>
  <c r="EU45" i="2" s="1"/>
  <c r="ED45" i="2"/>
  <c r="EK184" i="2"/>
  <c r="ES184" i="2"/>
  <c r="EU184" i="2" s="1"/>
  <c r="DW95" i="2"/>
  <c r="EB95" i="2"/>
  <c r="EJ30" i="2"/>
  <c r="EG30" i="2"/>
  <c r="ER94" i="2"/>
  <c r="EM94" i="2"/>
  <c r="EO127" i="2"/>
  <c r="EG127" i="2"/>
  <c r="DU127" i="2"/>
  <c r="EC127" i="2"/>
  <c r="ED127" i="2"/>
  <c r="EF127" i="2"/>
  <c r="EB127" i="2"/>
  <c r="DW127" i="2"/>
  <c r="EP182" i="2"/>
  <c r="EC182" i="2"/>
  <c r="DV182" i="2"/>
  <c r="DU182" i="2"/>
  <c r="EL182" i="2"/>
  <c r="DX182" i="2"/>
  <c r="DY182" i="2" s="1"/>
  <c r="EK182" i="2"/>
  <c r="EI182" i="2"/>
  <c r="EB182" i="2"/>
  <c r="EN183" i="2"/>
  <c r="DX183" i="2"/>
  <c r="DY183" i="2" s="1"/>
  <c r="EC138" i="2"/>
  <c r="EH138" i="2"/>
  <c r="EB138" i="2"/>
  <c r="EG138" i="2"/>
  <c r="ES138" i="2"/>
  <c r="EU138" i="2" s="1"/>
  <c r="EM138" i="2"/>
  <c r="EV138" i="2"/>
  <c r="EA138" i="2"/>
  <c r="ET138" i="2" s="1"/>
  <c r="DZ73" i="2"/>
  <c r="EI73" i="2"/>
  <c r="ES78" i="2"/>
  <c r="EU78" i="2" s="1"/>
  <c r="DW78" i="2"/>
  <c r="EN35" i="2"/>
  <c r="ES35" i="2"/>
  <c r="EU35" i="2" s="1"/>
  <c r="DU35" i="2"/>
  <c r="EA35" i="2"/>
  <c r="ET35" i="2" s="1"/>
  <c r="EE35" i="2"/>
  <c r="EF35" i="2"/>
  <c r="EK35" i="2"/>
  <c r="EL35" i="2"/>
  <c r="EK26" i="2"/>
  <c r="EB26" i="2"/>
  <c r="DW26" i="2"/>
  <c r="EG26" i="2"/>
  <c r="EA26" i="2"/>
  <c r="ET26" i="2" s="1"/>
  <c r="EF26" i="2"/>
  <c r="DU26" i="2"/>
  <c r="EI26" i="2"/>
  <c r="EC51" i="2"/>
  <c r="DZ51" i="2"/>
  <c r="ES51" i="2"/>
  <c r="EU51" i="2" s="1"/>
  <c r="DW51" i="2"/>
  <c r="EQ51" i="2"/>
  <c r="EO51" i="2"/>
  <c r="EA51" i="2"/>
  <c r="ET51" i="2" s="1"/>
  <c r="EG51" i="2"/>
  <c r="EJ51" i="2"/>
  <c r="EC62" i="2"/>
  <c r="EK62" i="2"/>
  <c r="EH62" i="2"/>
  <c r="ED62" i="2"/>
  <c r="EV62" i="2"/>
  <c r="EQ62" i="2"/>
  <c r="EF62" i="2"/>
  <c r="DV62" i="2"/>
  <c r="EE62" i="2"/>
  <c r="EN42" i="2"/>
  <c r="ES42" i="2"/>
  <c r="EU42" i="2" s="1"/>
  <c r="EI42" i="2"/>
  <c r="DX42" i="2"/>
  <c r="DY42" i="2" s="1"/>
  <c r="ED42" i="2"/>
  <c r="EH42" i="2"/>
  <c r="DW42" i="2"/>
  <c r="DV42" i="2"/>
  <c r="DZ198" i="2"/>
  <c r="EO198" i="2"/>
  <c r="EA198" i="2"/>
  <c r="ET198" i="2" s="1"/>
  <c r="DX198" i="2"/>
  <c r="DY198" i="2" s="1"/>
  <c r="EV198" i="2"/>
  <c r="ER198" i="2"/>
  <c r="EL198" i="2"/>
  <c r="DV198" i="2"/>
  <c r="EI198" i="2"/>
  <c r="DW12" i="2"/>
  <c r="DX12" i="2" s="1"/>
  <c r="DY12" i="2" s="1"/>
  <c r="DZ102" i="2"/>
  <c r="EC102" i="2"/>
  <c r="EF102" i="2"/>
  <c r="EA102" i="2"/>
  <c r="ET102" i="2" s="1"/>
  <c r="EL187" i="2"/>
  <c r="EK187" i="2"/>
  <c r="ER187" i="2"/>
  <c r="DZ104" i="2"/>
  <c r="EG104" i="2"/>
  <c r="DV104" i="2"/>
  <c r="ES104" i="2"/>
  <c r="EU104" i="2" s="1"/>
  <c r="EO37" i="2"/>
  <c r="EG37" i="2"/>
  <c r="EN37" i="2"/>
  <c r="EJ153" i="2"/>
  <c r="EF153" i="2"/>
  <c r="EO153" i="2"/>
  <c r="EA200" i="2"/>
  <c r="ET200" i="2" s="1"/>
  <c r="ER200" i="2"/>
  <c r="EO200" i="2"/>
  <c r="DV177" i="2"/>
  <c r="EQ177" i="2"/>
  <c r="DX177" i="2"/>
  <c r="DY177" i="2" s="1"/>
  <c r="EC194" i="2"/>
  <c r="EJ194" i="2"/>
  <c r="DU130" i="2"/>
  <c r="EB130" i="2"/>
  <c r="DW15" i="2"/>
  <c r="EV15" i="2"/>
  <c r="ER15" i="2"/>
  <c r="EA15" i="2"/>
  <c r="ET15" i="2" s="1"/>
  <c r="EB38" i="2"/>
  <c r="DU38" i="2"/>
  <c r="EO38" i="2"/>
  <c r="ED181" i="2"/>
  <c r="ES181" i="2"/>
  <c r="EU181" i="2" s="1"/>
  <c r="EM181" i="2"/>
  <c r="EQ168" i="2"/>
  <c r="EL168" i="2"/>
  <c r="ER168" i="2"/>
  <c r="EP154" i="2"/>
  <c r="ER154" i="2"/>
  <c r="EB154" i="2"/>
  <c r="DZ154" i="2"/>
  <c r="DU184" i="2"/>
  <c r="EG61" i="2"/>
  <c r="DX102" i="2"/>
  <c r="DY102" i="2" s="1"/>
  <c r="ED102" i="2"/>
  <c r="EO102" i="2"/>
  <c r="ES187" i="2"/>
  <c r="EU187" i="2" s="1"/>
  <c r="EN187" i="2"/>
  <c r="DV187" i="2"/>
  <c r="EI104" i="2"/>
  <c r="EO104" i="2"/>
  <c r="DW104" i="2"/>
  <c r="DW37" i="2"/>
  <c r="EM37" i="2"/>
  <c r="EL37" i="2"/>
  <c r="EJ37" i="2"/>
  <c r="EL153" i="2"/>
  <c r="ED153" i="2"/>
  <c r="EM153" i="2"/>
  <c r="EC153" i="2"/>
  <c r="DV200" i="2"/>
  <c r="EV200" i="2"/>
  <c r="EI200" i="2"/>
  <c r="EE177" i="2"/>
  <c r="DW177" i="2"/>
  <c r="EM177" i="2"/>
  <c r="DW194" i="2"/>
  <c r="DX194" i="2"/>
  <c r="DY194" i="2" s="1"/>
  <c r="DW130" i="2"/>
  <c r="ES130" i="2"/>
  <c r="EU130" i="2" s="1"/>
  <c r="EV130" i="2"/>
  <c r="EE15" i="2"/>
  <c r="ED15" i="2"/>
  <c r="EP15" i="2"/>
  <c r="EV38" i="2"/>
  <c r="EE38" i="2"/>
  <c r="EM38" i="2"/>
  <c r="ED167" i="2"/>
  <c r="EE181" i="2"/>
  <c r="EH181" i="2"/>
  <c r="EN181" i="2"/>
  <c r="EM168" i="2"/>
  <c r="EJ168" i="2"/>
  <c r="DW168" i="2"/>
  <c r="EM154" i="2"/>
  <c r="EQ154" i="2"/>
  <c r="EE154" i="2"/>
  <c r="EI82" i="2"/>
  <c r="EV86" i="2"/>
  <c r="EA61" i="2"/>
  <c r="ET61" i="2" s="1"/>
  <c r="EV102" i="2"/>
  <c r="EM102" i="2"/>
  <c r="ER102" i="2"/>
  <c r="DU187" i="2"/>
  <c r="EB187" i="2"/>
  <c r="ED187" i="2"/>
  <c r="EB104" i="2"/>
  <c r="EL104" i="2"/>
  <c r="ER104" i="2"/>
  <c r="DX37" i="2"/>
  <c r="DY37" i="2" s="1"/>
  <c r="ER37" i="2"/>
  <c r="EE37" i="2"/>
  <c r="EA153" i="2"/>
  <c r="ET153" i="2" s="1"/>
  <c r="EI153" i="2"/>
  <c r="ES153" i="2"/>
  <c r="EU153" i="2" s="1"/>
  <c r="EG200" i="2"/>
  <c r="EM200" i="2"/>
  <c r="EB200" i="2"/>
  <c r="ED177" i="2"/>
  <c r="EF177" i="2"/>
  <c r="EA177" i="2"/>
  <c r="ET177" i="2" s="1"/>
  <c r="EO194" i="2"/>
  <c r="EE194" i="2"/>
  <c r="EL194" i="2"/>
  <c r="DZ130" i="2"/>
  <c r="EH130" i="2"/>
  <c r="EN130" i="2"/>
  <c r="DV15" i="2"/>
  <c r="EM15" i="2"/>
  <c r="EG15" i="2"/>
  <c r="EG38" i="2"/>
  <c r="EL38" i="2"/>
  <c r="DX38" i="2"/>
  <c r="DY38" i="2" s="1"/>
  <c r="EQ167" i="2"/>
  <c r="EB181" i="2"/>
  <c r="DW181" i="2"/>
  <c r="EQ181" i="2"/>
  <c r="DZ168" i="2"/>
  <c r="EB168" i="2"/>
  <c r="EO168" i="2"/>
  <c r="ED168" i="2"/>
  <c r="EG154" i="2"/>
  <c r="ED154" i="2"/>
  <c r="DW154" i="2"/>
  <c r="EN82" i="2"/>
  <c r="EB102" i="2"/>
  <c r="EN102" i="2"/>
  <c r="EP187" i="2"/>
  <c r="EF187" i="2"/>
  <c r="EA104" i="2"/>
  <c r="ET104" i="2" s="1"/>
  <c r="EF104" i="2"/>
  <c r="EH37" i="2"/>
  <c r="ES37" i="2"/>
  <c r="EU37" i="2" s="1"/>
  <c r="EV153" i="2"/>
  <c r="EQ153" i="2"/>
  <c r="ES200" i="2"/>
  <c r="EU200" i="2" s="1"/>
  <c r="DU200" i="2"/>
  <c r="EB177" i="2"/>
  <c r="EJ177" i="2"/>
  <c r="EH194" i="2"/>
  <c r="ED194" i="2"/>
  <c r="EP194" i="2"/>
  <c r="DX130" i="2"/>
  <c r="DY130" i="2" s="1"/>
  <c r="EI15" i="2"/>
  <c r="EF15" i="2"/>
  <c r="EP38" i="2"/>
  <c r="EI38" i="2"/>
  <c r="EG181" i="2"/>
  <c r="EL181" i="2"/>
  <c r="ES168" i="2"/>
  <c r="EU168" i="2" s="1"/>
  <c r="EV168" i="2"/>
  <c r="EA154" i="2"/>
  <c r="ET154" i="2" s="1"/>
  <c r="EK154" i="2"/>
  <c r="EJ100" i="2"/>
  <c r="EQ100" i="2"/>
  <c r="DZ100" i="2"/>
  <c r="EC125" i="2"/>
  <c r="EG125" i="2"/>
  <c r="EA125" i="2"/>
  <c r="ET125" i="2" s="1"/>
  <c r="ED125" i="2"/>
  <c r="DV164" i="2"/>
  <c r="ED164" i="2"/>
  <c r="EK164" i="2"/>
  <c r="EB164" i="2"/>
  <c r="DZ164" i="2"/>
  <c r="DW164" i="2"/>
  <c r="EV160" i="2"/>
  <c r="EN160" i="2"/>
  <c r="EI160" i="2"/>
  <c r="EC160" i="2"/>
  <c r="EH160" i="2"/>
  <c r="ER49" i="2"/>
  <c r="EO49" i="2"/>
  <c r="EL49" i="2"/>
  <c r="EC49" i="2"/>
  <c r="EH49" i="2"/>
  <c r="DW49" i="2"/>
  <c r="DX49" i="2"/>
  <c r="DY49" i="2" s="1"/>
  <c r="EM155" i="2"/>
  <c r="EQ155" i="2"/>
  <c r="EA155" i="2"/>
  <c r="ET155" i="2" s="1"/>
  <c r="EE155" i="2"/>
  <c r="EK145" i="2"/>
  <c r="EA145" i="2"/>
  <c r="ET145" i="2" s="1"/>
  <c r="EH145" i="2"/>
  <c r="EJ122" i="2"/>
  <c r="ES122" i="2"/>
  <c r="EU122" i="2" s="1"/>
  <c r="EK122" i="2"/>
  <c r="EF122" i="2"/>
  <c r="EO122" i="2"/>
  <c r="EC122" i="2"/>
  <c r="EA193" i="2"/>
  <c r="ET193" i="2" s="1"/>
  <c r="DX193" i="2"/>
  <c r="DY193" i="2" s="1"/>
  <c r="DV193" i="2"/>
  <c r="ER193" i="2"/>
  <c r="EO193" i="2"/>
  <c r="EE193" i="2"/>
  <c r="DV165" i="2"/>
  <c r="EQ165" i="2"/>
  <c r="EN165" i="2"/>
  <c r="EB165" i="2"/>
  <c r="DW165" i="2"/>
  <c r="DX165" i="2"/>
  <c r="DY165" i="2" s="1"/>
  <c r="EL66" i="2"/>
  <c r="EC66" i="2"/>
  <c r="EM66" i="2"/>
  <c r="EF144" i="2"/>
  <c r="EM144" i="2"/>
  <c r="EK144" i="2"/>
  <c r="EP144" i="2"/>
  <c r="EA144" i="2"/>
  <c r="ET144" i="2" s="1"/>
  <c r="EC180" i="2"/>
  <c r="EG180" i="2"/>
  <c r="DW180" i="2"/>
  <c r="EJ180" i="2"/>
  <c r="EA143" i="2"/>
  <c r="ET143" i="2" s="1"/>
  <c r="ED143" i="2"/>
  <c r="EH143" i="2"/>
  <c r="EF143" i="2"/>
  <c r="EP143" i="2"/>
  <c r="EH74" i="2"/>
  <c r="EP74" i="2"/>
  <c r="ER74" i="2"/>
  <c r="EA74" i="2"/>
  <c r="ET74" i="2" s="1"/>
  <c r="DW157" i="2"/>
  <c r="EL157" i="2"/>
  <c r="DX157" i="2"/>
  <c r="DY157" i="2" s="1"/>
  <c r="DV167" i="2"/>
  <c r="DW167" i="2"/>
  <c r="EH167" i="2"/>
  <c r="EC167" i="2"/>
  <c r="EE167" i="2"/>
  <c r="EJ167" i="2"/>
  <c r="DU167" i="2"/>
  <c r="EO167" i="2"/>
  <c r="EM167" i="2"/>
  <c r="EF167" i="2"/>
  <c r="EN167" i="2"/>
  <c r="DX167" i="2"/>
  <c r="DY167" i="2" s="1"/>
  <c r="EQ82" i="2"/>
  <c r="EB82" i="2"/>
  <c r="EO82" i="2"/>
  <c r="EC82" i="2"/>
  <c r="DU82" i="2"/>
  <c r="EA82" i="2"/>
  <c r="ET82" i="2" s="1"/>
  <c r="ER82" i="2"/>
  <c r="EL82" i="2"/>
  <c r="EF82" i="2"/>
  <c r="EG82" i="2"/>
  <c r="DX82" i="2"/>
  <c r="DY82" i="2" s="1"/>
  <c r="EP82" i="2"/>
  <c r="ED82" i="2"/>
  <c r="EJ82" i="2"/>
  <c r="DZ82" i="2"/>
  <c r="EE44" i="2"/>
  <c r="EB44" i="2"/>
  <c r="EV44" i="2"/>
  <c r="EN44" i="2"/>
  <c r="DW44" i="2"/>
  <c r="DV44" i="2"/>
  <c r="EP44" i="2"/>
  <c r="EC44" i="2"/>
  <c r="ES44" i="2"/>
  <c r="EU44" i="2" s="1"/>
  <c r="EA44" i="2"/>
  <c r="ET44" i="2" s="1"/>
  <c r="EM44" i="2"/>
  <c r="EO44" i="2"/>
  <c r="EH44" i="2"/>
  <c r="DZ44" i="2"/>
  <c r="DX44" i="2"/>
  <c r="DY44" i="2" s="1"/>
  <c r="EL44" i="2"/>
  <c r="DU44" i="2"/>
  <c r="EP131" i="2"/>
  <c r="DV131" i="2"/>
  <c r="EM131" i="2"/>
  <c r="EC131" i="2"/>
  <c r="ER131" i="2"/>
  <c r="EN131" i="2"/>
  <c r="DU131" i="2"/>
  <c r="EE131" i="2"/>
  <c r="ES131" i="2"/>
  <c r="EU131" i="2" s="1"/>
  <c r="EB131" i="2"/>
  <c r="EK131" i="2"/>
  <c r="DW131" i="2"/>
  <c r="EO131" i="2"/>
  <c r="DZ131" i="2"/>
  <c r="EA131" i="2"/>
  <c r="ET131" i="2" s="1"/>
  <c r="EH131" i="2"/>
  <c r="DX131" i="2"/>
  <c r="DY131" i="2" s="1"/>
  <c r="EL184" i="2"/>
  <c r="EV184" i="2"/>
  <c r="EH184" i="2"/>
  <c r="ED184" i="2"/>
  <c r="DW184" i="2"/>
  <c r="EJ184" i="2"/>
  <c r="EM184" i="2"/>
  <c r="EQ184" i="2"/>
  <c r="EF184" i="2"/>
  <c r="DV184" i="2"/>
  <c r="EG184" i="2"/>
  <c r="EC184" i="2"/>
  <c r="EE184" i="2"/>
  <c r="DZ184" i="2"/>
  <c r="ER184" i="2"/>
  <c r="EP184" i="2"/>
  <c r="EO184" i="2"/>
  <c r="EB184" i="2"/>
  <c r="EE130" i="2"/>
  <c r="EA130" i="2"/>
  <c r="ET130" i="2" s="1"/>
  <c r="ED130" i="2"/>
  <c r="EC130" i="2"/>
  <c r="EF130" i="2"/>
  <c r="EO130" i="2"/>
  <c r="EE86" i="2"/>
  <c r="EQ86" i="2"/>
  <c r="DW86" i="2"/>
  <c r="EM86" i="2"/>
  <c r="EO86" i="2"/>
  <c r="EK86" i="2"/>
  <c r="DV86" i="2"/>
  <c r="EG86" i="2"/>
  <c r="ES86" i="2"/>
  <c r="EU86" i="2" s="1"/>
  <c r="DU86" i="2"/>
  <c r="EB86" i="2"/>
  <c r="EC86" i="2"/>
  <c r="EI86" i="2"/>
  <c r="EJ86" i="2"/>
  <c r="EH86" i="2"/>
  <c r="EL86" i="2"/>
  <c r="EF86" i="2"/>
  <c r="EM136" i="2"/>
  <c r="EQ136" i="2"/>
  <c r="EF136" i="2"/>
  <c r="ER136" i="2"/>
  <c r="EL136" i="2"/>
  <c r="DV136" i="2"/>
  <c r="DU136" i="2"/>
  <c r="ED136" i="2"/>
  <c r="DZ136" i="2"/>
  <c r="EV136" i="2"/>
  <c r="DX136" i="2"/>
  <c r="DY136" i="2" s="1"/>
  <c r="EN136" i="2"/>
  <c r="EA136" i="2"/>
  <c r="ET136" i="2" s="1"/>
  <c r="ES136" i="2"/>
  <c r="EU136" i="2" s="1"/>
  <c r="EG136" i="2"/>
  <c r="EJ136" i="2"/>
  <c r="EE136" i="2"/>
  <c r="EC136" i="2"/>
  <c r="EG94" i="2"/>
  <c r="EN94" i="2"/>
  <c r="EF94" i="2"/>
  <c r="EK94" i="2"/>
  <c r="ED94" i="2"/>
  <c r="EH94" i="2"/>
  <c r="EQ94" i="2"/>
  <c r="DV94" i="2"/>
  <c r="EV94" i="2"/>
  <c r="DU94" i="2"/>
  <c r="EI94" i="2"/>
  <c r="EP94" i="2"/>
  <c r="ES94" i="2"/>
  <c r="EU94" i="2" s="1"/>
  <c r="DW94" i="2"/>
  <c r="EA94" i="2"/>
  <c r="ET94" i="2" s="1"/>
  <c r="DZ94" i="2"/>
  <c r="EE94" i="2"/>
  <c r="EO94" i="2"/>
  <c r="EB94" i="2"/>
  <c r="EL176" i="2"/>
  <c r="EC33" i="2"/>
  <c r="EN14" i="2"/>
  <c r="DW146" i="2"/>
  <c r="EE188" i="2"/>
  <c r="DU54" i="2"/>
  <c r="DZ87" i="2"/>
  <c r="EN87" i="2"/>
  <c r="EA87" i="2"/>
  <c r="ET87" i="2" s="1"/>
  <c r="EF105" i="2"/>
  <c r="ES105" i="2"/>
  <c r="EU105" i="2" s="1"/>
  <c r="EA66" i="2"/>
  <c r="ET66" i="2" s="1"/>
  <c r="EP145" i="2"/>
  <c r="DW143" i="2"/>
  <c r="EB180" i="2"/>
  <c r="ES167" i="2"/>
  <c r="EU167" i="2" s="1"/>
  <c r="EK148" i="2"/>
  <c r="EG166" i="2"/>
  <c r="DZ18" i="2"/>
  <c r="DW18" i="2"/>
  <c r="EV82" i="2"/>
  <c r="EE82" i="2"/>
  <c r="EP28" i="2"/>
  <c r="EQ71" i="2"/>
  <c r="EE125" i="2"/>
  <c r="ER44" i="2"/>
  <c r="EC186" i="2"/>
  <c r="DW70" i="2"/>
  <c r="ER147" i="2"/>
  <c r="EN86" i="2"/>
  <c r="EB92" i="2"/>
  <c r="EL131" i="2"/>
  <c r="EJ25" i="2"/>
  <c r="DU73" i="2"/>
  <c r="EN184" i="2"/>
  <c r="DZ124" i="2"/>
  <c r="EO197" i="2"/>
  <c r="EL78" i="2"/>
  <c r="EI136" i="2"/>
  <c r="EF142" i="2"/>
  <c r="EL94" i="2"/>
  <c r="DX176" i="2"/>
  <c r="DY176" i="2" s="1"/>
  <c r="DW33" i="2"/>
  <c r="EF14" i="2"/>
  <c r="ER188" i="2"/>
  <c r="DX54" i="2"/>
  <c r="DY54" i="2" s="1"/>
  <c r="ES87" i="2"/>
  <c r="EU87" i="2" s="1"/>
  <c r="EC87" i="2"/>
  <c r="EK87" i="2"/>
  <c r="DW105" i="2"/>
  <c r="EL105" i="2"/>
  <c r="ES66" i="2"/>
  <c r="EU66" i="2" s="1"/>
  <c r="DZ144" i="2"/>
  <c r="EL180" i="2"/>
  <c r="DZ167" i="2"/>
  <c r="EA167" i="2"/>
  <c r="ET167" i="2" s="1"/>
  <c r="DZ157" i="2"/>
  <c r="EE148" i="2"/>
  <c r="EL166" i="2"/>
  <c r="ED18" i="2"/>
  <c r="EC18" i="2"/>
  <c r="EK82" i="2"/>
  <c r="EB28" i="2"/>
  <c r="DV71" i="2"/>
  <c r="ES125" i="2"/>
  <c r="EU125" i="2" s="1"/>
  <c r="EI44" i="2"/>
  <c r="DZ186" i="2"/>
  <c r="EC70" i="2"/>
  <c r="DX147" i="2"/>
  <c r="DY147" i="2" s="1"/>
  <c r="DX86" i="2"/>
  <c r="DY86" i="2" s="1"/>
  <c r="DW92" i="2"/>
  <c r="EF131" i="2"/>
  <c r="EI25" i="2"/>
  <c r="DV73" i="2"/>
  <c r="EA184" i="2"/>
  <c r="ET184" i="2" s="1"/>
  <c r="EG124" i="2"/>
  <c r="EK197" i="2"/>
  <c r="EC69" i="2"/>
  <c r="DU78" i="2"/>
  <c r="EH136" i="2"/>
  <c r="EP183" i="2"/>
  <c r="EL142" i="2"/>
  <c r="EJ94" i="2"/>
  <c r="EG176" i="2"/>
  <c r="DV33" i="2"/>
  <c r="EI14" i="2"/>
  <c r="DW144" i="2"/>
  <c r="EO180" i="2"/>
  <c r="EP167" i="2"/>
  <c r="EI167" i="2"/>
  <c r="EG157" i="2"/>
  <c r="EP148" i="2"/>
  <c r="ES148" i="2"/>
  <c r="EU148" i="2" s="1"/>
  <c r="DW166" i="2"/>
  <c r="EG18" i="2"/>
  <c r="EN18" i="2"/>
  <c r="DW82" i="2"/>
  <c r="ES28" i="2"/>
  <c r="EU28" i="2" s="1"/>
  <c r="ER71" i="2"/>
  <c r="EV125" i="2"/>
  <c r="ED44" i="2"/>
  <c r="EP186" i="2"/>
  <c r="EF164" i="2"/>
  <c r="ED70" i="2"/>
  <c r="DW147" i="2"/>
  <c r="ER86" i="2"/>
  <c r="EF92" i="2"/>
  <c r="EI131" i="2"/>
  <c r="ER73" i="2"/>
  <c r="EL124" i="2"/>
  <c r="ES197" i="2"/>
  <c r="EU197" i="2" s="1"/>
  <c r="EK69" i="2"/>
  <c r="EO78" i="2"/>
  <c r="EB136" i="2"/>
  <c r="DZ183" i="2"/>
  <c r="DU142" i="2"/>
  <c r="DX94" i="2"/>
  <c r="DY94" i="2" s="1"/>
  <c r="EA176" i="2"/>
  <c r="ET176" i="2" s="1"/>
  <c r="EF33" i="2"/>
  <c r="EB14" i="2"/>
  <c r="DX146" i="2"/>
  <c r="DY146" i="2" s="1"/>
  <c r="EP188" i="2"/>
  <c r="ER87" i="2"/>
  <c r="EP105" i="2"/>
  <c r="EB105" i="2"/>
  <c r="EV144" i="2"/>
  <c r="EL167" i="2"/>
  <c r="EB167" i="2"/>
  <c r="EQ157" i="2"/>
  <c r="EG148" i="2"/>
  <c r="EL100" i="2"/>
  <c r="DV82" i="2"/>
  <c r="EG44" i="2"/>
  <c r="EI122" i="2"/>
  <c r="EA86" i="2"/>
  <c r="ET86" i="2" s="1"/>
  <c r="EJ131" i="2"/>
  <c r="DX184" i="2"/>
  <c r="DY184" i="2" s="1"/>
  <c r="EK136" i="2"/>
  <c r="EC94" i="2"/>
  <c r="EI146" i="2"/>
  <c r="EK188" i="2"/>
  <c r="DW54" i="2"/>
  <c r="EA157" i="2"/>
  <c r="ET157" i="2" s="1"/>
  <c r="ES100" i="2"/>
  <c r="EU100" i="2" s="1"/>
  <c r="EL155" i="2"/>
  <c r="DV166" i="2"/>
  <c r="EP166" i="2"/>
  <c r="EF166" i="2"/>
  <c r="EB166" i="2"/>
  <c r="EM166" i="2"/>
  <c r="EN166" i="2"/>
  <c r="DZ166" i="2"/>
  <c r="ES166" i="2"/>
  <c r="EU166" i="2" s="1"/>
  <c r="EO166" i="2"/>
  <c r="EJ166" i="2"/>
  <c r="EE166" i="2"/>
  <c r="DX166" i="2"/>
  <c r="DY166" i="2" s="1"/>
  <c r="DU166" i="2"/>
  <c r="ER166" i="2"/>
  <c r="EV166" i="2"/>
  <c r="EN28" i="2"/>
  <c r="EL28" i="2"/>
  <c r="EA28" i="2"/>
  <c r="ET28" i="2" s="1"/>
  <c r="ER28" i="2"/>
  <c r="DU28" i="2"/>
  <c r="EV28" i="2"/>
  <c r="EF28" i="2"/>
  <c r="EE28" i="2"/>
  <c r="DV28" i="2"/>
  <c r="EJ28" i="2"/>
  <c r="EM28" i="2"/>
  <c r="EQ28" i="2"/>
  <c r="EK28" i="2"/>
  <c r="EH28" i="2"/>
  <c r="EO28" i="2"/>
  <c r="DX28" i="2"/>
  <c r="DY28" i="2" s="1"/>
  <c r="EI28" i="2"/>
  <c r="EE186" i="2"/>
  <c r="EG186" i="2"/>
  <c r="DU186" i="2"/>
  <c r="EA186" i="2"/>
  <c r="ET186" i="2" s="1"/>
  <c r="EQ186" i="2"/>
  <c r="EN186" i="2"/>
  <c r="EB186" i="2"/>
  <c r="EJ186" i="2"/>
  <c r="DW186" i="2"/>
  <c r="EL186" i="2"/>
  <c r="ER186" i="2"/>
  <c r="EK186" i="2"/>
  <c r="EV186" i="2"/>
  <c r="DX186" i="2"/>
  <c r="DY186" i="2" s="1"/>
  <c r="ED186" i="2"/>
  <c r="EM186" i="2"/>
  <c r="EI186" i="2"/>
  <c r="EI148" i="2"/>
  <c r="ER148" i="2"/>
  <c r="EV148" i="2"/>
  <c r="DW148" i="2"/>
  <c r="EH148" i="2"/>
  <c r="EF148" i="2"/>
  <c r="ED148" i="2"/>
  <c r="EC148" i="2"/>
  <c r="EB148" i="2"/>
  <c r="EO148" i="2"/>
  <c r="DV148" i="2"/>
  <c r="EL148" i="2"/>
  <c r="DZ148" i="2"/>
  <c r="EF25" i="2"/>
  <c r="EH25" i="2"/>
  <c r="EN25" i="2"/>
  <c r="DW25" i="2"/>
  <c r="EQ25" i="2"/>
  <c r="DV25" i="2"/>
  <c r="EK25" i="2"/>
  <c r="EV25" i="2"/>
  <c r="EC25" i="2"/>
  <c r="DU25" i="2"/>
  <c r="EG25" i="2"/>
  <c r="EL25" i="2"/>
  <c r="EM25" i="2"/>
  <c r="EP25" i="2"/>
  <c r="DX25" i="2"/>
  <c r="DY25" i="2" s="1"/>
  <c r="ES25" i="2"/>
  <c r="EU25" i="2" s="1"/>
  <c r="EE25" i="2"/>
  <c r="EO25" i="2"/>
  <c r="ED25" i="2"/>
  <c r="EV124" i="2"/>
  <c r="EN124" i="2"/>
  <c r="ER124" i="2"/>
  <c r="EP124" i="2"/>
  <c r="EA124" i="2"/>
  <c r="ET124" i="2" s="1"/>
  <c r="DX124" i="2"/>
  <c r="DY124" i="2" s="1"/>
  <c r="EH124" i="2"/>
  <c r="EF124" i="2"/>
  <c r="EQ124" i="2"/>
  <c r="DU124" i="2"/>
  <c r="ED124" i="2"/>
  <c r="EK124" i="2"/>
  <c r="ES124" i="2"/>
  <c r="EU124" i="2" s="1"/>
  <c r="DV124" i="2"/>
  <c r="EB124" i="2"/>
  <c r="EJ124" i="2"/>
  <c r="EM124" i="2"/>
  <c r="DX87" i="2"/>
  <c r="DY87" i="2" s="1"/>
  <c r="EG87" i="2"/>
  <c r="EL87" i="2"/>
  <c r="EH87" i="2"/>
  <c r="EM87" i="2"/>
  <c r="EB87" i="2"/>
  <c r="EN70" i="2"/>
  <c r="EV70" i="2"/>
  <c r="EL70" i="2"/>
  <c r="DV70" i="2"/>
  <c r="EE70" i="2"/>
  <c r="EJ70" i="2"/>
  <c r="EI70" i="2"/>
  <c r="EG70" i="2"/>
  <c r="EH70" i="2"/>
  <c r="EM70" i="2"/>
  <c r="DU70" i="2"/>
  <c r="EQ70" i="2"/>
  <c r="EF70" i="2"/>
  <c r="EB70" i="2"/>
  <c r="ER70" i="2"/>
  <c r="ES70" i="2"/>
  <c r="EU70" i="2" s="1"/>
  <c r="EO70" i="2"/>
  <c r="EM69" i="2"/>
  <c r="EE69" i="2"/>
  <c r="EV69" i="2"/>
  <c r="EB69" i="2"/>
  <c r="EF69" i="2"/>
  <c r="EL69" i="2"/>
  <c r="DV69" i="2"/>
  <c r="ED69" i="2"/>
  <c r="EI69" i="2"/>
  <c r="EJ69" i="2"/>
  <c r="DX69" i="2"/>
  <c r="DY69" i="2" s="1"/>
  <c r="EO69" i="2"/>
  <c r="DZ69" i="2"/>
  <c r="EN69" i="2"/>
  <c r="DW69" i="2"/>
  <c r="ER69" i="2"/>
  <c r="EP69" i="2"/>
  <c r="EH69" i="2"/>
  <c r="EQ69" i="2"/>
  <c r="EG69" i="2"/>
  <c r="ED183" i="2"/>
  <c r="EG183" i="2"/>
  <c r="EQ183" i="2"/>
  <c r="DW183" i="2"/>
  <c r="EK183" i="2"/>
  <c r="EB183" i="2"/>
  <c r="EE183" i="2"/>
  <c r="EI183" i="2"/>
  <c r="EH183" i="2"/>
  <c r="ES183" i="2"/>
  <c r="EU183" i="2" s="1"/>
  <c r="EJ183" i="2"/>
  <c r="EM183" i="2"/>
  <c r="EF183" i="2"/>
  <c r="ER183" i="2"/>
  <c r="EA183" i="2"/>
  <c r="ET183" i="2" s="1"/>
  <c r="EO183" i="2"/>
  <c r="EL183" i="2"/>
  <c r="EV183" i="2"/>
  <c r="EC196" i="2"/>
  <c r="ED196" i="2"/>
  <c r="EM196" i="2"/>
  <c r="DX196" i="2"/>
  <c r="DY196" i="2" s="1"/>
  <c r="DU196" i="2"/>
  <c r="EM18" i="2"/>
  <c r="ES18" i="2"/>
  <c r="EU18" i="2" s="1"/>
  <c r="EK18" i="2"/>
  <c r="EA18" i="2"/>
  <c r="ET18" i="2" s="1"/>
  <c r="EL18" i="2"/>
  <c r="EV18" i="2"/>
  <c r="DU18" i="2"/>
  <c r="EO18" i="2"/>
  <c r="EH18" i="2"/>
  <c r="EP18" i="2"/>
  <c r="EB18" i="2"/>
  <c r="EJ18" i="2"/>
  <c r="EQ18" i="2"/>
  <c r="DV18" i="2"/>
  <c r="EG71" i="2"/>
  <c r="EM71" i="2"/>
  <c r="EB71" i="2"/>
  <c r="DX71" i="2"/>
  <c r="DY71" i="2" s="1"/>
  <c r="DU71" i="2"/>
  <c r="EO71" i="2"/>
  <c r="DW71" i="2"/>
  <c r="EF71" i="2"/>
  <c r="EA71" i="2"/>
  <c r="ET71" i="2" s="1"/>
  <c r="EV71" i="2"/>
  <c r="EP71" i="2"/>
  <c r="EL71" i="2"/>
  <c r="EJ71" i="2"/>
  <c r="EC71" i="2"/>
  <c r="EH71" i="2"/>
  <c r="ED71" i="2"/>
  <c r="EK71" i="2"/>
  <c r="DU9" i="2"/>
  <c r="DW9" i="2"/>
  <c r="DX9" i="2" s="1"/>
  <c r="DY9" i="2" s="1"/>
  <c r="EB9" i="2"/>
  <c r="EC92" i="2"/>
  <c r="EH92" i="2"/>
  <c r="DU92" i="2"/>
  <c r="EE92" i="2"/>
  <c r="EI92" i="2"/>
  <c r="EV92" i="2"/>
  <c r="EG92" i="2"/>
  <c r="DX92" i="2"/>
  <c r="DY92" i="2" s="1"/>
  <c r="EA92" i="2"/>
  <c r="ET92" i="2" s="1"/>
  <c r="ER92" i="2"/>
  <c r="EP92" i="2"/>
  <c r="DV92" i="2"/>
  <c r="EL92" i="2"/>
  <c r="EQ92" i="2"/>
  <c r="EM92" i="2"/>
  <c r="ED92" i="2"/>
  <c r="EN92" i="2"/>
  <c r="EK73" i="2"/>
  <c r="EM73" i="2"/>
  <c r="EA73" i="2"/>
  <c r="ET73" i="2" s="1"/>
  <c r="EO73" i="2"/>
  <c r="EL73" i="2"/>
  <c r="EQ73" i="2"/>
  <c r="EV73" i="2"/>
  <c r="EJ73" i="2"/>
  <c r="DW73" i="2"/>
  <c r="EC73" i="2"/>
  <c r="EE73" i="2"/>
  <c r="EG73" i="2"/>
  <c r="EB73" i="2"/>
  <c r="EP73" i="2"/>
  <c r="DX73" i="2"/>
  <c r="DY73" i="2" s="1"/>
  <c r="EH73" i="2"/>
  <c r="ED73" i="2"/>
  <c r="DX197" i="2"/>
  <c r="DY197" i="2" s="1"/>
  <c r="ER197" i="2"/>
  <c r="EQ197" i="2"/>
  <c r="EE197" i="2"/>
  <c r="DZ197" i="2"/>
  <c r="DV197" i="2"/>
  <c r="DU197" i="2"/>
  <c r="EN197" i="2"/>
  <c r="EM197" i="2"/>
  <c r="EL197" i="2"/>
  <c r="EI197" i="2"/>
  <c r="EA197" i="2"/>
  <c r="ET197" i="2" s="1"/>
  <c r="EJ197" i="2"/>
  <c r="EB197" i="2"/>
  <c r="EC197" i="2"/>
  <c r="EF197" i="2"/>
  <c r="EG197" i="2"/>
  <c r="ED197" i="2"/>
  <c r="EH197" i="2"/>
  <c r="EV197" i="2"/>
  <c r="ED105" i="2"/>
  <c r="DU105" i="2"/>
  <c r="EE105" i="2"/>
  <c r="EH105" i="2"/>
  <c r="EV105" i="2"/>
  <c r="EC105" i="2"/>
  <c r="EP147" i="2"/>
  <c r="DV147" i="2"/>
  <c r="EC147" i="2"/>
  <c r="EO147" i="2"/>
  <c r="EB147" i="2"/>
  <c r="EA147" i="2"/>
  <c r="ET147" i="2" s="1"/>
  <c r="EN147" i="2"/>
  <c r="EV147" i="2"/>
  <c r="EF147" i="2"/>
  <c r="EK147" i="2"/>
  <c r="EI147" i="2"/>
  <c r="EH147" i="2"/>
  <c r="EE147" i="2"/>
  <c r="ED147" i="2"/>
  <c r="EM147" i="2"/>
  <c r="DU147" i="2"/>
  <c r="DZ147" i="2"/>
  <c r="EV78" i="2"/>
  <c r="EK78" i="2"/>
  <c r="EB78" i="2"/>
  <c r="EN78" i="2"/>
  <c r="EF78" i="2"/>
  <c r="DV78" i="2"/>
  <c r="ER78" i="2"/>
  <c r="EP78" i="2"/>
  <c r="EC78" i="2"/>
  <c r="EG78" i="2"/>
  <c r="EI78" i="2"/>
  <c r="EE78" i="2"/>
  <c r="DX78" i="2"/>
  <c r="DY78" i="2" s="1"/>
  <c r="EH78" i="2"/>
  <c r="DZ78" i="2"/>
  <c r="EQ78" i="2"/>
  <c r="EM78" i="2"/>
  <c r="EJ78" i="2"/>
  <c r="EJ142" i="2"/>
  <c r="EO142" i="2"/>
  <c r="EK142" i="2"/>
  <c r="DZ142" i="2"/>
  <c r="EE142" i="2"/>
  <c r="EH142" i="2"/>
  <c r="ED142" i="2"/>
  <c r="DW142" i="2"/>
  <c r="ES142" i="2"/>
  <c r="EU142" i="2" s="1"/>
  <c r="EP142" i="2"/>
  <c r="EI142" i="2"/>
  <c r="EV142" i="2"/>
  <c r="EQ142" i="2"/>
  <c r="EN142" i="2"/>
  <c r="EA142" i="2"/>
  <c r="ET142" i="2" s="1"/>
  <c r="DX142" i="2"/>
  <c r="DY142" i="2" s="1"/>
  <c r="EB142" i="2"/>
  <c r="DV142" i="2"/>
  <c r="EV41" i="2"/>
  <c r="EO41" i="2"/>
  <c r="DU41" i="2"/>
  <c r="DZ41" i="2"/>
  <c r="EE41" i="2"/>
  <c r="EJ41" i="2"/>
  <c r="EN41" i="2"/>
  <c r="EL48" i="2"/>
  <c r="EQ48" i="2"/>
  <c r="EA48" i="2"/>
  <c r="ET48" i="2" s="1"/>
  <c r="EF48" i="2"/>
  <c r="EJ48" i="2"/>
  <c r="EC48" i="2"/>
  <c r="EM48" i="2"/>
  <c r="ES48" i="2"/>
  <c r="EU48" i="2" s="1"/>
  <c r="DW48" i="2"/>
  <c r="EV48" i="2"/>
  <c r="EO48" i="2"/>
  <c r="ED48" i="2"/>
  <c r="EC61" i="2"/>
  <c r="EM61" i="2"/>
  <c r="DV61" i="2"/>
  <c r="DX61" i="2"/>
  <c r="DY61" i="2" s="1"/>
  <c r="ED61" i="2"/>
  <c r="EQ61" i="2"/>
  <c r="EO61" i="2"/>
  <c r="EN61" i="2"/>
  <c r="EI61" i="2"/>
  <c r="DZ61" i="2"/>
  <c r="EB61" i="2"/>
  <c r="EH61" i="2"/>
  <c r="EC135" i="2"/>
  <c r="EE135" i="2"/>
  <c r="EQ135" i="2"/>
  <c r="EL61" i="2"/>
  <c r="DV135" i="2"/>
  <c r="EP135" i="2"/>
  <c r="EB135" i="2"/>
  <c r="EP61" i="2"/>
  <c r="DU61" i="2"/>
  <c r="EQ194" i="2"/>
  <c r="DV194" i="2"/>
  <c r="EI194" i="2"/>
  <c r="ER135" i="2"/>
  <c r="DU135" i="2"/>
  <c r="EI135" i="2"/>
  <c r="EF61" i="2"/>
  <c r="EJ61" i="2"/>
  <c r="ER194" i="2"/>
  <c r="ES194" i="2"/>
  <c r="EU194" i="2" s="1"/>
  <c r="DX135" i="2"/>
  <c r="DY135" i="2" s="1"/>
  <c r="EG135" i="2"/>
  <c r="ES61" i="2"/>
  <c r="EU61" i="2" s="1"/>
  <c r="EE61" i="2"/>
  <c r="DU176" i="2"/>
  <c r="ES176" i="2"/>
  <c r="EU176" i="2" s="1"/>
  <c r="ED176" i="2"/>
  <c r="DZ33" i="2"/>
  <c r="EB33" i="2"/>
  <c r="EJ33" i="2"/>
  <c r="EJ14" i="2"/>
  <c r="DU14" i="2"/>
  <c r="EC14" i="2"/>
  <c r="EA146" i="2"/>
  <c r="ET146" i="2" s="1"/>
  <c r="EH146" i="2"/>
  <c r="EE146" i="2"/>
  <c r="DZ188" i="2"/>
  <c r="EJ188" i="2"/>
  <c r="EF188" i="2"/>
  <c r="EL54" i="2"/>
  <c r="ES54" i="2"/>
  <c r="EU54" i="2" s="1"/>
  <c r="EN54" i="2"/>
  <c r="EB66" i="2"/>
  <c r="DU66" i="2"/>
  <c r="EE66" i="2"/>
  <c r="DW145" i="2"/>
  <c r="EN145" i="2"/>
  <c r="EB145" i="2"/>
  <c r="DZ145" i="2"/>
  <c r="ES143" i="2"/>
  <c r="EU143" i="2" s="1"/>
  <c r="EE143" i="2"/>
  <c r="EC143" i="2"/>
  <c r="EB144" i="2"/>
  <c r="EN144" i="2"/>
  <c r="EQ144" i="2"/>
  <c r="EM180" i="2"/>
  <c r="EF180" i="2"/>
  <c r="ER180" i="2"/>
  <c r="DW74" i="2"/>
  <c r="EE74" i="2"/>
  <c r="EO74" i="2"/>
  <c r="ED157" i="2"/>
  <c r="DV157" i="2"/>
  <c r="EO157" i="2"/>
  <c r="ED100" i="2"/>
  <c r="EK100" i="2"/>
  <c r="EH100" i="2"/>
  <c r="EP125" i="2"/>
  <c r="EQ125" i="2"/>
  <c r="EB125" i="2"/>
  <c r="DU164" i="2"/>
  <c r="EA164" i="2"/>
  <c r="ET164" i="2" s="1"/>
  <c r="EO164" i="2"/>
  <c r="ED122" i="2"/>
  <c r="EE122" i="2"/>
  <c r="EH122" i="2"/>
  <c r="EJ160" i="2"/>
  <c r="EP160" i="2"/>
  <c r="DV160" i="2"/>
  <c r="EG49" i="2"/>
  <c r="EN49" i="2"/>
  <c r="ES49" i="2"/>
  <c r="EU49" i="2" s="1"/>
  <c r="EG155" i="2"/>
  <c r="DX155" i="2"/>
  <c r="DY155" i="2" s="1"/>
  <c r="EB155" i="2"/>
  <c r="EH193" i="2"/>
  <c r="EK193" i="2"/>
  <c r="EJ193" i="2"/>
  <c r="ER165" i="2"/>
  <c r="EL165" i="2"/>
  <c r="ES165" i="2"/>
  <c r="EU165" i="2" s="1"/>
  <c r="EJ176" i="2"/>
  <c r="EN176" i="2"/>
  <c r="EI176" i="2"/>
  <c r="DU33" i="2"/>
  <c r="EI33" i="2"/>
  <c r="EP33" i="2"/>
  <c r="EV33" i="2"/>
  <c r="EP14" i="2"/>
  <c r="EQ14" i="2"/>
  <c r="DX14" i="2"/>
  <c r="DY14" i="2" s="1"/>
  <c r="ES146" i="2"/>
  <c r="EU146" i="2" s="1"/>
  <c r="EG146" i="2"/>
  <c r="DU146" i="2"/>
  <c r="EH188" i="2"/>
  <c r="EI188" i="2"/>
  <c r="EV188" i="2"/>
  <c r="EK54" i="2"/>
  <c r="EM54" i="2"/>
  <c r="EV54" i="2"/>
  <c r="EO66" i="2"/>
  <c r="DW66" i="2"/>
  <c r="EN66" i="2"/>
  <c r="DV145" i="2"/>
  <c r="DX145" i="2"/>
  <c r="DY145" i="2" s="1"/>
  <c r="EV145" i="2"/>
  <c r="EB143" i="2"/>
  <c r="EJ143" i="2"/>
  <c r="EQ143" i="2"/>
  <c r="DV144" i="2"/>
  <c r="EJ144" i="2"/>
  <c r="DU144" i="2"/>
  <c r="DX180" i="2"/>
  <c r="DY180" i="2" s="1"/>
  <c r="ED180" i="2"/>
  <c r="EI180" i="2"/>
  <c r="EG74" i="2"/>
  <c r="DX74" i="2"/>
  <c r="DY74" i="2" s="1"/>
  <c r="DU74" i="2"/>
  <c r="EN157" i="2"/>
  <c r="EV157" i="2"/>
  <c r="EK157" i="2"/>
  <c r="EE100" i="2"/>
  <c r="EN100" i="2"/>
  <c r="EF100" i="2"/>
  <c r="ER125" i="2"/>
  <c r="DU125" i="2"/>
  <c r="EH125" i="2"/>
  <c r="EJ164" i="2"/>
  <c r="EH164" i="2"/>
  <c r="EE164" i="2"/>
  <c r="DU122" i="2"/>
  <c r="DZ122" i="2"/>
  <c r="DW122" i="2"/>
  <c r="DX160" i="2"/>
  <c r="DY160" i="2" s="1"/>
  <c r="EO160" i="2"/>
  <c r="EB160" i="2"/>
  <c r="ED160" i="2"/>
  <c r="EK49" i="2"/>
  <c r="EE49" i="2"/>
  <c r="EQ49" i="2"/>
  <c r="EJ155" i="2"/>
  <c r="EN155" i="2"/>
  <c r="EK155" i="2"/>
  <c r="EI193" i="2"/>
  <c r="EB193" i="2"/>
  <c r="EL193" i="2"/>
  <c r="ED165" i="2"/>
  <c r="DZ165" i="2"/>
  <c r="EV165" i="2"/>
  <c r="DV176" i="2"/>
  <c r="ER176" i="2"/>
  <c r="EB176" i="2"/>
  <c r="EL33" i="2"/>
  <c r="EQ33" i="2"/>
  <c r="EN33" i="2"/>
  <c r="EL14" i="2"/>
  <c r="EO14" i="2"/>
  <c r="DZ14" i="2"/>
  <c r="EL146" i="2"/>
  <c r="EQ146" i="2"/>
  <c r="EF146" i="2"/>
  <c r="DW188" i="2"/>
  <c r="EB188" i="2"/>
  <c r="EQ188" i="2"/>
  <c r="EP54" i="2"/>
  <c r="EG54" i="2"/>
  <c r="EB54" i="2"/>
  <c r="ED54" i="2"/>
  <c r="ER66" i="2"/>
  <c r="ED66" i="2"/>
  <c r="EQ66" i="2"/>
  <c r="ER145" i="2"/>
  <c r="EO145" i="2"/>
  <c r="EJ145" i="2"/>
  <c r="EI143" i="2"/>
  <c r="EL143" i="2"/>
  <c r="DV143" i="2"/>
  <c r="ER144" i="2"/>
  <c r="DX144" i="2"/>
  <c r="DY144" i="2" s="1"/>
  <c r="EI144" i="2"/>
  <c r="DU180" i="2"/>
  <c r="EH180" i="2"/>
  <c r="DV180" i="2"/>
  <c r="EI74" i="2"/>
  <c r="EN74" i="2"/>
  <c r="DZ74" i="2"/>
  <c r="ED74" i="2"/>
  <c r="EF157" i="2"/>
  <c r="EM157" i="2"/>
  <c r="ES157" i="2"/>
  <c r="EU157" i="2" s="1"/>
  <c r="EO100" i="2"/>
  <c r="EA100" i="2"/>
  <c r="ET100" i="2" s="1"/>
  <c r="EV100" i="2"/>
  <c r="EJ125" i="2"/>
  <c r="DZ125" i="2"/>
  <c r="EM125" i="2"/>
  <c r="EP164" i="2"/>
  <c r="EG164" i="2"/>
  <c r="ER164" i="2"/>
  <c r="ES164" i="2"/>
  <c r="EU164" i="2" s="1"/>
  <c r="DX122" i="2"/>
  <c r="DY122" i="2" s="1"/>
  <c r="EN122" i="2"/>
  <c r="EV122" i="2"/>
  <c r="ER160" i="2"/>
  <c r="EL160" i="2"/>
  <c r="EA160" i="2"/>
  <c r="ET160" i="2" s="1"/>
  <c r="DV49" i="2"/>
  <c r="EB49" i="2"/>
  <c r="EA49" i="2"/>
  <c r="ET49" i="2" s="1"/>
  <c r="DV155" i="2"/>
  <c r="EV155" i="2"/>
  <c r="EI155" i="2"/>
  <c r="EC193" i="2"/>
  <c r="ED193" i="2"/>
  <c r="EF193" i="2"/>
  <c r="EG165" i="2"/>
  <c r="EH165" i="2"/>
  <c r="EJ165" i="2"/>
  <c r="DU4" i="2"/>
  <c r="EE176" i="2"/>
  <c r="EO176" i="2"/>
  <c r="EC176" i="2"/>
  <c r="EM33" i="2"/>
  <c r="ED33" i="2"/>
  <c r="EG33" i="2"/>
  <c r="DW14" i="2"/>
  <c r="EV14" i="2"/>
  <c r="EH14" i="2"/>
  <c r="EN146" i="2"/>
  <c r="EV146" i="2"/>
  <c r="EB146" i="2"/>
  <c r="DX188" i="2"/>
  <c r="DY188" i="2" s="1"/>
  <c r="DU188" i="2"/>
  <c r="DV188" i="2"/>
  <c r="DZ54" i="2"/>
  <c r="EQ54" i="2"/>
  <c r="EO54" i="2"/>
  <c r="EG66" i="2"/>
  <c r="EF66" i="2"/>
  <c r="EK66" i="2"/>
  <c r="EM145" i="2"/>
  <c r="EE145" i="2"/>
  <c r="EC145" i="2"/>
  <c r="EV143" i="2"/>
  <c r="EM143" i="2"/>
  <c r="EK143" i="2"/>
  <c r="EO144" i="2"/>
  <c r="ED144" i="2"/>
  <c r="EC144" i="2"/>
  <c r="EP180" i="2"/>
  <c r="EV180" i="2"/>
  <c r="EA180" i="2"/>
  <c r="ET180" i="2" s="1"/>
  <c r="EK180" i="2"/>
  <c r="EC74" i="2"/>
  <c r="EB74" i="2"/>
  <c r="EQ74" i="2"/>
  <c r="EE157" i="2"/>
  <c r="ER157" i="2"/>
  <c r="EJ157" i="2"/>
  <c r="EM100" i="2"/>
  <c r="DV100" i="2"/>
  <c r="DX100" i="2"/>
  <c r="DY100" i="2" s="1"/>
  <c r="EI125" i="2"/>
  <c r="DX125" i="2"/>
  <c r="DY125" i="2" s="1"/>
  <c r="DW125" i="2"/>
  <c r="EN164" i="2"/>
  <c r="EC164" i="2"/>
  <c r="EL164" i="2"/>
  <c r="DV122" i="2"/>
  <c r="EQ122" i="2"/>
  <c r="EG122" i="2"/>
  <c r="DU160" i="2"/>
  <c r="EE160" i="2"/>
  <c r="DW160" i="2"/>
  <c r="EP49" i="2"/>
  <c r="EJ49" i="2"/>
  <c r="EF49" i="2"/>
  <c r="ED49" i="2"/>
  <c r="ED155" i="2"/>
  <c r="EF155" i="2"/>
  <c r="EO155" i="2"/>
  <c r="DW193" i="2"/>
  <c r="EN193" i="2"/>
  <c r="EV193" i="2"/>
  <c r="EE165" i="2"/>
  <c r="DU165" i="2"/>
  <c r="EF165" i="2"/>
  <c r="EB4" i="2"/>
  <c r="EF176" i="2"/>
  <c r="EK176" i="2"/>
  <c r="EH176" i="2"/>
  <c r="EK33" i="2"/>
  <c r="EE33" i="2"/>
  <c r="ER33" i="2"/>
  <c r="ES14" i="2"/>
  <c r="EU14" i="2" s="1"/>
  <c r="ED14" i="2"/>
  <c r="EK14" i="2"/>
  <c r="EA14" i="2"/>
  <c r="ET14" i="2" s="1"/>
  <c r="EO146" i="2"/>
  <c r="EM146" i="2"/>
  <c r="EC146" i="2"/>
  <c r="DZ146" i="2"/>
  <c r="ES188" i="2"/>
  <c r="EU188" i="2" s="1"/>
  <c r="EA188" i="2"/>
  <c r="ET188" i="2" s="1"/>
  <c r="ED188" i="2"/>
  <c r="DV54" i="2"/>
  <c r="EF54" i="2"/>
  <c r="EC54" i="2"/>
  <c r="EV66" i="2"/>
  <c r="EJ66" i="2"/>
  <c r="EI66" i="2"/>
  <c r="EG145" i="2"/>
  <c r="EI145" i="2"/>
  <c r="ED145" i="2"/>
  <c r="EN143" i="2"/>
  <c r="EG143" i="2"/>
  <c r="DU143" i="2"/>
  <c r="ES144" i="2"/>
  <c r="EU144" i="2" s="1"/>
  <c r="EH144" i="2"/>
  <c r="EG144" i="2"/>
  <c r="DZ180" i="2"/>
  <c r="EE180" i="2"/>
  <c r="EQ180" i="2"/>
  <c r="DV74" i="2"/>
  <c r="EM74" i="2"/>
  <c r="EV74" i="2"/>
  <c r="EI157" i="2"/>
  <c r="EH157" i="2"/>
  <c r="DU157" i="2"/>
  <c r="EP157" i="2"/>
  <c r="EI100" i="2"/>
  <c r="DW100" i="2"/>
  <c r="EB100" i="2"/>
  <c r="EN125" i="2"/>
  <c r="EF125" i="2"/>
  <c r="EL125" i="2"/>
  <c r="DX164" i="2"/>
  <c r="DY164" i="2" s="1"/>
  <c r="EM164" i="2"/>
  <c r="EI164" i="2"/>
  <c r="ER122" i="2"/>
  <c r="EP122" i="2"/>
  <c r="EL122" i="2"/>
  <c r="EK160" i="2"/>
  <c r="EM160" i="2"/>
  <c r="EF160" i="2"/>
  <c r="EI49" i="2"/>
  <c r="EM49" i="2"/>
  <c r="EV49" i="2"/>
  <c r="DZ155" i="2"/>
  <c r="EH155" i="2"/>
  <c r="DU155" i="2"/>
  <c r="ES155" i="2"/>
  <c r="EU155" i="2" s="1"/>
  <c r="DU193" i="2"/>
  <c r="EG193" i="2"/>
  <c r="EP193" i="2"/>
  <c r="DZ193" i="2"/>
  <c r="EM165" i="2"/>
  <c r="EA165" i="2"/>
  <c r="ET165" i="2" s="1"/>
  <c r="EK165" i="2"/>
  <c r="EP165" i="2"/>
  <c r="DW176" i="2"/>
  <c r="EQ176" i="2"/>
  <c r="ES33" i="2"/>
  <c r="EU33" i="2" s="1"/>
  <c r="EH33" i="2"/>
  <c r="DV14" i="2"/>
  <c r="EE14" i="2"/>
  <c r="EJ146" i="2"/>
  <c r="DV146" i="2"/>
  <c r="EG188" i="2"/>
  <c r="EL188" i="2"/>
  <c r="EA54" i="2"/>
  <c r="ET54" i="2" s="1"/>
  <c r="EH54" i="2"/>
  <c r="DX66" i="2"/>
  <c r="DY66" i="2" s="1"/>
  <c r="EH66" i="2"/>
  <c r="EF145" i="2"/>
  <c r="EQ145" i="2"/>
  <c r="DZ143" i="2"/>
  <c r="ER143" i="2"/>
  <c r="DX143" i="2"/>
  <c r="DY143" i="2" s="1"/>
  <c r="EE144" i="2"/>
  <c r="EL144" i="2"/>
  <c r="EN180" i="2"/>
  <c r="ES180" i="2"/>
  <c r="EU180" i="2" s="1"/>
  <c r="EJ74" i="2"/>
  <c r="ES74" i="2"/>
  <c r="EU74" i="2" s="1"/>
  <c r="EC157" i="2"/>
  <c r="EB157" i="2"/>
  <c r="EP100" i="2"/>
  <c r="EG100" i="2"/>
  <c r="ER100" i="2"/>
  <c r="DV125" i="2"/>
  <c r="EO125" i="2"/>
  <c r="EV164" i="2"/>
  <c r="EQ164" i="2"/>
  <c r="EB122" i="2"/>
  <c r="EA122" i="2"/>
  <c r="ET122" i="2" s="1"/>
  <c r="EM122" i="2"/>
  <c r="EG160" i="2"/>
  <c r="DZ160" i="2"/>
  <c r="DZ49" i="2"/>
  <c r="DU49" i="2"/>
  <c r="EP155" i="2"/>
  <c r="EC155" i="2"/>
  <c r="ES193" i="2"/>
  <c r="EU193" i="2" s="1"/>
  <c r="EM193" i="2"/>
  <c r="EI165" i="2"/>
  <c r="EO165" i="2"/>
  <c r="EM56" i="2"/>
  <c r="EJ46" i="2"/>
  <c r="EP162" i="2"/>
  <c r="EG172" i="2"/>
  <c r="EQ172" i="2"/>
  <c r="EG32" i="2"/>
  <c r="EQ120" i="2"/>
  <c r="ER80" i="2"/>
  <c r="DW65" i="2"/>
  <c r="EA85" i="2"/>
  <c r="ET85" i="2" s="1"/>
  <c r="EA97" i="2"/>
  <c r="ET97" i="2" s="1"/>
  <c r="ED68" i="2"/>
  <c r="EJ96" i="2"/>
  <c r="DU121" i="2"/>
  <c r="EA161" i="2"/>
  <c r="ET161" i="2" s="1"/>
  <c r="EA106" i="2"/>
  <c r="ET106" i="2" s="1"/>
  <c r="DV22" i="2"/>
  <c r="N83" i="9" s="1"/>
  <c r="EF95" i="2"/>
  <c r="EB30" i="2"/>
  <c r="DU56" i="2"/>
  <c r="EE46" i="2"/>
  <c r="EJ162" i="2"/>
  <c r="DW172" i="2"/>
  <c r="EI32" i="2"/>
  <c r="DU120" i="2"/>
  <c r="EF80" i="2"/>
  <c r="EO65" i="2"/>
  <c r="DV85" i="2"/>
  <c r="DU85" i="2"/>
  <c r="EJ97" i="2"/>
  <c r="ED126" i="2"/>
  <c r="EE34" i="2"/>
  <c r="DU68" i="2"/>
  <c r="EQ96" i="2"/>
  <c r="DX121" i="2"/>
  <c r="DY121" i="2" s="1"/>
  <c r="EP161" i="2"/>
  <c r="EC106" i="2"/>
  <c r="EV95" i="2"/>
  <c r="EV30" i="2"/>
  <c r="EM68" i="2"/>
  <c r="EB68" i="2"/>
  <c r="EL68" i="2"/>
  <c r="DX68" i="2"/>
  <c r="DY68" i="2" s="1"/>
  <c r="EF68" i="2"/>
  <c r="EH68" i="2"/>
  <c r="DZ68" i="2"/>
  <c r="EO68" i="2"/>
  <c r="EI68" i="2"/>
  <c r="EC68" i="2"/>
  <c r="EK68" i="2"/>
  <c r="EJ68" i="2"/>
  <c r="EN68" i="2"/>
  <c r="DW68" i="2"/>
  <c r="EV68" i="2"/>
  <c r="EL121" i="2"/>
  <c r="EI121" i="2"/>
  <c r="EN121" i="2"/>
  <c r="EH121" i="2"/>
  <c r="ED121" i="2"/>
  <c r="EQ121" i="2"/>
  <c r="EM121" i="2"/>
  <c r="EE121" i="2"/>
  <c r="EK121" i="2"/>
  <c r="ES121" i="2"/>
  <c r="EU121" i="2" s="1"/>
  <c r="EP121" i="2"/>
  <c r="EB121" i="2"/>
  <c r="EG121" i="2"/>
  <c r="EF121" i="2"/>
  <c r="EA121" i="2"/>
  <c r="ET121" i="2" s="1"/>
  <c r="EB161" i="2"/>
  <c r="ER161" i="2"/>
  <c r="EV161" i="2"/>
  <c r="EF161" i="2"/>
  <c r="EJ161" i="2"/>
  <c r="EC161" i="2"/>
  <c r="EL161" i="2"/>
  <c r="EG161" i="2"/>
  <c r="DX161" i="2"/>
  <c r="DY161" i="2" s="1"/>
  <c r="DV161" i="2"/>
  <c r="EN161" i="2"/>
  <c r="DU161" i="2"/>
  <c r="EQ161" i="2"/>
  <c r="EM161" i="2"/>
  <c r="EI161" i="2"/>
  <c r="EM96" i="2"/>
  <c r="DW96" i="2"/>
  <c r="EG96" i="2"/>
  <c r="EK96" i="2"/>
  <c r="ED96" i="2"/>
  <c r="EP96" i="2"/>
  <c r="ER96" i="2"/>
  <c r="EI96" i="2"/>
  <c r="ES96" i="2"/>
  <c r="EU96" i="2" s="1"/>
  <c r="DZ96" i="2"/>
  <c r="EH96" i="2"/>
  <c r="EV96" i="2"/>
  <c r="EF96" i="2"/>
  <c r="DU96" i="2"/>
  <c r="DV96" i="2"/>
  <c r="EE96" i="2"/>
  <c r="EL106" i="2"/>
  <c r="DX106" i="2"/>
  <c r="DY106" i="2" s="1"/>
  <c r="EF106" i="2"/>
  <c r="EM106" i="2"/>
  <c r="EI106" i="2"/>
  <c r="EO106" i="2"/>
  <c r="EP106" i="2"/>
  <c r="EV106" i="2"/>
  <c r="DU106" i="2"/>
  <c r="EH106" i="2"/>
  <c r="DZ106" i="2"/>
  <c r="EQ106" i="2"/>
  <c r="DV106" i="2"/>
  <c r="EB106" i="2"/>
  <c r="ER106" i="2"/>
  <c r="ES106" i="2"/>
  <c r="EU106" i="2" s="1"/>
  <c r="EG106" i="2"/>
  <c r="DW106" i="2"/>
  <c r="EI22" i="2"/>
  <c r="EC22" i="2"/>
  <c r="EN22" i="2"/>
  <c r="EK22" i="2"/>
  <c r="DU22" i="2"/>
  <c r="M83" i="9" s="1"/>
  <c r="EO22" i="2"/>
  <c r="EB22" i="2"/>
  <c r="DX22" i="2"/>
  <c r="EG22" i="2"/>
  <c r="DZ22" i="2"/>
  <c r="EH22" i="2"/>
  <c r="EL22" i="2"/>
  <c r="Q83" i="9" s="1"/>
  <c r="EA22" i="2"/>
  <c r="ET22" i="2" s="1"/>
  <c r="EE22" i="2"/>
  <c r="EM22" i="2"/>
  <c r="R83" i="9" s="1"/>
  <c r="EF22" i="2"/>
  <c r="EJ22" i="2"/>
  <c r="ED22" i="2"/>
  <c r="ES22" i="2"/>
  <c r="EU22" i="2" s="1"/>
  <c r="EA65" i="2"/>
  <c r="ET65" i="2" s="1"/>
  <c r="DU65" i="2"/>
  <c r="ER65" i="2"/>
  <c r="DZ65" i="2"/>
  <c r="EM65" i="2"/>
  <c r="ES65" i="2"/>
  <c r="EU65" i="2" s="1"/>
  <c r="EH65" i="2"/>
  <c r="DV65" i="2"/>
  <c r="EJ65" i="2"/>
  <c r="EI65" i="2"/>
  <c r="EF65" i="2"/>
  <c r="EE65" i="2"/>
  <c r="ED65" i="2"/>
  <c r="EV65" i="2"/>
  <c r="DX65" i="2"/>
  <c r="DY65" i="2" s="1"/>
  <c r="EQ65" i="2"/>
  <c r="ED97" i="2"/>
  <c r="EP97" i="2"/>
  <c r="DU97" i="2"/>
  <c r="ER97" i="2"/>
  <c r="EL97" i="2"/>
  <c r="EN97" i="2"/>
  <c r="DW97" i="2"/>
  <c r="EV97" i="2"/>
  <c r="EK97" i="2"/>
  <c r="DX97" i="2"/>
  <c r="DY97" i="2" s="1"/>
  <c r="ES97" i="2"/>
  <c r="EU97" i="2" s="1"/>
  <c r="EC97" i="2"/>
  <c r="EQ97" i="2"/>
  <c r="DV97" i="2"/>
  <c r="EG97" i="2"/>
  <c r="DU95" i="2"/>
  <c r="DV95" i="2"/>
  <c r="EH95" i="2"/>
  <c r="EL95" i="2"/>
  <c r="ED95" i="2"/>
  <c r="EN95" i="2"/>
  <c r="ER95" i="2"/>
  <c r="EK95" i="2"/>
  <c r="EP95" i="2"/>
  <c r="EA95" i="2"/>
  <c r="ET95" i="2" s="1"/>
  <c r="EG95" i="2"/>
  <c r="EM95" i="2"/>
  <c r="DZ95" i="2"/>
  <c r="DX95" i="2"/>
  <c r="DY95" i="2" s="1"/>
  <c r="EI95" i="2"/>
  <c r="EJ95" i="2"/>
  <c r="EQ95" i="2"/>
  <c r="ES95" i="2"/>
  <c r="EU95" i="2" s="1"/>
  <c r="EE95" i="2"/>
  <c r="EF30" i="2"/>
  <c r="EE30" i="2"/>
  <c r="EI30" i="2"/>
  <c r="EO30" i="2"/>
  <c r="EA30" i="2"/>
  <c r="ET30" i="2" s="1"/>
  <c r="EC30" i="2"/>
  <c r="EM30" i="2"/>
  <c r="ES30" i="2"/>
  <c r="EU30" i="2" s="1"/>
  <c r="ER30" i="2"/>
  <c r="DX30" i="2"/>
  <c r="DY30" i="2" s="1"/>
  <c r="EK30" i="2"/>
  <c r="EL30" i="2"/>
  <c r="EP30" i="2"/>
  <c r="EH30" i="2"/>
  <c r="DU30" i="2"/>
  <c r="EQ30" i="2"/>
  <c r="EN30" i="2"/>
  <c r="DZ30" i="2"/>
  <c r="DV30" i="2"/>
  <c r="EJ172" i="2"/>
  <c r="EK172" i="2"/>
  <c r="EA172" i="2"/>
  <c r="ET172" i="2" s="1"/>
  <c r="EB172" i="2"/>
  <c r="EH172" i="2"/>
  <c r="EF172" i="2"/>
  <c r="ED172" i="2"/>
  <c r="EM172" i="2"/>
  <c r="EI172" i="2"/>
  <c r="DU172" i="2"/>
  <c r="ER172" i="2"/>
  <c r="DZ172" i="2"/>
  <c r="EV172" i="2"/>
  <c r="DV172" i="2"/>
  <c r="EN172" i="2"/>
  <c r="EP172" i="2"/>
  <c r="EO85" i="2"/>
  <c r="EI85" i="2"/>
  <c r="DZ85" i="2"/>
  <c r="EB85" i="2"/>
  <c r="DX85" i="2"/>
  <c r="DY85" i="2" s="1"/>
  <c r="EJ85" i="2"/>
  <c r="EK85" i="2"/>
  <c r="EV85" i="2"/>
  <c r="ES85" i="2"/>
  <c r="EU85" i="2" s="1"/>
  <c r="EC85" i="2"/>
  <c r="EH85" i="2"/>
  <c r="EF85" i="2"/>
  <c r="EP85" i="2"/>
  <c r="EG85" i="2"/>
  <c r="ED85" i="2"/>
  <c r="EE85" i="2"/>
  <c r="EQ56" i="2"/>
  <c r="EC56" i="2"/>
  <c r="EF56" i="2"/>
  <c r="ER56" i="2"/>
  <c r="EV56" i="2"/>
  <c r="EE56" i="2"/>
  <c r="DZ56" i="2"/>
  <c r="DV56" i="2"/>
  <c r="EL56" i="2"/>
  <c r="DX56" i="2"/>
  <c r="DY56" i="2" s="1"/>
  <c r="ED56" i="2"/>
  <c r="EO56" i="2"/>
  <c r="EA56" i="2"/>
  <c r="ET56" i="2" s="1"/>
  <c r="ES56" i="2"/>
  <c r="EU56" i="2" s="1"/>
  <c r="EK56" i="2"/>
  <c r="EI56" i="2"/>
  <c r="DX46" i="2"/>
  <c r="DY46" i="2" s="1"/>
  <c r="EB46" i="2"/>
  <c r="DV46" i="2"/>
  <c r="EV46" i="2"/>
  <c r="DW46" i="2"/>
  <c r="EG46" i="2"/>
  <c r="EP46" i="2"/>
  <c r="EH46" i="2"/>
  <c r="EC46" i="2"/>
  <c r="EL46" i="2"/>
  <c r="DZ46" i="2"/>
  <c r="EF46" i="2"/>
  <c r="EA46" i="2"/>
  <c r="ET46" i="2" s="1"/>
  <c r="ED46" i="2"/>
  <c r="EN46" i="2"/>
  <c r="EI46" i="2"/>
  <c r="EV162" i="2"/>
  <c r="EH162" i="2"/>
  <c r="EO162" i="2"/>
  <c r="DZ162" i="2"/>
  <c r="DU162" i="2"/>
  <c r="ES162" i="2"/>
  <c r="EU162" i="2" s="1"/>
  <c r="EI162" i="2"/>
  <c r="EK162" i="2"/>
  <c r="ER162" i="2"/>
  <c r="EN162" i="2"/>
  <c r="EE162" i="2"/>
  <c r="EL162" i="2"/>
  <c r="EA162" i="2"/>
  <c r="ET162" i="2" s="1"/>
  <c r="EQ162" i="2"/>
  <c r="DW162" i="2"/>
  <c r="EB162" i="2"/>
  <c r="ED32" i="2"/>
  <c r="DU32" i="2"/>
  <c r="EQ32" i="2"/>
  <c r="EP32" i="2"/>
  <c r="EB32" i="2"/>
  <c r="DZ32" i="2"/>
  <c r="EV32" i="2"/>
  <c r="EL32" i="2"/>
  <c r="EA32" i="2"/>
  <c r="ET32" i="2" s="1"/>
  <c r="EK32" i="2"/>
  <c r="EM32" i="2"/>
  <c r="EO32" i="2"/>
  <c r="ER32" i="2"/>
  <c r="EC32" i="2"/>
  <c r="ES32" i="2"/>
  <c r="EU32" i="2" s="1"/>
  <c r="EJ32" i="2"/>
  <c r="EF120" i="2"/>
  <c r="EL120" i="2"/>
  <c r="DZ120" i="2"/>
  <c r="EJ120" i="2"/>
  <c r="EV120" i="2"/>
  <c r="ED120" i="2"/>
  <c r="EH120" i="2"/>
  <c r="EO120" i="2"/>
  <c r="EB120" i="2"/>
  <c r="EE120" i="2"/>
  <c r="EA120" i="2"/>
  <c r="ET120" i="2" s="1"/>
  <c r="DW120" i="2"/>
  <c r="EK120" i="2"/>
  <c r="EG120" i="2"/>
  <c r="DX120" i="2"/>
  <c r="DY120" i="2" s="1"/>
  <c r="EI120" i="2"/>
  <c r="EJ80" i="2"/>
  <c r="EB80" i="2"/>
  <c r="EI80" i="2"/>
  <c r="EV80" i="2"/>
  <c r="DU80" i="2"/>
  <c r="EN80" i="2"/>
  <c r="ES80" i="2"/>
  <c r="EU80" i="2" s="1"/>
  <c r="EP80" i="2"/>
  <c r="ED80" i="2"/>
  <c r="EQ80" i="2"/>
  <c r="EK80" i="2"/>
  <c r="DW80" i="2"/>
  <c r="DZ80" i="2"/>
  <c r="EH80" i="2"/>
  <c r="EO80" i="2"/>
  <c r="DV80" i="2"/>
  <c r="EN126" i="2"/>
  <c r="EC126" i="2"/>
  <c r="EP126" i="2"/>
  <c r="EV126" i="2"/>
  <c r="EJ126" i="2"/>
  <c r="EO126" i="2"/>
  <c r="DZ126" i="2"/>
  <c r="EH126" i="2"/>
  <c r="DW126" i="2"/>
  <c r="EQ126" i="2"/>
  <c r="EK126" i="2"/>
  <c r="EI126" i="2"/>
  <c r="ES126" i="2"/>
  <c r="EU126" i="2" s="1"/>
  <c r="EM126" i="2"/>
  <c r="EF126" i="2"/>
  <c r="EG126" i="2"/>
  <c r="EM34" i="2"/>
  <c r="EO34" i="2"/>
  <c r="ED34" i="2"/>
  <c r="EJ34" i="2"/>
  <c r="EL34" i="2"/>
  <c r="DW34" i="2"/>
  <c r="EK34" i="2"/>
  <c r="DU34" i="2"/>
  <c r="EC34" i="2"/>
  <c r="DV34" i="2"/>
  <c r="EG34" i="2"/>
  <c r="ES34" i="2"/>
  <c r="EU34" i="2" s="1"/>
  <c r="EH34" i="2"/>
  <c r="EP34" i="2"/>
  <c r="EA34" i="2"/>
  <c r="ET34" i="2" s="1"/>
  <c r="ER34" i="2"/>
  <c r="DV89" i="2"/>
  <c r="DW89" i="2"/>
  <c r="ED89" i="2"/>
  <c r="EP89" i="2"/>
  <c r="EH89" i="2"/>
  <c r="EL89" i="2"/>
  <c r="EG89" i="2"/>
  <c r="EI89" i="2"/>
  <c r="DZ89" i="2"/>
  <c r="EE89" i="2"/>
  <c r="EC89" i="2"/>
  <c r="EB89" i="2"/>
  <c r="EF89" i="2"/>
  <c r="EM89" i="2"/>
  <c r="DX89" i="2"/>
  <c r="DY89" i="2" s="1"/>
  <c r="ER89" i="2"/>
  <c r="EJ58" i="2"/>
  <c r="EK58" i="2"/>
  <c r="EM58" i="2"/>
  <c r="EB58" i="2"/>
  <c r="EI58" i="2"/>
  <c r="DW58" i="2"/>
  <c r="EG58" i="2"/>
  <c r="ES58" i="2"/>
  <c r="EU58" i="2" s="1"/>
  <c r="EQ58" i="2"/>
  <c r="DV58" i="2"/>
  <c r="EH58" i="2"/>
  <c r="EV58" i="2"/>
  <c r="EN58" i="2"/>
  <c r="EL58" i="2"/>
  <c r="EO58" i="2"/>
  <c r="EE58" i="2"/>
  <c r="DW139" i="2"/>
  <c r="EF139" i="2"/>
  <c r="EL139" i="2"/>
  <c r="EO139" i="2"/>
  <c r="EB139" i="2"/>
  <c r="EH139" i="2"/>
  <c r="EE139" i="2"/>
  <c r="EV139" i="2"/>
  <c r="EP139" i="2"/>
  <c r="EJ139" i="2"/>
  <c r="EK139" i="2"/>
  <c r="DV139" i="2"/>
  <c r="EQ139" i="2"/>
  <c r="EA139" i="2"/>
  <c r="ET139" i="2" s="1"/>
  <c r="EN139" i="2"/>
  <c r="EC139" i="2"/>
  <c r="EG56" i="2"/>
  <c r="DU46" i="2"/>
  <c r="ED162" i="2"/>
  <c r="ES172" i="2"/>
  <c r="EU172" i="2" s="1"/>
  <c r="DW32" i="2"/>
  <c r="EP120" i="2"/>
  <c r="EC80" i="2"/>
  <c r="EP65" i="2"/>
  <c r="EC65" i="2"/>
  <c r="ER85" i="2"/>
  <c r="EO97" i="2"/>
  <c r="DV68" i="2"/>
  <c r="EP68" i="2"/>
  <c r="EN96" i="2"/>
  <c r="EV121" i="2"/>
  <c r="EO121" i="2"/>
  <c r="EH161" i="2"/>
  <c r="DW22" i="2"/>
  <c r="EC95" i="2"/>
  <c r="DW30" i="2"/>
  <c r="EP56" i="2"/>
  <c r="ES46" i="2"/>
  <c r="EU46" i="2" s="1"/>
  <c r="EG162" i="2"/>
  <c r="EO172" i="2"/>
  <c r="EN32" i="2"/>
  <c r="EN120" i="2"/>
  <c r="DX80" i="2"/>
  <c r="DY80" i="2" s="1"/>
  <c r="EB65" i="2"/>
  <c r="DW85" i="2"/>
  <c r="EH97" i="2"/>
  <c r="EB97" i="2"/>
  <c r="ER126" i="2"/>
  <c r="EB34" i="2"/>
  <c r="ES89" i="2"/>
  <c r="EU89" i="2" s="1"/>
  <c r="EQ68" i="2"/>
  <c r="EC58" i="2"/>
  <c r="EB96" i="2"/>
  <c r="EC121" i="2"/>
  <c r="ER121" i="2"/>
  <c r="EK161" i="2"/>
  <c r="EO161" i="2"/>
  <c r="ED106" i="2"/>
  <c r="ER22" i="2"/>
  <c r="ED30" i="2"/>
  <c r="EQ53" i="2"/>
  <c r="EK53" i="2"/>
  <c r="EJ53" i="2"/>
  <c r="DX53" i="2"/>
  <c r="DY53" i="2" s="1"/>
  <c r="DU53" i="2"/>
  <c r="DZ53" i="2"/>
  <c r="EV53" i="2"/>
  <c r="EM53" i="2"/>
  <c r="DV53" i="2"/>
  <c r="EI53" i="2"/>
  <c r="EA53" i="2"/>
  <c r="ET53" i="2" s="1"/>
  <c r="ED53" i="2"/>
  <c r="ER53" i="2"/>
  <c r="EE53" i="2"/>
  <c r="EO53" i="2"/>
  <c r="BM20" i="2"/>
  <c r="BI26" i="2" s="1"/>
  <c r="AQ26" i="2" s="1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X21" i="2"/>
  <c r="BX22" i="2"/>
  <c r="IY22" i="2"/>
  <c r="CJ20" i="2"/>
  <c r="CJ21" i="2"/>
  <c r="BG21" i="8"/>
  <c r="AV21" i="8"/>
  <c r="IL21" i="2" s="1"/>
  <c r="JH21" i="2"/>
  <c r="JI21" i="2" s="1"/>
  <c r="JJ21" i="2" s="1"/>
  <c r="BX19" i="2"/>
  <c r="BX20" i="2"/>
  <c r="W19" i="8"/>
  <c r="W20" i="8"/>
  <c r="DY20" i="2"/>
  <c r="P59" i="9" s="1"/>
  <c r="L23" i="9"/>
  <c r="HP17" i="2"/>
  <c r="HS19" i="2"/>
  <c r="IY19" i="2"/>
  <c r="HP11" i="2"/>
  <c r="CJ18" i="2"/>
  <c r="CJ19" i="2"/>
  <c r="L22" i="9"/>
  <c r="HS18" i="2"/>
  <c r="IY18" i="2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EB10" i="2"/>
  <c r="L4" i="9"/>
  <c r="DW10" i="2"/>
  <c r="DX10" i="2" s="1"/>
  <c r="DY10" i="2" s="1"/>
  <c r="DV10" i="2"/>
  <c r="DV11" i="2"/>
  <c r="EB11" i="2"/>
  <c r="DU11" i="2"/>
  <c r="DW11" i="2"/>
  <c r="DX11" i="2" s="1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EB8" i="2"/>
  <c r="DU8" i="2"/>
  <c r="M5" i="9" s="1"/>
  <c r="DW8" i="2"/>
  <c r="DX8" i="2" s="1"/>
  <c r="DY8" i="2" s="1"/>
  <c r="P5" i="9" s="1"/>
  <c r="DV8" i="2"/>
  <c r="N5" i="9" s="1"/>
  <c r="DU7" i="2"/>
  <c r="DV7" i="2"/>
  <c r="EB7" i="2"/>
  <c r="DW7" i="2"/>
  <c r="DX7" i="2" s="1"/>
  <c r="DY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EB3" i="2"/>
  <c r="BX12" i="2"/>
  <c r="HP2" i="2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M6" i="9" s="1"/>
  <c r="DV5" i="2"/>
  <c r="N6" i="9" s="1"/>
  <c r="DW5" i="2"/>
  <c r="DX5" i="2" s="1"/>
  <c r="L6" i="9"/>
  <c r="L14" i="9"/>
  <c r="L13" i="9"/>
  <c r="L17" i="9"/>
  <c r="L18" i="9"/>
  <c r="DY4" i="2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BI4" i="2"/>
  <c r="AQ4" i="2" s="1"/>
  <c r="IY9" i="2"/>
  <c r="EY19" i="2"/>
  <c r="N8" i="9" s="1"/>
  <c r="EY18" i="2"/>
  <c r="M34" i="9" s="1"/>
  <c r="EY20" i="2"/>
  <c r="O8" i="9" s="1"/>
  <c r="L16" i="9"/>
  <c r="P3" i="8"/>
  <c r="P4" i="8"/>
  <c r="JH2" i="2"/>
  <c r="BG2" i="8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L9" i="9"/>
  <c r="HP13" i="2"/>
  <c r="HP12" i="2"/>
  <c r="HP8" i="2"/>
  <c r="EB6" i="2"/>
  <c r="DV6" i="2"/>
  <c r="DU6" i="2"/>
  <c r="M11" i="9" s="1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DE20" i="2" l="1"/>
  <c r="DE22" i="2"/>
  <c r="BI23" i="2"/>
  <c r="AQ23" i="2" s="1"/>
  <c r="O62" i="9"/>
  <c r="O83" i="9"/>
  <c r="R98" i="9"/>
  <c r="R62" i="9"/>
  <c r="M98" i="9"/>
  <c r="M62" i="9"/>
  <c r="Q98" i="9"/>
  <c r="Q62" i="9"/>
  <c r="N98" i="9"/>
  <c r="N62" i="9"/>
  <c r="HR35" i="2"/>
  <c r="IO3" i="2"/>
  <c r="IO37" i="2"/>
  <c r="IO36" i="2"/>
  <c r="IO33" i="2"/>
  <c r="IO35" i="2"/>
  <c r="IO31" i="2"/>
  <c r="IV34" i="2"/>
  <c r="IW34" i="2" s="1"/>
  <c r="BF34" i="8" s="1"/>
  <c r="IY34" i="2"/>
  <c r="IO30" i="2"/>
  <c r="IV37" i="2"/>
  <c r="IW37" i="2" s="1"/>
  <c r="BF37" i="8" s="1"/>
  <c r="IV35" i="2"/>
  <c r="IW35" i="2" s="1"/>
  <c r="BF35" i="8" s="1"/>
  <c r="IV33" i="2"/>
  <c r="IW33" i="2" s="1"/>
  <c r="BF33" i="8" s="1"/>
  <c r="IV36" i="2"/>
  <c r="IW36" i="2" s="1"/>
  <c r="BF36" i="8" s="1"/>
  <c r="HM37" i="2"/>
  <c r="HM35" i="2"/>
  <c r="HM36" i="2"/>
  <c r="HM33" i="2"/>
  <c r="HM31" i="2"/>
  <c r="HR33" i="2"/>
  <c r="HR31" i="2"/>
  <c r="HR30" i="2"/>
  <c r="IY30" i="2"/>
  <c r="IV30" i="2"/>
  <c r="IW30" i="2" s="1"/>
  <c r="BF30" i="8" s="1"/>
  <c r="HR36" i="2"/>
  <c r="HM34" i="2"/>
  <c r="HR37" i="2"/>
  <c r="HR34" i="2"/>
  <c r="IO34" i="2"/>
  <c r="BI29" i="2"/>
  <c r="AQ29" i="2" s="1"/>
  <c r="BI36" i="2"/>
  <c r="AQ36" i="2" s="1"/>
  <c r="BI35" i="2"/>
  <c r="AQ35" i="2" s="1"/>
  <c r="BI37" i="2"/>
  <c r="AQ37" i="2" s="1"/>
  <c r="BI33" i="2"/>
  <c r="AQ33" i="2" s="1"/>
  <c r="BI31" i="2"/>
  <c r="AQ31" i="2" s="1"/>
  <c r="BI34" i="2"/>
  <c r="AQ34" i="2" s="1"/>
  <c r="BI32" i="2"/>
  <c r="AQ32" i="2" s="1"/>
  <c r="BI30" i="2"/>
  <c r="AQ30" i="2" s="1"/>
  <c r="IV31" i="2"/>
  <c r="IW31" i="2" s="1"/>
  <c r="BF31" i="8" s="1"/>
  <c r="IV32" i="2"/>
  <c r="IW32" i="2" s="1"/>
  <c r="BF32" i="8" s="1"/>
  <c r="IY32" i="2"/>
  <c r="IO32" i="2"/>
  <c r="BI28" i="2"/>
  <c r="AQ28" i="2" s="1"/>
  <c r="HR32" i="2"/>
  <c r="HM32" i="2"/>
  <c r="HM30" i="2"/>
  <c r="GL37" i="2"/>
  <c r="GM37" i="2" s="1"/>
  <c r="GL31" i="2"/>
  <c r="GM31" i="2" s="1"/>
  <c r="GL35" i="2"/>
  <c r="GM35" i="2" s="1"/>
  <c r="GL36" i="2"/>
  <c r="GM36" i="2" s="1"/>
  <c r="GL34" i="2"/>
  <c r="GM34" i="2" s="1"/>
  <c r="GL32" i="2"/>
  <c r="GM32" i="2" s="1"/>
  <c r="GL30" i="2"/>
  <c r="GM30" i="2" s="1"/>
  <c r="GL33" i="2"/>
  <c r="GM33" i="2" s="1"/>
  <c r="O90" i="9"/>
  <c r="O98" i="9"/>
  <c r="BI24" i="2"/>
  <c r="AQ24" i="2" s="1"/>
  <c r="M82" i="9"/>
  <c r="M90" i="9"/>
  <c r="N82" i="9"/>
  <c r="N90" i="9"/>
  <c r="R82" i="9"/>
  <c r="R90" i="9"/>
  <c r="Q82" i="9"/>
  <c r="Q90" i="9"/>
  <c r="O74" i="9"/>
  <c r="O82" i="9"/>
  <c r="BI27" i="2"/>
  <c r="AQ27" i="2" s="1"/>
  <c r="M72" i="9"/>
  <c r="M74" i="9"/>
  <c r="Q72" i="9"/>
  <c r="R72" i="9"/>
  <c r="N72" i="9"/>
  <c r="N74" i="9"/>
  <c r="DY22" i="2"/>
  <c r="P83" i="9" s="1"/>
  <c r="O72" i="9"/>
  <c r="A12" i="1"/>
  <c r="A13" i="1" s="1"/>
  <c r="BI13" i="2"/>
  <c r="AQ13" i="2" s="1"/>
  <c r="BI22" i="2"/>
  <c r="AQ22" i="2" s="1"/>
  <c r="DE21" i="2"/>
  <c r="BI21" i="2"/>
  <c r="AQ21" i="2" s="1"/>
  <c r="BI15" i="2"/>
  <c r="AQ15" i="2" s="1"/>
  <c r="BI17" i="2"/>
  <c r="AQ17" i="2" s="1"/>
  <c r="BI20" i="2"/>
  <c r="AQ20" i="2" s="1"/>
  <c r="O7" i="9"/>
  <c r="BI14" i="2"/>
  <c r="AQ14" i="2" s="1"/>
  <c r="BI19" i="2"/>
  <c r="AQ19" i="2" s="1"/>
  <c r="BI18" i="2"/>
  <c r="AQ18" i="2" s="1"/>
  <c r="BI12" i="2"/>
  <c r="AQ12" i="2" s="1"/>
  <c r="BI7" i="2"/>
  <c r="AQ7" i="2" s="1"/>
  <c r="O4" i="9"/>
  <c r="BI6" i="2"/>
  <c r="AQ6" i="2" s="1"/>
  <c r="BI5" i="2"/>
  <c r="AQ5" i="2" s="1"/>
  <c r="BI9" i="2"/>
  <c r="AQ9" i="2" s="1"/>
  <c r="B33" i="5"/>
  <c r="B34" i="5" s="1"/>
  <c r="BI11" i="2"/>
  <c r="AQ11" i="2" s="1"/>
  <c r="BI2" i="2"/>
  <c r="AQ2" i="2" s="1"/>
  <c r="BI8" i="2"/>
  <c r="AQ8" i="2" s="1"/>
  <c r="BI3" i="2"/>
  <c r="BI10" i="2"/>
  <c r="AQ10" i="2" s="1"/>
  <c r="IO7" i="2"/>
  <c r="O25" i="9"/>
  <c r="IV29" i="2"/>
  <c r="IW29" i="2" s="1"/>
  <c r="BF29" i="8" s="1"/>
  <c r="IX29" i="2" s="1"/>
  <c r="IO12" i="2"/>
  <c r="HR29" i="2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P6" i="9" s="1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AQ3" i="2"/>
  <c r="AU25" i="2" s="1"/>
  <c r="HR11" i="2"/>
  <c r="HR4" i="2"/>
  <c r="HR8" i="2"/>
  <c r="HR10" i="2"/>
  <c r="HR12" i="2"/>
  <c r="HR3" i="2"/>
  <c r="HR2" i="2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EP21" i="2" l="1"/>
  <c r="DZ21" i="2"/>
  <c r="DF22" i="2"/>
  <c r="EP19" i="2"/>
  <c r="DZ19" i="2"/>
  <c r="P98" i="9"/>
  <c r="P62" i="9"/>
  <c r="EP13" i="2"/>
  <c r="DZ13" i="2"/>
  <c r="HU35" i="2"/>
  <c r="FZ34" i="2"/>
  <c r="HU32" i="2"/>
  <c r="HT32" i="2"/>
  <c r="AU32" i="2"/>
  <c r="HT30" i="2"/>
  <c r="HU30" i="2"/>
  <c r="IX36" i="2"/>
  <c r="IZ36" i="2"/>
  <c r="AU34" i="2"/>
  <c r="HT34" i="2"/>
  <c r="HU34" i="2"/>
  <c r="HT31" i="2"/>
  <c r="HU31" i="2"/>
  <c r="IX33" i="2"/>
  <c r="IZ33" i="2"/>
  <c r="AU31" i="2"/>
  <c r="HT37" i="2"/>
  <c r="HU37" i="2"/>
  <c r="HT33" i="2"/>
  <c r="HU33" i="2"/>
  <c r="IX35" i="2"/>
  <c r="IZ35" i="2"/>
  <c r="FZ36" i="2"/>
  <c r="AU33" i="2"/>
  <c r="IX37" i="2"/>
  <c r="IZ37" i="2"/>
  <c r="AU37" i="2"/>
  <c r="HT36" i="2"/>
  <c r="HU36" i="2"/>
  <c r="BY36" i="2"/>
  <c r="BY37" i="2"/>
  <c r="BY35" i="2"/>
  <c r="BY31" i="2"/>
  <c r="BY33" i="2"/>
  <c r="BY30" i="2"/>
  <c r="BY34" i="2"/>
  <c r="BY32" i="2"/>
  <c r="FZ30" i="2"/>
  <c r="FZ35" i="2"/>
  <c r="FZ37" i="2"/>
  <c r="IX32" i="2"/>
  <c r="IZ32" i="2"/>
  <c r="AU35" i="2"/>
  <c r="IX30" i="2"/>
  <c r="IZ30" i="2"/>
  <c r="CK36" i="2"/>
  <c r="CK37" i="2"/>
  <c r="CK31" i="2"/>
  <c r="CK35" i="2"/>
  <c r="CK34" i="2"/>
  <c r="CK32" i="2"/>
  <c r="CK33" i="2"/>
  <c r="CK30" i="2"/>
  <c r="FZ33" i="2"/>
  <c r="FZ32" i="2"/>
  <c r="FZ31" i="2"/>
  <c r="IX31" i="2"/>
  <c r="IZ31" i="2"/>
  <c r="AU36" i="2"/>
  <c r="HT35" i="2"/>
  <c r="AU30" i="2"/>
  <c r="IX34" i="2"/>
  <c r="IZ34" i="2"/>
  <c r="P82" i="9"/>
  <c r="P90" i="9"/>
  <c r="P72" i="9"/>
  <c r="P74" i="9"/>
  <c r="DZ11" i="2"/>
  <c r="EP11" i="2"/>
  <c r="DF21" i="2"/>
  <c r="A14" i="1"/>
  <c r="A15" i="1" s="1"/>
  <c r="DF20" i="2"/>
  <c r="A14" i="2"/>
  <c r="L35" i="10"/>
  <c r="EP10" i="2"/>
  <c r="DZ10" i="2"/>
  <c r="EP9" i="2"/>
  <c r="DZ9" i="2"/>
  <c r="BM2" i="2"/>
  <c r="BJ26" i="2" s="1"/>
  <c r="HU29" i="2"/>
  <c r="IZ29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P8" i="9"/>
  <c r="P24" i="9"/>
  <c r="CK20" i="2"/>
  <c r="CK21" i="2"/>
  <c r="BY20" i="2"/>
  <c r="BY21" i="2"/>
  <c r="IX21" i="2"/>
  <c r="IZ21" i="2"/>
  <c r="BY18" i="2"/>
  <c r="BY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Y14" i="2"/>
  <c r="BY15" i="2"/>
  <c r="DF14" i="2"/>
  <c r="FH10" i="2"/>
  <c r="FH14" i="2"/>
  <c r="IZ14" i="2"/>
  <c r="HU14" i="2"/>
  <c r="FZ14" i="2"/>
  <c r="AU14" i="2"/>
  <c r="HT14" i="2"/>
  <c r="DZ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FZ3" i="2"/>
  <c r="FZ7" i="2"/>
  <c r="FZ2" i="2"/>
  <c r="GA2" i="2" s="1"/>
  <c r="FZ13" i="2"/>
  <c r="FZ4" i="2"/>
  <c r="FZ5" i="2"/>
  <c r="FZ10" i="2"/>
  <c r="FZ12" i="2"/>
  <c r="FZ9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P5" i="2"/>
  <c r="P13" i="9"/>
  <c r="P12" i="9"/>
  <c r="HT4" i="2"/>
  <c r="EA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AL11" i="2"/>
  <c r="A11" i="2"/>
  <c r="BJ4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EE21" i="2" l="1"/>
  <c r="EE19" i="2"/>
  <c r="BJ23" i="2"/>
  <c r="BJ25" i="2"/>
  <c r="BJ16" i="2"/>
  <c r="EE13" i="2"/>
  <c r="JA37" i="2"/>
  <c r="JA33" i="2"/>
  <c r="JA35" i="2"/>
  <c r="JA36" i="2"/>
  <c r="JA31" i="2"/>
  <c r="JA30" i="2"/>
  <c r="JA34" i="2"/>
  <c r="JA32" i="2"/>
  <c r="GA31" i="2"/>
  <c r="GA37" i="2"/>
  <c r="BJ8" i="2"/>
  <c r="BJ37" i="2"/>
  <c r="BJ36" i="2"/>
  <c r="BJ33" i="2"/>
  <c r="BJ35" i="2"/>
  <c r="BJ31" i="2"/>
  <c r="BJ34" i="2"/>
  <c r="BJ32" i="2"/>
  <c r="BJ30" i="2"/>
  <c r="GA32" i="2"/>
  <c r="GA35" i="2"/>
  <c r="GA36" i="2"/>
  <c r="GA33" i="2"/>
  <c r="GA30" i="2"/>
  <c r="GA34" i="2"/>
  <c r="BJ27" i="2"/>
  <c r="BJ24" i="2"/>
  <c r="EE11" i="2"/>
  <c r="BJ13" i="2"/>
  <c r="BJ17" i="2"/>
  <c r="BJ22" i="2"/>
  <c r="BJ21" i="2"/>
  <c r="A16" i="1"/>
  <c r="AL14" i="2"/>
  <c r="BJ20" i="2"/>
  <c r="B23" i="9"/>
  <c r="BJ15" i="2"/>
  <c r="EE9" i="2"/>
  <c r="EE10" i="2"/>
  <c r="BJ14" i="2"/>
  <c r="BJ19" i="2"/>
  <c r="BJ18" i="2"/>
  <c r="BJ5" i="2"/>
  <c r="BJ11" i="2"/>
  <c r="BJ9" i="2"/>
  <c r="BJ7" i="2"/>
  <c r="BM9" i="2"/>
  <c r="CT3" i="2" s="1"/>
  <c r="B16" i="5" s="1"/>
  <c r="BJ10" i="2"/>
  <c r="BJ12" i="2"/>
  <c r="BJ3" i="2"/>
  <c r="BJ2" i="2"/>
  <c r="BJ6" i="2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E20" i="2"/>
  <c r="DJ21" i="2"/>
  <c r="GA19" i="2"/>
  <c r="DJ18" i="2"/>
  <c r="DJ19" i="2"/>
  <c r="JA19" i="2"/>
  <c r="JA18" i="2"/>
  <c r="GA18" i="2"/>
  <c r="DJ16" i="2"/>
  <c r="DJ17" i="2"/>
  <c r="JA17" i="2"/>
  <c r="GA17" i="2"/>
  <c r="AL15" i="2"/>
  <c r="A15" i="2"/>
  <c r="A16" i="2"/>
  <c r="JA15" i="2"/>
  <c r="JA16" i="2"/>
  <c r="GA16" i="2"/>
  <c r="DJ14" i="2"/>
  <c r="DJ15" i="2"/>
  <c r="GA15" i="2"/>
  <c r="JA14" i="2"/>
  <c r="GA14" i="2"/>
  <c r="EE12" i="2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E7" i="2"/>
  <c r="DJ12" i="2"/>
  <c r="EE8" i="2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JA12" i="2"/>
  <c r="JE4" i="2"/>
  <c r="EE5" i="2"/>
  <c r="EK4" i="2"/>
  <c r="EM4" i="2" s="1"/>
  <c r="EJ4" i="2"/>
  <c r="EL4" i="2" s="1"/>
  <c r="EC4" i="2"/>
  <c r="EF4" i="2" s="1"/>
  <c r="EE4" i="2"/>
  <c r="ED4" i="2"/>
  <c r="EG4" i="2" s="1"/>
  <c r="EI4" i="2" s="1"/>
  <c r="ET4" i="2"/>
  <c r="ES4" i="2"/>
  <c r="EU4" i="2" s="1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A13" i="2"/>
  <c r="AL13" i="2"/>
  <c r="DJ13" i="2"/>
  <c r="DJ6" i="2"/>
  <c r="DJ10" i="2"/>
  <c r="DJ7" i="2"/>
  <c r="DJ11" i="2"/>
  <c r="DJ5" i="2"/>
  <c r="DJ8" i="2"/>
  <c r="DJ4" i="2"/>
  <c r="DJ3" i="2"/>
  <c r="DJ2" i="2"/>
  <c r="DJ9" i="2"/>
  <c r="B19" i="9"/>
  <c r="AL12" i="2"/>
  <c r="A12" i="2"/>
  <c r="EE6" i="2"/>
  <c r="EE2" i="2"/>
  <c r="CN3" i="2"/>
  <c r="CN4" i="2" s="1"/>
  <c r="B22" i="9"/>
  <c r="D24" i="9"/>
  <c r="EA19" i="2" l="1"/>
  <c r="EA21" i="2"/>
  <c r="EA20" i="2"/>
  <c r="EQ21" i="2"/>
  <c r="EQ19" i="2"/>
  <c r="AL16" i="2"/>
  <c r="R59" i="9"/>
  <c r="R74" i="9"/>
  <c r="Q59" i="9"/>
  <c r="Q74" i="9"/>
  <c r="EA11" i="2"/>
  <c r="EJ11" i="2" s="1"/>
  <c r="EL11" i="2" s="1"/>
  <c r="EN11" i="2" s="1"/>
  <c r="EA13" i="2"/>
  <c r="EA12" i="2"/>
  <c r="EQ13" i="2"/>
  <c r="EQ11" i="2"/>
  <c r="EA9" i="2"/>
  <c r="EA10" i="2"/>
  <c r="EQ10" i="2"/>
  <c r="EQ9" i="2"/>
  <c r="EA2" i="2"/>
  <c r="ED2" i="2" s="1"/>
  <c r="EG2" i="2" s="1"/>
  <c r="EI2" i="2" s="1"/>
  <c r="EA5" i="2"/>
  <c r="EA7" i="2"/>
  <c r="EA8" i="2"/>
  <c r="EA6" i="2"/>
  <c r="CT11" i="2"/>
  <c r="CT19" i="2" s="1"/>
  <c r="BM3" i="2"/>
  <c r="BM4" i="2" s="1"/>
  <c r="BM11" i="2" s="1"/>
  <c r="Q3" i="9"/>
  <c r="HY4" i="2"/>
  <c r="Y33" i="8" s="1"/>
  <c r="FJ27" i="2"/>
  <c r="FM27" i="2" s="1"/>
  <c r="FJ28" i="2"/>
  <c r="FM28" i="2" s="1"/>
  <c r="Q29" i="9"/>
  <c r="FJ25" i="2"/>
  <c r="FM25" i="2" s="1"/>
  <c r="FJ26" i="2"/>
  <c r="FM26" i="2" s="1"/>
  <c r="FJ23" i="2"/>
  <c r="FM23" i="2" s="1"/>
  <c r="FJ24" i="2"/>
  <c r="FM24" i="2" s="1"/>
  <c r="R26" i="9"/>
  <c r="R29" i="9"/>
  <c r="Q25" i="9"/>
  <c r="R24" i="9"/>
  <c r="R25" i="9"/>
  <c r="Q24" i="9"/>
  <c r="EQ20" i="2"/>
  <c r="FJ16" i="2"/>
  <c r="FM16" i="2" s="1"/>
  <c r="FJ17" i="2"/>
  <c r="FM17" i="2" s="1"/>
  <c r="FJ3" i="2"/>
  <c r="FM3" i="2" s="1"/>
  <c r="FJ14" i="2"/>
  <c r="FM14" i="2" s="1"/>
  <c r="EQ12" i="2"/>
  <c r="R4" i="9"/>
  <c r="Q4" i="9"/>
  <c r="GW7" i="2"/>
  <c r="GW5" i="2" s="1"/>
  <c r="GW6" i="2" s="1"/>
  <c r="EQ7" i="2"/>
  <c r="R5" i="9"/>
  <c r="EQ8" i="2"/>
  <c r="R12" i="9"/>
  <c r="Y37" i="8"/>
  <c r="HY9" i="2"/>
  <c r="HZ9" i="2"/>
  <c r="HY10" i="2" s="1"/>
  <c r="Y39" i="8" s="1"/>
  <c r="EQ5" i="2"/>
  <c r="R6" i="9"/>
  <c r="BK31" i="8"/>
  <c r="BK30" i="8" s="1"/>
  <c r="ER4" i="2"/>
  <c r="EI3" i="2"/>
  <c r="EH4" i="2"/>
  <c r="EN4" i="2"/>
  <c r="EQ4" i="2"/>
  <c r="EO4" i="2"/>
  <c r="CB16" i="2"/>
  <c r="CU20" i="2" s="1"/>
  <c r="CU15" i="2"/>
  <c r="CB5" i="2"/>
  <c r="CB11" i="2" s="1"/>
  <c r="CB6" i="2"/>
  <c r="CB12" i="2" s="1"/>
  <c r="CB7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Q2" i="2"/>
  <c r="EQ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EJ20" i="2" l="1"/>
  <c r="EL20" i="2" s="1"/>
  <c r="EN20" i="2" s="1"/>
  <c r="ED20" i="2"/>
  <c r="EG20" i="2" s="1"/>
  <c r="EI20" i="2" s="1"/>
  <c r="EK20" i="2"/>
  <c r="EM20" i="2" s="1"/>
  <c r="EO20" i="2" s="1"/>
  <c r="EC20" i="2"/>
  <c r="EF20" i="2" s="1"/>
  <c r="EH20" i="2" s="1"/>
  <c r="ES20" i="2"/>
  <c r="ES21" i="2"/>
  <c r="ED21" i="2"/>
  <c r="EG21" i="2" s="1"/>
  <c r="EI21" i="2" s="1"/>
  <c r="EK21" i="2"/>
  <c r="EM21" i="2" s="1"/>
  <c r="EO21" i="2" s="1"/>
  <c r="EJ21" i="2"/>
  <c r="EL21" i="2" s="1"/>
  <c r="EN21" i="2" s="1"/>
  <c r="EC21" i="2"/>
  <c r="EF21" i="2" s="1"/>
  <c r="EH21" i="2" s="1"/>
  <c r="ES19" i="2"/>
  <c r="EC19" i="2"/>
  <c r="EF19" i="2" s="1"/>
  <c r="EH19" i="2" s="1"/>
  <c r="EJ19" i="2"/>
  <c r="EL19" i="2" s="1"/>
  <c r="EN19" i="2" s="1"/>
  <c r="ED19" i="2"/>
  <c r="EG19" i="2" s="1"/>
  <c r="EI19" i="2" s="1"/>
  <c r="EK19" i="2"/>
  <c r="EM19" i="2" s="1"/>
  <c r="EO19" i="2" s="1"/>
  <c r="Q10" i="9"/>
  <c r="ES11" i="2"/>
  <c r="ED11" i="2"/>
  <c r="EG11" i="2" s="1"/>
  <c r="EI11" i="2" s="1"/>
  <c r="EK11" i="2"/>
  <c r="EM11" i="2" s="1"/>
  <c r="ES12" i="2"/>
  <c r="ED12" i="2"/>
  <c r="EG12" i="2" s="1"/>
  <c r="EI12" i="2" s="1"/>
  <c r="EC12" i="2"/>
  <c r="EF12" i="2" s="1"/>
  <c r="EH12" i="2" s="1"/>
  <c r="EK12" i="2"/>
  <c r="EM12" i="2" s="1"/>
  <c r="EO12" i="2" s="1"/>
  <c r="EJ12" i="2"/>
  <c r="EL12" i="2" s="1"/>
  <c r="EN12" i="2" s="1"/>
  <c r="EC11" i="2"/>
  <c r="EF11" i="2" s="1"/>
  <c r="EH11" i="2" s="1"/>
  <c r="EC13" i="2"/>
  <c r="EF13" i="2" s="1"/>
  <c r="EH13" i="2" s="1"/>
  <c r="EJ13" i="2"/>
  <c r="EL13" i="2" s="1"/>
  <c r="EN13" i="2" s="1"/>
  <c r="ED13" i="2"/>
  <c r="EG13" i="2" s="1"/>
  <c r="EI13" i="2" s="1"/>
  <c r="EK13" i="2"/>
  <c r="EM13" i="2" s="1"/>
  <c r="EO13" i="2" s="1"/>
  <c r="ES13" i="2"/>
  <c r="GW3" i="2"/>
  <c r="GO29" i="2" s="1"/>
  <c r="GP29" i="2" s="1"/>
  <c r="ES10" i="2"/>
  <c r="EK10" i="2"/>
  <c r="EM10" i="2" s="1"/>
  <c r="EO10" i="2" s="1"/>
  <c r="ED10" i="2"/>
  <c r="EG10" i="2" s="1"/>
  <c r="EI10" i="2" s="1"/>
  <c r="EC10" i="2"/>
  <c r="EF10" i="2" s="1"/>
  <c r="EH10" i="2" s="1"/>
  <c r="EJ10" i="2"/>
  <c r="EL10" i="2" s="1"/>
  <c r="EN10" i="2" s="1"/>
  <c r="ES9" i="2"/>
  <c r="EJ9" i="2"/>
  <c r="EL9" i="2" s="1"/>
  <c r="EN9" i="2" s="1"/>
  <c r="EC9" i="2"/>
  <c r="EF9" i="2" s="1"/>
  <c r="EH9" i="2" s="1"/>
  <c r="EK9" i="2"/>
  <c r="EM9" i="2" s="1"/>
  <c r="EO9" i="2" s="1"/>
  <c r="ED9" i="2"/>
  <c r="EG9" i="2" s="1"/>
  <c r="EI9" i="2" s="1"/>
  <c r="EJ2" i="2"/>
  <c r="EL2" i="2" s="1"/>
  <c r="EN2" i="2" s="1"/>
  <c r="ES2" i="2"/>
  <c r="EK2" i="2"/>
  <c r="EM2" i="2" s="1"/>
  <c r="R10" i="9" s="1"/>
  <c r="EC2" i="2"/>
  <c r="EF2" i="2" s="1"/>
  <c r="EH2" i="2" s="1"/>
  <c r="EJ6" i="2"/>
  <c r="EL6" i="2" s="1"/>
  <c r="EN6" i="2" s="1"/>
  <c r="ES6" i="2"/>
  <c r="EC6" i="2"/>
  <c r="EF6" i="2" s="1"/>
  <c r="EH6" i="2" s="1"/>
  <c r="EK6" i="2"/>
  <c r="EM6" i="2" s="1"/>
  <c r="EO6" i="2" s="1"/>
  <c r="ED6" i="2"/>
  <c r="EG6" i="2" s="1"/>
  <c r="EI6" i="2" s="1"/>
  <c r="EK8" i="2"/>
  <c r="EM8" i="2" s="1"/>
  <c r="EO8" i="2" s="1"/>
  <c r="ES8" i="2"/>
  <c r="ED8" i="2"/>
  <c r="EG8" i="2" s="1"/>
  <c r="EI8" i="2" s="1"/>
  <c r="EJ8" i="2"/>
  <c r="EL8" i="2" s="1"/>
  <c r="EC8" i="2"/>
  <c r="EF8" i="2" s="1"/>
  <c r="EH8" i="2" s="1"/>
  <c r="EJ7" i="2"/>
  <c r="EL7" i="2" s="1"/>
  <c r="EN7" i="2" s="1"/>
  <c r="ED7" i="2"/>
  <c r="EG7" i="2" s="1"/>
  <c r="EI7" i="2" s="1"/>
  <c r="ES7" i="2"/>
  <c r="EC7" i="2"/>
  <c r="EF7" i="2" s="1"/>
  <c r="EH7" i="2" s="1"/>
  <c r="EK7" i="2"/>
  <c r="EM7" i="2" s="1"/>
  <c r="EO7" i="2" s="1"/>
  <c r="EC5" i="2"/>
  <c r="EF5" i="2" s="1"/>
  <c r="EH5" i="2" s="1"/>
  <c r="ED5" i="2"/>
  <c r="EG5" i="2" s="1"/>
  <c r="EI5" i="2" s="1"/>
  <c r="EJ5" i="2"/>
  <c r="EL5" i="2" s="1"/>
  <c r="EK5" i="2"/>
  <c r="EM5" i="2" s="1"/>
  <c r="EO5" i="2" s="1"/>
  <c r="ES5" i="2"/>
  <c r="Q12" i="9"/>
  <c r="BM6" i="2"/>
  <c r="BM13" i="2" s="1"/>
  <c r="BM5" i="2"/>
  <c r="BM12" i="2" s="1"/>
  <c r="CT13" i="2" s="1"/>
  <c r="BM7" i="2"/>
  <c r="BM14" i="2" s="1"/>
  <c r="CT7" i="2" s="1"/>
  <c r="B20" i="5" s="1"/>
  <c r="BB7" i="2" s="1"/>
  <c r="BM16" i="2"/>
  <c r="B22" i="5" s="1"/>
  <c r="B24" i="5" s="1"/>
  <c r="FL27" i="2"/>
  <c r="FL28" i="2"/>
  <c r="FL25" i="2"/>
  <c r="FL26" i="2"/>
  <c r="FL23" i="2"/>
  <c r="FL24" i="2"/>
  <c r="FL16" i="2"/>
  <c r="FL17" i="2"/>
  <c r="FL14" i="2"/>
  <c r="GO6" i="2"/>
  <c r="GP6" i="2" s="1"/>
  <c r="Z31" i="8" a="1"/>
  <c r="Z37" i="8" s="1"/>
  <c r="GO5" i="2"/>
  <c r="GP5" i="2" s="1"/>
  <c r="GO3" i="2"/>
  <c r="GP3" i="2" s="1"/>
  <c r="GO4" i="2"/>
  <c r="GP4" i="2" s="1"/>
  <c r="Y38" i="8"/>
  <c r="GO2" i="2"/>
  <c r="GP2" i="2" s="1"/>
  <c r="GO8" i="2"/>
  <c r="GP8" i="2" s="1"/>
  <c r="GO9" i="2"/>
  <c r="GP9" i="2" s="1"/>
  <c r="EV4" i="2"/>
  <c r="BM31" i="8"/>
  <c r="BL31" i="8"/>
  <c r="CU12" i="2"/>
  <c r="CU4" i="2"/>
  <c r="CB13" i="2"/>
  <c r="CU23" i="2"/>
  <c r="CU24" i="2"/>
  <c r="CU21" i="2"/>
  <c r="CU22" i="2"/>
  <c r="CU13" i="2"/>
  <c r="CU5" i="2"/>
  <c r="CT4" i="2"/>
  <c r="B17" i="5" s="1"/>
  <c r="BB4" i="2" s="1"/>
  <c r="CT12" i="2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EO11" i="2" l="1"/>
  <c r="R3" i="9"/>
  <c r="GO22" i="2"/>
  <c r="GP22" i="2" s="1"/>
  <c r="GO25" i="2"/>
  <c r="GP25" i="2" s="1"/>
  <c r="GO26" i="2"/>
  <c r="GP26" i="2" s="1"/>
  <c r="GO23" i="2"/>
  <c r="GP23" i="2" s="1"/>
  <c r="GO28" i="2"/>
  <c r="GP28" i="2" s="1"/>
  <c r="GO10" i="2"/>
  <c r="GP10" i="2" s="1"/>
  <c r="GO37" i="2"/>
  <c r="GP37" i="2" s="1"/>
  <c r="GO32" i="2"/>
  <c r="GP32" i="2" s="1"/>
  <c r="GO30" i="2"/>
  <c r="GP30" i="2" s="1"/>
  <c r="GO34" i="2"/>
  <c r="GP34" i="2" s="1"/>
  <c r="GO33" i="2"/>
  <c r="GP33" i="2" s="1"/>
  <c r="GO31" i="2"/>
  <c r="GP31" i="2" s="1"/>
  <c r="GO36" i="2"/>
  <c r="GP36" i="2" s="1"/>
  <c r="GO35" i="2"/>
  <c r="GP35" i="2" s="1"/>
  <c r="GO27" i="2"/>
  <c r="GP27" i="2" s="1"/>
  <c r="GO24" i="2"/>
  <c r="GP24" i="2" s="1"/>
  <c r="GO21" i="2"/>
  <c r="GP21" i="2" s="1"/>
  <c r="GO18" i="2"/>
  <c r="GP18" i="2" s="1"/>
  <c r="GO19" i="2"/>
  <c r="GP19" i="2" s="1"/>
  <c r="GO20" i="2"/>
  <c r="GP20" i="2" s="1"/>
  <c r="GO17" i="2"/>
  <c r="GP17" i="2" s="1"/>
  <c r="GO16" i="2"/>
  <c r="GP16" i="2" s="1"/>
  <c r="EO2" i="2"/>
  <c r="CT15" i="2"/>
  <c r="CT5" i="2"/>
  <c r="B18" i="5" s="1"/>
  <c r="BB5" i="2" s="1"/>
  <c r="GO15" i="2"/>
  <c r="GP15" i="2" s="1"/>
  <c r="GO14" i="2"/>
  <c r="GP14" i="2" s="1"/>
  <c r="GO11" i="2"/>
  <c r="GP11" i="2" s="1"/>
  <c r="GO7" i="2"/>
  <c r="GP7" i="2" s="1"/>
  <c r="GO12" i="2"/>
  <c r="GP12" i="2" s="1"/>
  <c r="GB23" i="2" s="1"/>
  <c r="GO13" i="2"/>
  <c r="GP13" i="2" s="1"/>
  <c r="Q5" i="9"/>
  <c r="EN8" i="2"/>
  <c r="EY34" i="2"/>
  <c r="EY35" i="2" s="1"/>
  <c r="Q6" i="9"/>
  <c r="EN5" i="2"/>
  <c r="CT20" i="2"/>
  <c r="CT23" i="2" s="1"/>
  <c r="B23" i="5"/>
  <c r="EV3" i="2"/>
  <c r="J34" i="9"/>
  <c r="H34" i="9"/>
  <c r="I34" i="9"/>
  <c r="R33" i="9"/>
  <c r="R34" i="9"/>
  <c r="Q32" i="9"/>
  <c r="Q33" i="9"/>
  <c r="R31" i="9"/>
  <c r="R32" i="9"/>
  <c r="Q30" i="9"/>
  <c r="Q31" i="9"/>
  <c r="R28" i="9"/>
  <c r="R30" i="9"/>
  <c r="GB25" i="2"/>
  <c r="Q27" i="9"/>
  <c r="Q28" i="9"/>
  <c r="GB22" i="2"/>
  <c r="R23" i="9"/>
  <c r="R27" i="9"/>
  <c r="Q23" i="9"/>
  <c r="Q26" i="9"/>
  <c r="R21" i="9"/>
  <c r="R22" i="9"/>
  <c r="Q21" i="9"/>
  <c r="Q22" i="9"/>
  <c r="R20" i="9"/>
  <c r="Q16" i="9"/>
  <c r="Q20" i="9"/>
  <c r="Z35" i="8"/>
  <c r="Z34" i="8"/>
  <c r="Z36" i="8"/>
  <c r="Z33" i="8"/>
  <c r="Z32" i="8"/>
  <c r="Q15" i="9"/>
  <c r="Q14" i="9"/>
  <c r="Z39" i="8"/>
  <c r="Z31" i="8"/>
  <c r="Z38" i="8"/>
  <c r="R18" i="9"/>
  <c r="R19" i="9"/>
  <c r="Q18" i="9"/>
  <c r="Q19" i="9"/>
  <c r="GB6" i="2"/>
  <c r="GB9" i="2"/>
  <c r="GB8" i="2"/>
  <c r="GB2" i="2"/>
  <c r="GB4" i="2"/>
  <c r="GB5" i="2"/>
  <c r="GB3" i="2"/>
  <c r="GB7" i="2"/>
  <c r="CU14" i="2"/>
  <c r="CU6" i="2"/>
  <c r="AA35" i="8"/>
  <c r="R17" i="9"/>
  <c r="Q17" i="9"/>
  <c r="CT14" i="2"/>
  <c r="CT6" i="2"/>
  <c r="B19" i="5" s="1"/>
  <c r="BB6" i="2" s="1"/>
  <c r="ET21" i="2" l="1"/>
  <c r="ET19" i="2"/>
  <c r="ET20" i="2"/>
  <c r="GB21" i="2"/>
  <c r="GB26" i="2"/>
  <c r="ET11" i="2"/>
  <c r="ET12" i="2"/>
  <c r="ET13" i="2"/>
  <c r="GB33" i="2"/>
  <c r="GB29" i="2"/>
  <c r="GB31" i="2"/>
  <c r="GB34" i="2"/>
  <c r="GB30" i="2"/>
  <c r="GB32" i="2"/>
  <c r="GB37" i="2"/>
  <c r="GB28" i="2"/>
  <c r="GB35" i="2"/>
  <c r="GB36" i="2"/>
  <c r="GB24" i="2"/>
  <c r="GB19" i="2"/>
  <c r="GB27" i="2"/>
  <c r="GB13" i="2"/>
  <c r="GB18" i="2"/>
  <c r="GB20" i="2"/>
  <c r="GB15" i="2"/>
  <c r="GB17" i="2"/>
  <c r="GB16" i="2"/>
  <c r="GB10" i="2"/>
  <c r="GB12" i="2"/>
  <c r="GB14" i="2"/>
  <c r="GB11" i="2"/>
  <c r="CT22" i="2"/>
  <c r="ET10" i="2"/>
  <c r="ET9" i="2"/>
  <c r="CT24" i="2"/>
  <c r="CT21" i="2"/>
  <c r="ET2" i="2"/>
  <c r="ET7" i="2"/>
  <c r="ET5" i="2"/>
  <c r="ET8" i="2"/>
  <c r="ET6" i="2"/>
  <c r="R13" i="9"/>
  <c r="R11" i="9"/>
  <c r="R16" i="9"/>
  <c r="R14" i="9"/>
  <c r="R15" i="9"/>
  <c r="Q34" i="9"/>
  <c r="Q13" i="9"/>
  <c r="AA36" i="8"/>
  <c r="AA37" i="8" s="1"/>
  <c r="ER21" i="2" l="1"/>
  <c r="ER20" i="2"/>
  <c r="ER19" i="2"/>
  <c r="ER13" i="2"/>
  <c r="ER12" i="2"/>
  <c r="ER11" i="2"/>
  <c r="GW14" i="2"/>
  <c r="GW10" i="2"/>
  <c r="GR28" i="2" s="1"/>
  <c r="GS28" i="2" s="1"/>
  <c r="GW12" i="2"/>
  <c r="GW13" i="2" s="1"/>
  <c r="ER9" i="2"/>
  <c r="ER6" i="2"/>
  <c r="ER5" i="2"/>
  <c r="ER7" i="2"/>
  <c r="ER10" i="2"/>
  <c r="ER8" i="2"/>
  <c r="ER3" i="2"/>
  <c r="EY2" i="2"/>
  <c r="ER2" i="2"/>
  <c r="A17" i="1"/>
  <c r="GR6" i="2"/>
  <c r="GS6" i="2" s="1"/>
  <c r="GR4" i="2"/>
  <c r="GS4" i="2" s="1"/>
  <c r="GR2" i="2"/>
  <c r="GS2" i="2" s="1"/>
  <c r="GR3" i="2"/>
  <c r="GS3" i="2" s="1"/>
  <c r="GR7" i="2"/>
  <c r="GS7" i="2" s="1"/>
  <c r="GR9" i="2"/>
  <c r="GS9" i="2" s="1"/>
  <c r="GR8" i="2"/>
  <c r="GS8" i="2" s="1"/>
  <c r="GR5" i="2"/>
  <c r="GS5" i="2" s="1"/>
  <c r="AA38" i="8"/>
  <c r="AA39" i="8" s="1"/>
  <c r="EV19" i="2" l="1"/>
  <c r="EV21" i="2"/>
  <c r="EU19" i="2"/>
  <c r="EU21" i="2"/>
  <c r="EU20" i="2"/>
  <c r="A17" i="2"/>
  <c r="AL17" i="2"/>
  <c r="GR25" i="2"/>
  <c r="GS25" i="2" s="1"/>
  <c r="GR22" i="2"/>
  <c r="GS22" i="2" s="1"/>
  <c r="GR26" i="2"/>
  <c r="GS26" i="2" s="1"/>
  <c r="GR23" i="2"/>
  <c r="GS23" i="2" s="1"/>
  <c r="EV13" i="2"/>
  <c r="EV12" i="2"/>
  <c r="EU13" i="2"/>
  <c r="EU12" i="2"/>
  <c r="GR29" i="2"/>
  <c r="GS29" i="2" s="1"/>
  <c r="GR11" i="2"/>
  <c r="GS11" i="2" s="1"/>
  <c r="GR36" i="2"/>
  <c r="GS36" i="2" s="1"/>
  <c r="GR31" i="2"/>
  <c r="GS31" i="2" s="1"/>
  <c r="GR34" i="2"/>
  <c r="GS34" i="2" s="1"/>
  <c r="GR33" i="2"/>
  <c r="GS33" i="2" s="1"/>
  <c r="GR30" i="2"/>
  <c r="GS30" i="2" s="1"/>
  <c r="GR32" i="2"/>
  <c r="GS32" i="2" s="1"/>
  <c r="GR35" i="2"/>
  <c r="GS35" i="2" s="1"/>
  <c r="GR37" i="2"/>
  <c r="GS37" i="2" s="1"/>
  <c r="GR27" i="2"/>
  <c r="GS27" i="2" s="1"/>
  <c r="GR24" i="2"/>
  <c r="GS24" i="2" s="1"/>
  <c r="EV20" i="2"/>
  <c r="EV11" i="2"/>
  <c r="EU11" i="2"/>
  <c r="GR13" i="2"/>
  <c r="GS13" i="2" s="1"/>
  <c r="GR21" i="2"/>
  <c r="GS21" i="2" s="1"/>
  <c r="GR18" i="2"/>
  <c r="GS18" i="2" s="1"/>
  <c r="GR19" i="2"/>
  <c r="GS19" i="2" s="1"/>
  <c r="GR20" i="2"/>
  <c r="GS20" i="2" s="1"/>
  <c r="GR17" i="2"/>
  <c r="GS17" i="2" s="1"/>
  <c r="GR16" i="2"/>
  <c r="GS16" i="2" s="1"/>
  <c r="GR15" i="2"/>
  <c r="GS15" i="2" s="1"/>
  <c r="GR14" i="2"/>
  <c r="GS14" i="2" s="1"/>
  <c r="GR10" i="2"/>
  <c r="GS10" i="2" s="1"/>
  <c r="GR12" i="2"/>
  <c r="GS12" i="2" s="1"/>
  <c r="EY31" i="2"/>
  <c r="EU10" i="2"/>
  <c r="EU9" i="2"/>
  <c r="EV9" i="2"/>
  <c r="EV10" i="2"/>
  <c r="EU2" i="2"/>
  <c r="EV5" i="2"/>
  <c r="EV7" i="2"/>
  <c r="EV8" i="2"/>
  <c r="EV6" i="2"/>
  <c r="EU6" i="2"/>
  <c r="EU8" i="2"/>
  <c r="EU5" i="2"/>
  <c r="EV2" i="2"/>
  <c r="EY3" i="2" s="1"/>
  <c r="EY4" i="2" s="1"/>
  <c r="EY11" i="2" s="1"/>
  <c r="B12" i="9" s="1"/>
  <c r="EU7" i="2"/>
  <c r="EY9" i="2"/>
  <c r="GC26" i="2"/>
  <c r="GC25" i="2"/>
  <c r="GC23" i="2"/>
  <c r="GC22" i="2"/>
  <c r="GC6" i="2"/>
  <c r="GC5" i="2"/>
  <c r="GC9" i="2"/>
  <c r="GC4" i="2"/>
  <c r="GC7" i="2"/>
  <c r="GC2" i="2"/>
  <c r="GC3" i="2"/>
  <c r="GC8" i="2"/>
  <c r="GC29" i="2" l="1"/>
  <c r="GC32" i="2"/>
  <c r="GC34" i="2"/>
  <c r="GC30" i="2"/>
  <c r="GC28" i="2"/>
  <c r="GC36" i="2"/>
  <c r="GC37" i="2"/>
  <c r="GC33" i="2"/>
  <c r="GC31" i="2"/>
  <c r="GC35" i="2"/>
  <c r="GC27" i="2"/>
  <c r="GC24" i="2"/>
  <c r="GC13" i="2"/>
  <c r="GC21" i="2"/>
  <c r="GC18" i="2"/>
  <c r="GC19" i="2"/>
  <c r="GC20" i="2"/>
  <c r="GC17" i="2"/>
  <c r="GC16" i="2"/>
  <c r="GC14" i="2"/>
  <c r="GC15" i="2"/>
  <c r="GC11" i="2"/>
  <c r="GC10" i="2"/>
  <c r="GC12" i="2"/>
  <c r="EY6" i="2"/>
  <c r="EY13" i="2" s="1"/>
  <c r="EY27" i="2"/>
  <c r="EY7" i="2"/>
  <c r="EY14" i="2" s="1"/>
  <c r="EY5" i="2"/>
  <c r="EY12" i="2" s="1"/>
  <c r="EY24" i="2"/>
  <c r="B11" i="9"/>
  <c r="Q11" i="9"/>
  <c r="Q8" i="9"/>
  <c r="GW21" i="2" l="1"/>
  <c r="L39" i="8" s="1"/>
  <c r="Q7" i="9"/>
  <c r="Q9" i="9"/>
  <c r="R7" i="9"/>
  <c r="R9" i="9"/>
  <c r="B14" i="9"/>
  <c r="EY29" i="2"/>
  <c r="EY28" i="2"/>
  <c r="B13" i="9"/>
  <c r="R8" i="9"/>
  <c r="EY30" i="2"/>
  <c r="B15" i="9"/>
  <c r="GW19" i="2"/>
  <c r="GW20" i="2" s="1"/>
  <c r="A18" i="1"/>
  <c r="GW17" i="2"/>
  <c r="A19" i="1" l="1"/>
  <c r="A20" i="1" s="1"/>
  <c r="A21" i="1" s="1"/>
  <c r="AL18" i="2"/>
  <c r="A18" i="2"/>
  <c r="GZ2" i="2"/>
  <c r="GZ3" i="2" s="1"/>
  <c r="HA3" i="2" s="1"/>
  <c r="HH3" i="2" s="1"/>
  <c r="A19" i="2"/>
  <c r="AL19" i="2" l="1"/>
  <c r="AL20" i="2"/>
  <c r="GZ4" i="2"/>
  <c r="HI4" i="2" s="1"/>
  <c r="HB3" i="2"/>
  <c r="HI3" i="2" s="1"/>
  <c r="HB2" i="2"/>
  <c r="HC2" i="2" s="1"/>
  <c r="HA2" i="2"/>
  <c r="HH2" i="2" s="1"/>
  <c r="A20" i="2" l="1"/>
  <c r="AL21" i="2"/>
  <c r="HC3" i="2"/>
  <c r="HI2" i="2"/>
  <c r="HA4" i="2"/>
  <c r="HE4" i="2"/>
  <c r="HB4" i="2"/>
  <c r="GZ5" i="2"/>
  <c r="HB5" i="2" s="1"/>
  <c r="HD4" i="2"/>
  <c r="HC4" i="2"/>
  <c r="HH4" i="2"/>
  <c r="A21" i="2" l="1"/>
  <c r="HA5" i="2"/>
  <c r="HH5" i="2" s="1"/>
  <c r="GZ6" i="2"/>
  <c r="GZ7" i="2" s="1"/>
  <c r="HB7" i="2" s="1"/>
  <c r="HC5" i="2"/>
  <c r="HI5" i="2"/>
  <c r="CY5" i="2"/>
  <c r="AL22" i="2" l="1"/>
  <c r="A22" i="2"/>
  <c r="HI6" i="2"/>
  <c r="GZ8" i="2"/>
  <c r="HH8" i="2" s="1"/>
  <c r="HA6" i="2"/>
  <c r="HH6" i="2"/>
  <c r="HI7" i="2"/>
  <c r="HC6" i="2"/>
  <c r="HH7" i="2"/>
  <c r="HB6" i="2"/>
  <c r="HD7" i="2"/>
  <c r="HC7" i="2"/>
  <c r="HE7" i="2"/>
  <c r="HA7" i="2"/>
  <c r="AJ7" i="2"/>
  <c r="CY7" i="2"/>
  <c r="AJ6" i="2"/>
  <c r="AJ21" i="2"/>
  <c r="AJ10" i="2"/>
  <c r="AJ5" i="2"/>
  <c r="AJ2" i="2"/>
  <c r="AJ9" i="2"/>
  <c r="CY6" i="2"/>
  <c r="CY4" i="2"/>
  <c r="AJ4" i="2"/>
  <c r="CY8" i="2"/>
  <c r="CY2" i="2"/>
  <c r="CY10" i="2"/>
  <c r="AJ8" i="2"/>
  <c r="CY9" i="2"/>
  <c r="CY21" i="2"/>
  <c r="CY28" i="2"/>
  <c r="CY3" i="2"/>
  <c r="AJ3" i="2"/>
  <c r="CY29" i="2"/>
  <c r="AL24" i="2" l="1"/>
  <c r="A23" i="2"/>
  <c r="AL23" i="2"/>
  <c r="A24" i="2"/>
  <c r="A26" i="2"/>
  <c r="A25" i="2"/>
  <c r="AL25" i="2"/>
  <c r="AL26" i="2"/>
  <c r="HC8" i="2"/>
  <c r="HA8" i="2"/>
  <c r="GZ9" i="2"/>
  <c r="GZ10" i="2" s="1"/>
  <c r="HD10" i="2" s="1"/>
  <c r="HB8" i="2"/>
  <c r="HI8" i="2" s="1"/>
  <c r="AK4" i="2"/>
  <c r="J33" i="9"/>
  <c r="G33" i="9"/>
  <c r="K33" i="9"/>
  <c r="AK7" i="2"/>
  <c r="AK6" i="2"/>
  <c r="AK8" i="2"/>
  <c r="AK2" i="2"/>
  <c r="K17" i="9"/>
  <c r="K3" i="9"/>
  <c r="H30" i="9"/>
  <c r="G8" i="9"/>
  <c r="K14" i="9"/>
  <c r="I13" i="9"/>
  <c r="J21" i="9"/>
  <c r="G26" i="9"/>
  <c r="G16" i="9"/>
  <c r="I19" i="9"/>
  <c r="J31" i="9"/>
  <c r="G3" i="9"/>
  <c r="I14" i="9"/>
  <c r="H25" i="9"/>
  <c r="H27" i="9"/>
  <c r="K22" i="9"/>
  <c r="J11" i="9"/>
  <c r="K25" i="9"/>
  <c r="G20" i="9"/>
  <c r="K24" i="9"/>
  <c r="H6" i="9"/>
  <c r="H22" i="9"/>
  <c r="H17" i="9"/>
  <c r="H3" i="9"/>
  <c r="I22" i="9"/>
  <c r="I29" i="9"/>
  <c r="I15" i="9"/>
  <c r="G7" i="9"/>
  <c r="J4" i="9"/>
  <c r="I4" i="9"/>
  <c r="H2" i="9"/>
  <c r="K12" i="9"/>
  <c r="G18" i="9"/>
  <c r="G31" i="9"/>
  <c r="I24" i="9"/>
  <c r="K5" i="9"/>
  <c r="G14" i="9"/>
  <c r="J24" i="9"/>
  <c r="H8" i="9"/>
  <c r="H33" i="9"/>
  <c r="I25" i="9"/>
  <c r="J2" i="9"/>
  <c r="J10" i="9"/>
  <c r="H18" i="9"/>
  <c r="J19" i="9"/>
  <c r="G11" i="9"/>
  <c r="I32" i="9"/>
  <c r="I26" i="9"/>
  <c r="J32" i="9"/>
  <c r="H23" i="9"/>
  <c r="K23" i="9"/>
  <c r="J7" i="9"/>
  <c r="I2" i="9"/>
  <c r="K6" i="9"/>
  <c r="G19" i="9"/>
  <c r="I28" i="9"/>
  <c r="G30" i="9"/>
  <c r="K18" i="9"/>
  <c r="I16" i="9"/>
  <c r="K26" i="9"/>
  <c r="G24" i="9"/>
  <c r="I27" i="9"/>
  <c r="G6" i="9"/>
  <c r="I17" i="9"/>
  <c r="H9" i="9"/>
  <c r="J8" i="9"/>
  <c r="G5" i="9"/>
  <c r="K15" i="9"/>
  <c r="I21" i="9"/>
  <c r="J28" i="9"/>
  <c r="H16" i="9"/>
  <c r="AK5" i="2"/>
  <c r="K30" i="9"/>
  <c r="K31" i="9"/>
  <c r="J25" i="9"/>
  <c r="K20" i="9"/>
  <c r="I8" i="9"/>
  <c r="J30" i="9"/>
  <c r="I30" i="9"/>
  <c r="K28" i="9"/>
  <c r="K32" i="9"/>
  <c r="AK10" i="2"/>
  <c r="H11" i="9"/>
  <c r="H32" i="9"/>
  <c r="I5" i="9"/>
  <c r="I3" i="9"/>
  <c r="J26" i="9"/>
  <c r="J29" i="9"/>
  <c r="H26" i="9"/>
  <c r="G17" i="9"/>
  <c r="G28" i="9"/>
  <c r="G32" i="9"/>
  <c r="G9" i="9"/>
  <c r="I7" i="9"/>
  <c r="K11" i="9"/>
  <c r="H21" i="9"/>
  <c r="H5" i="9"/>
  <c r="J20" i="9"/>
  <c r="J13" i="9"/>
  <c r="J23" i="9"/>
  <c r="K16" i="9"/>
  <c r="AK9" i="2"/>
  <c r="G12" i="9"/>
  <c r="K19" i="9"/>
  <c r="AK3" i="2"/>
  <c r="K9" i="9"/>
  <c r="I6" i="9"/>
  <c r="G25" i="9"/>
  <c r="I31" i="9"/>
  <c r="J18" i="9"/>
  <c r="I33" i="9"/>
  <c r="H12" i="9"/>
  <c r="H29" i="9"/>
  <c r="J9" i="9"/>
  <c r="J6" i="9"/>
  <c r="G4" i="9"/>
  <c r="I9" i="9"/>
  <c r="I18" i="9"/>
  <c r="I11" i="9"/>
  <c r="H19" i="9"/>
  <c r="K2" i="9"/>
  <c r="J16" i="9"/>
  <c r="G15" i="9"/>
  <c r="G21" i="9"/>
  <c r="G10" i="9"/>
  <c r="K29" i="9"/>
  <c r="H28" i="9"/>
  <c r="H13" i="9"/>
  <c r="K7" i="9"/>
  <c r="H31" i="9"/>
  <c r="J27" i="9"/>
  <c r="G13" i="9"/>
  <c r="H7" i="9"/>
  <c r="H20" i="9"/>
  <c r="H4" i="9"/>
  <c r="K21" i="9"/>
  <c r="I23" i="9"/>
  <c r="K10" i="9"/>
  <c r="H10" i="9"/>
  <c r="G29" i="9"/>
  <c r="K8" i="9"/>
  <c r="J5" i="9"/>
  <c r="J22" i="9"/>
  <c r="J17" i="9"/>
  <c r="K4" i="9"/>
  <c r="K13" i="9"/>
  <c r="J15" i="9"/>
  <c r="J3" i="9"/>
  <c r="I10" i="9"/>
  <c r="H15" i="9"/>
  <c r="G22" i="9"/>
  <c r="H24" i="9"/>
  <c r="G27" i="9"/>
  <c r="H14" i="9"/>
  <c r="I12" i="9"/>
  <c r="I20" i="9"/>
  <c r="G2" i="9"/>
  <c r="K27" i="9"/>
  <c r="J12" i="9"/>
  <c r="G23" i="9"/>
  <c r="J14" i="9"/>
  <c r="AL31" i="2" l="1"/>
  <c r="A31" i="2"/>
  <c r="CY25" i="2"/>
  <c r="CY22" i="2"/>
  <c r="AJ22" i="2"/>
  <c r="AJ25" i="2"/>
  <c r="A27" i="2"/>
  <c r="CY14" i="2"/>
  <c r="CY23" i="2"/>
  <c r="HB10" i="2"/>
  <c r="HC9" i="2"/>
  <c r="HI10" i="2"/>
  <c r="HB9" i="2"/>
  <c r="HA10" i="2"/>
  <c r="HH9" i="2"/>
  <c r="HE10" i="2"/>
  <c r="HA9" i="2"/>
  <c r="GZ11" i="2"/>
  <c r="HC11" i="2" s="1"/>
  <c r="HD9" i="2"/>
  <c r="HC10" i="2"/>
  <c r="HI9" i="2"/>
  <c r="AL35" i="2"/>
  <c r="A35" i="2"/>
  <c r="HH10" i="2"/>
  <c r="HE9" i="2"/>
  <c r="AL36" i="2"/>
  <c r="CY24" i="2"/>
  <c r="CY27" i="2"/>
  <c r="AL27" i="2" l="1"/>
  <c r="AL28" i="2"/>
  <c r="A28" i="2"/>
  <c r="HI11" i="2"/>
  <c r="AJ23" i="2"/>
  <c r="A30" i="2"/>
  <c r="AL30" i="2"/>
  <c r="HH11" i="2"/>
  <c r="AL29" i="2"/>
  <c r="A29" i="2"/>
  <c r="A36" i="2"/>
  <c r="A33" i="2"/>
  <c r="AJ14" i="2"/>
  <c r="AJ16" i="2"/>
  <c r="A32" i="2"/>
  <c r="AL32" i="2"/>
  <c r="AL33" i="2"/>
  <c r="AJ26" i="2"/>
  <c r="CY16" i="2"/>
  <c r="AL34" i="2"/>
  <c r="A34" i="2"/>
  <c r="AJ17" i="2"/>
  <c r="HB11" i="2"/>
  <c r="CY17" i="2"/>
  <c r="CY26" i="2"/>
  <c r="HE11" i="2"/>
  <c r="GZ12" i="2"/>
  <c r="GZ13" i="2" s="1"/>
  <c r="H166" i="5"/>
  <c r="F23" i="5"/>
  <c r="HA11" i="2"/>
  <c r="HD11" i="2"/>
  <c r="G25" i="5"/>
  <c r="J71" i="5"/>
  <c r="G54" i="5"/>
  <c r="J195" i="5"/>
  <c r="I63" i="5"/>
  <c r="J52" i="5"/>
  <c r="G186" i="5"/>
  <c r="I91" i="5"/>
  <c r="F147" i="5"/>
  <c r="E83" i="5"/>
  <c r="H150" i="5"/>
  <c r="E161" i="5"/>
  <c r="F185" i="5"/>
  <c r="E20" i="5"/>
  <c r="E173" i="5"/>
  <c r="J116" i="5"/>
  <c r="H28" i="5"/>
  <c r="G185" i="5"/>
  <c r="AJ24" i="2"/>
  <c r="J156" i="5"/>
  <c r="H189" i="5"/>
  <c r="E147" i="5"/>
  <c r="F199" i="5"/>
  <c r="J189" i="5"/>
  <c r="G99" i="5"/>
  <c r="E141" i="5"/>
  <c r="E136" i="5"/>
  <c r="H64" i="5"/>
  <c r="H41" i="5"/>
  <c r="E36" i="5"/>
  <c r="J124" i="5"/>
  <c r="H20" i="5"/>
  <c r="F54" i="5"/>
  <c r="H53" i="5"/>
  <c r="G122" i="5"/>
  <c r="E198" i="5"/>
  <c r="G137" i="5"/>
  <c r="F25" i="5"/>
  <c r="G182" i="5"/>
  <c r="F142" i="5"/>
  <c r="J144" i="5"/>
  <c r="J41" i="5"/>
  <c r="H142" i="5"/>
  <c r="E152" i="5"/>
  <c r="G120" i="5"/>
  <c r="G23" i="5"/>
  <c r="H154" i="5"/>
  <c r="F38" i="5"/>
  <c r="F166" i="5"/>
  <c r="I37" i="5"/>
  <c r="G176" i="5"/>
  <c r="F144" i="5"/>
  <c r="H200" i="5"/>
  <c r="J92" i="5"/>
  <c r="J121" i="5"/>
  <c r="J13" i="5"/>
  <c r="G118" i="5"/>
  <c r="F172" i="5"/>
  <c r="I70" i="5"/>
  <c r="J5" i="5"/>
  <c r="G57" i="5"/>
  <c r="E114" i="5"/>
  <c r="I27" i="5"/>
  <c r="I22" i="5"/>
  <c r="F20" i="5"/>
  <c r="E26" i="5"/>
  <c r="I69" i="5"/>
  <c r="F81" i="5"/>
  <c r="J81" i="5"/>
  <c r="G149" i="5"/>
  <c r="F108" i="5"/>
  <c r="I143" i="5"/>
  <c r="J72" i="5"/>
  <c r="F45" i="5"/>
  <c r="E51" i="5"/>
  <c r="G194" i="5"/>
  <c r="AJ30" i="2"/>
  <c r="F78" i="5"/>
  <c r="E111" i="5"/>
  <c r="G156" i="5"/>
  <c r="E169" i="5"/>
  <c r="I129" i="5"/>
  <c r="H129" i="5"/>
  <c r="E73" i="5"/>
  <c r="I87" i="5"/>
  <c r="I192" i="5"/>
  <c r="G178" i="5"/>
  <c r="F104" i="5"/>
  <c r="H147" i="5"/>
  <c r="J162" i="5"/>
  <c r="G52" i="5"/>
  <c r="H148" i="5"/>
  <c r="J200" i="5"/>
  <c r="F62" i="5"/>
  <c r="H158" i="5"/>
  <c r="I114" i="5"/>
  <c r="G191" i="5"/>
  <c r="G152" i="5"/>
  <c r="G92" i="5"/>
  <c r="G85" i="5"/>
  <c r="J2" i="5"/>
  <c r="I38" i="5"/>
  <c r="E31" i="5"/>
  <c r="J84" i="5"/>
  <c r="G110" i="5"/>
  <c r="G101" i="5"/>
  <c r="G34" i="5"/>
  <c r="G146" i="5"/>
  <c r="AJ36" i="2"/>
  <c r="H197" i="5"/>
  <c r="H181" i="5"/>
  <c r="J185" i="5"/>
  <c r="F186" i="5"/>
  <c r="F126" i="5"/>
  <c r="F95" i="5"/>
  <c r="G95" i="5"/>
  <c r="J33" i="5"/>
  <c r="F65" i="5"/>
  <c r="F99" i="5"/>
  <c r="E135" i="5"/>
  <c r="F77" i="5"/>
  <c r="H27" i="5"/>
  <c r="H21" i="5"/>
  <c r="E27" i="5"/>
  <c r="I25" i="5"/>
  <c r="E96" i="5"/>
  <c r="F82" i="5"/>
  <c r="E43" i="5"/>
  <c r="J145" i="5"/>
  <c r="J8" i="5"/>
  <c r="I49" i="5"/>
  <c r="E88" i="5"/>
  <c r="F67" i="5"/>
  <c r="G153" i="5"/>
  <c r="H57" i="5"/>
  <c r="H104" i="5"/>
  <c r="H86" i="5"/>
  <c r="F39" i="5"/>
  <c r="J60" i="5"/>
  <c r="H108" i="5"/>
  <c r="I178" i="5"/>
  <c r="G124" i="5"/>
  <c r="J95" i="5"/>
  <c r="F188" i="5"/>
  <c r="H31" i="5"/>
  <c r="E181" i="5"/>
  <c r="E48" i="5"/>
  <c r="F85" i="5"/>
  <c r="E29" i="5"/>
  <c r="G139" i="5"/>
  <c r="G114" i="5"/>
  <c r="G158" i="5"/>
  <c r="E182" i="5"/>
  <c r="E91" i="5"/>
  <c r="J14" i="5"/>
  <c r="E187" i="5"/>
  <c r="J146" i="5"/>
  <c r="H76" i="5"/>
  <c r="G161" i="5"/>
  <c r="G49" i="5"/>
  <c r="F37" i="5"/>
  <c r="F53" i="5"/>
  <c r="G195" i="5"/>
  <c r="F164" i="5"/>
  <c r="H32" i="5"/>
  <c r="G111" i="5"/>
  <c r="I182" i="5"/>
  <c r="J75" i="5"/>
  <c r="I36" i="5"/>
  <c r="G39" i="5"/>
  <c r="H165" i="5"/>
  <c r="J169" i="5"/>
  <c r="H121" i="5"/>
  <c r="F29" i="5"/>
  <c r="J3" i="5"/>
  <c r="I54" i="5"/>
  <c r="F161" i="5"/>
  <c r="H102" i="5"/>
  <c r="J127" i="5"/>
  <c r="E84" i="5"/>
  <c r="H25" i="5"/>
  <c r="E21" i="5"/>
  <c r="I167" i="5"/>
  <c r="E119" i="5"/>
  <c r="J148" i="5"/>
  <c r="H111" i="5"/>
  <c r="G29" i="5"/>
  <c r="I145" i="5"/>
  <c r="E112" i="5"/>
  <c r="H170" i="5"/>
  <c r="I109" i="5"/>
  <c r="F134" i="5"/>
  <c r="F90" i="5"/>
  <c r="E103" i="5"/>
  <c r="F32" i="5"/>
  <c r="E177" i="5"/>
  <c r="I21" i="5"/>
  <c r="J150" i="5"/>
  <c r="H94" i="5"/>
  <c r="H195" i="5"/>
  <c r="G167" i="5"/>
  <c r="G46" i="5"/>
  <c r="G154" i="5"/>
  <c r="F123" i="5"/>
  <c r="E131" i="5"/>
  <c r="I160" i="5"/>
  <c r="I32" i="5"/>
  <c r="G112" i="5"/>
  <c r="I80" i="5"/>
  <c r="E33" i="5"/>
  <c r="H199" i="5"/>
  <c r="J177" i="5"/>
  <c r="I85" i="5"/>
  <c r="E71" i="5"/>
  <c r="G58" i="5"/>
  <c r="J54" i="5"/>
  <c r="CY12" i="2"/>
  <c r="J120" i="5"/>
  <c r="I90" i="5"/>
  <c r="F190" i="5"/>
  <c r="H78" i="5"/>
  <c r="J132" i="5"/>
  <c r="E144" i="5"/>
  <c r="F50" i="5"/>
  <c r="I180" i="5"/>
  <c r="E133" i="5"/>
  <c r="F153" i="5"/>
  <c r="E78" i="5"/>
  <c r="H89" i="5"/>
  <c r="F158" i="5"/>
  <c r="G170" i="5"/>
  <c r="G179" i="5"/>
  <c r="J197" i="5"/>
  <c r="H161" i="5"/>
  <c r="I102" i="5"/>
  <c r="F198" i="5"/>
  <c r="E166" i="5"/>
  <c r="H145" i="5"/>
  <c r="I187" i="5"/>
  <c r="I107" i="5"/>
  <c r="H185" i="5"/>
  <c r="H51" i="5"/>
  <c r="H59" i="5"/>
  <c r="F113" i="5"/>
  <c r="F68" i="5"/>
  <c r="I138" i="5"/>
  <c r="F143" i="5"/>
  <c r="G35" i="5"/>
  <c r="J56" i="5"/>
  <c r="H194" i="5"/>
  <c r="G196" i="5"/>
  <c r="H130" i="5"/>
  <c r="F168" i="5"/>
  <c r="H69" i="5"/>
  <c r="F112" i="5"/>
  <c r="F57" i="5"/>
  <c r="F133" i="5"/>
  <c r="G94" i="5"/>
  <c r="F97" i="5"/>
  <c r="H37" i="5"/>
  <c r="J159" i="5"/>
  <c r="F117" i="5"/>
  <c r="J183" i="5"/>
  <c r="I149" i="5"/>
  <c r="E101" i="5"/>
  <c r="E160" i="5"/>
  <c r="J109" i="5"/>
  <c r="J87" i="5"/>
  <c r="F79" i="5"/>
  <c r="F141" i="5"/>
  <c r="E154" i="5"/>
  <c r="F55" i="5"/>
  <c r="F74" i="5"/>
  <c r="H103" i="5"/>
  <c r="G104" i="5"/>
  <c r="J113" i="5"/>
  <c r="F36" i="5"/>
  <c r="I74" i="5"/>
  <c r="G130" i="5"/>
  <c r="H26" i="5"/>
  <c r="I20" i="5"/>
  <c r="G22" i="5"/>
  <c r="H24" i="5"/>
  <c r="I23" i="5"/>
  <c r="E200" i="5"/>
  <c r="J117" i="5"/>
  <c r="F148" i="5"/>
  <c r="J125" i="5"/>
  <c r="F26" i="5"/>
  <c r="G20" i="5"/>
  <c r="I24" i="5"/>
  <c r="F27" i="5"/>
  <c r="H134" i="5"/>
  <c r="G67" i="5"/>
  <c r="F132" i="5"/>
  <c r="H50" i="5"/>
  <c r="G40" i="5"/>
  <c r="E196" i="5"/>
  <c r="F66" i="5"/>
  <c r="I126" i="5"/>
  <c r="I55" i="5"/>
  <c r="E193" i="5"/>
  <c r="E77" i="5"/>
  <c r="J36" i="5"/>
  <c r="H74" i="5"/>
  <c r="J23" i="5"/>
  <c r="G65" i="5"/>
  <c r="G59" i="5"/>
  <c r="I151" i="5"/>
  <c r="G37" i="5"/>
  <c r="I52" i="5"/>
  <c r="J28" i="5"/>
  <c r="H131" i="5"/>
  <c r="E117" i="5"/>
  <c r="H172" i="5"/>
  <c r="G75" i="5"/>
  <c r="E64" i="5"/>
  <c r="F184" i="5"/>
  <c r="I48" i="5"/>
  <c r="E108" i="5"/>
  <c r="E194" i="5"/>
  <c r="J64" i="5"/>
  <c r="H47" i="5"/>
  <c r="G155" i="5"/>
  <c r="I188" i="5"/>
  <c r="F52" i="5"/>
  <c r="E151" i="5"/>
  <c r="F170" i="5"/>
  <c r="E157" i="5"/>
  <c r="H151" i="5"/>
  <c r="G183" i="5"/>
  <c r="J39" i="5"/>
  <c r="I34" i="5"/>
  <c r="G177" i="5"/>
  <c r="E55" i="5"/>
  <c r="I83" i="5"/>
  <c r="E75" i="5"/>
  <c r="J138" i="5"/>
  <c r="J38" i="5"/>
  <c r="J70" i="5"/>
  <c r="H117" i="5"/>
  <c r="E199" i="5"/>
  <c r="H178" i="5"/>
  <c r="H95" i="5"/>
  <c r="G184" i="5"/>
  <c r="I46" i="5"/>
  <c r="E149" i="5"/>
  <c r="G100" i="5"/>
  <c r="AJ29" i="2"/>
  <c r="H179" i="5"/>
  <c r="E138" i="5"/>
  <c r="F165" i="5"/>
  <c r="F71" i="5"/>
  <c r="J129" i="5"/>
  <c r="H56" i="5"/>
  <c r="J99" i="5"/>
  <c r="J102" i="5"/>
  <c r="E189" i="5"/>
  <c r="G201" i="5"/>
  <c r="I28" i="5"/>
  <c r="E22" i="5"/>
  <c r="J123" i="5"/>
  <c r="J167" i="5"/>
  <c r="E180" i="5"/>
  <c r="I43" i="5"/>
  <c r="G168" i="5"/>
  <c r="G117" i="5"/>
  <c r="J96" i="5"/>
  <c r="J147" i="5"/>
  <c r="H38" i="5"/>
  <c r="F131" i="5"/>
  <c r="H163" i="5"/>
  <c r="J180" i="5"/>
  <c r="CY11" i="2"/>
  <c r="E24" i="5"/>
  <c r="I26" i="5"/>
  <c r="H183" i="5"/>
  <c r="F196" i="5"/>
  <c r="E69" i="5"/>
  <c r="I47" i="5"/>
  <c r="H71" i="5"/>
  <c r="F103" i="5"/>
  <c r="F174" i="5"/>
  <c r="I127" i="5"/>
  <c r="E40" i="5"/>
  <c r="J199" i="5"/>
  <c r="E145" i="5"/>
  <c r="H162" i="5"/>
  <c r="J143" i="5"/>
  <c r="J49" i="5"/>
  <c r="G62" i="5"/>
  <c r="J18" i="5"/>
  <c r="F162" i="5"/>
  <c r="E23" i="5"/>
  <c r="G21" i="5"/>
  <c r="F72" i="5"/>
  <c r="F160" i="5"/>
  <c r="I194" i="5"/>
  <c r="E164" i="5"/>
  <c r="E42" i="5"/>
  <c r="H36" i="5"/>
  <c r="H84" i="5"/>
  <c r="F106" i="5"/>
  <c r="E162" i="5"/>
  <c r="G151" i="5"/>
  <c r="E168" i="5"/>
  <c r="J168" i="5"/>
  <c r="E39" i="5"/>
  <c r="G173" i="5"/>
  <c r="E115" i="5"/>
  <c r="F200" i="5"/>
  <c r="E52" i="5"/>
  <c r="G24" i="5"/>
  <c r="H22" i="5"/>
  <c r="G27" i="5"/>
  <c r="J126" i="5"/>
  <c r="H39" i="5"/>
  <c r="J103" i="5"/>
  <c r="H192" i="5"/>
  <c r="H124" i="5"/>
  <c r="G123" i="5"/>
  <c r="H58" i="5"/>
  <c r="F89" i="5"/>
  <c r="J154" i="5"/>
  <c r="I175" i="5"/>
  <c r="E113" i="5"/>
  <c r="H46" i="5"/>
  <c r="I41" i="5"/>
  <c r="I111" i="5"/>
  <c r="H83" i="5"/>
  <c r="G188" i="5"/>
  <c r="J170" i="5"/>
  <c r="J141" i="5"/>
  <c r="H60" i="5"/>
  <c r="F191" i="5"/>
  <c r="F122" i="5"/>
  <c r="I78" i="5"/>
  <c r="I119" i="5"/>
  <c r="H115" i="5"/>
  <c r="G125" i="5"/>
  <c r="G28" i="5"/>
  <c r="F24" i="5"/>
  <c r="F21" i="5"/>
  <c r="E28" i="5"/>
  <c r="J32" i="5"/>
  <c r="F151" i="5"/>
  <c r="I131" i="5"/>
  <c r="G43" i="5"/>
  <c r="F111" i="5"/>
  <c r="G119" i="5"/>
  <c r="F194" i="5"/>
  <c r="G135" i="5"/>
  <c r="F171" i="5"/>
  <c r="J184" i="5"/>
  <c r="F201" i="5"/>
  <c r="AJ11" i="2"/>
  <c r="H184" i="5"/>
  <c r="E85" i="5"/>
  <c r="G200" i="5"/>
  <c r="F56" i="5"/>
  <c r="G72" i="5"/>
  <c r="E58" i="5"/>
  <c r="E46" i="5"/>
  <c r="H132" i="5"/>
  <c r="J50" i="5"/>
  <c r="H96" i="5"/>
  <c r="J161" i="5"/>
  <c r="E140" i="5"/>
  <c r="G127" i="5"/>
  <c r="J196" i="5"/>
  <c r="I98" i="5"/>
  <c r="G175" i="5"/>
  <c r="H98" i="5"/>
  <c r="E170" i="5"/>
  <c r="I157" i="5"/>
  <c r="I30" i="5"/>
  <c r="J149" i="5"/>
  <c r="H122" i="5"/>
  <c r="E70" i="5"/>
  <c r="E118" i="5"/>
  <c r="H106" i="5"/>
  <c r="H186" i="5"/>
  <c r="J58" i="5"/>
  <c r="H193" i="5"/>
  <c r="J160" i="5"/>
  <c r="E176" i="5"/>
  <c r="I71" i="5"/>
  <c r="E25" i="5"/>
  <c r="F22" i="5"/>
  <c r="G26" i="5"/>
  <c r="H23" i="5"/>
  <c r="F28" i="5"/>
  <c r="G108" i="5"/>
  <c r="I125" i="5"/>
  <c r="E116" i="5"/>
  <c r="I190" i="5"/>
  <c r="AJ35" i="2"/>
  <c r="H136" i="5"/>
  <c r="F155" i="5"/>
  <c r="F121" i="5"/>
  <c r="H157" i="5"/>
  <c r="J157" i="5"/>
  <c r="F35" i="5"/>
  <c r="I191" i="5"/>
  <c r="E183" i="5"/>
  <c r="F124" i="5"/>
  <c r="E132" i="5"/>
  <c r="E59" i="5"/>
  <c r="I92" i="5"/>
  <c r="H125" i="5"/>
  <c r="G48" i="5"/>
  <c r="J182" i="5"/>
  <c r="F63" i="5"/>
  <c r="E192" i="5"/>
  <c r="E32" i="5"/>
  <c r="F98" i="5"/>
  <c r="H152" i="5"/>
  <c r="F105" i="5"/>
  <c r="E44" i="5"/>
  <c r="G164" i="5"/>
  <c r="J55" i="5"/>
  <c r="F181" i="5"/>
  <c r="F83" i="5"/>
  <c r="J21" i="5"/>
  <c r="J15" i="5"/>
  <c r="J22" i="5"/>
  <c r="E122" i="5"/>
  <c r="I96" i="5"/>
  <c r="J139" i="5"/>
  <c r="E98" i="5"/>
  <c r="H107" i="5"/>
  <c r="J67" i="5"/>
  <c r="AJ13" i="2"/>
  <c r="G97" i="5"/>
  <c r="G141" i="5"/>
  <c r="G147" i="5"/>
  <c r="AJ18" i="2"/>
  <c r="AJ12" i="2"/>
  <c r="J12" i="5"/>
  <c r="G74" i="5"/>
  <c r="G33" i="5"/>
  <c r="J80" i="5"/>
  <c r="E188" i="5"/>
  <c r="F120" i="5"/>
  <c r="I168" i="5"/>
  <c r="F173" i="5"/>
  <c r="H45" i="5"/>
  <c r="F163" i="5"/>
  <c r="H139" i="5"/>
  <c r="I93" i="5"/>
  <c r="J57" i="5"/>
  <c r="I42" i="5"/>
  <c r="J6" i="5"/>
  <c r="F156" i="5"/>
  <c r="F136" i="5"/>
  <c r="I185" i="5"/>
  <c r="E67" i="5"/>
  <c r="E61" i="5"/>
  <c r="I64" i="5"/>
  <c r="I82" i="5"/>
  <c r="J20" i="5"/>
  <c r="H120" i="5"/>
  <c r="G79" i="5"/>
  <c r="F127" i="5"/>
  <c r="E178" i="5"/>
  <c r="I72" i="5"/>
  <c r="E65" i="5"/>
  <c r="E126" i="5"/>
  <c r="J152" i="5"/>
  <c r="H93" i="5"/>
  <c r="H119" i="5"/>
  <c r="G160" i="5"/>
  <c r="E127" i="5"/>
  <c r="F88" i="5"/>
  <c r="E139" i="5"/>
  <c r="F102" i="5"/>
  <c r="G64" i="5"/>
  <c r="E197" i="5"/>
  <c r="E171" i="5"/>
  <c r="E163" i="5"/>
  <c r="I57" i="5"/>
  <c r="J85" i="5"/>
  <c r="J65" i="5"/>
  <c r="H101" i="5"/>
  <c r="E107" i="5"/>
  <c r="G86" i="5"/>
  <c r="G42" i="5"/>
  <c r="J135" i="5"/>
  <c r="F180" i="5"/>
  <c r="J10" i="5"/>
  <c r="J158" i="5"/>
  <c r="E68" i="5"/>
  <c r="F138" i="5"/>
  <c r="H156" i="5"/>
  <c r="G193" i="5"/>
  <c r="G30" i="5"/>
  <c r="G171" i="5"/>
  <c r="J16" i="5"/>
  <c r="I150" i="5"/>
  <c r="I103" i="5"/>
  <c r="J128" i="5"/>
  <c r="J136" i="5"/>
  <c r="E190" i="5"/>
  <c r="J76" i="5"/>
  <c r="E94" i="5"/>
  <c r="F41" i="5"/>
  <c r="I81" i="5"/>
  <c r="G63" i="5"/>
  <c r="J165" i="5"/>
  <c r="G134" i="5"/>
  <c r="H61" i="5"/>
  <c r="J27" i="5"/>
  <c r="J40" i="5"/>
  <c r="H82" i="5"/>
  <c r="G131" i="5"/>
  <c r="F189" i="5"/>
  <c r="G32" i="5"/>
  <c r="H173" i="5"/>
  <c r="H116" i="5"/>
  <c r="I139" i="5"/>
  <c r="E167" i="5"/>
  <c r="G143" i="5"/>
  <c r="G132" i="5"/>
  <c r="I147" i="5"/>
  <c r="E175" i="5"/>
  <c r="E53" i="5"/>
  <c r="G91" i="5"/>
  <c r="E79" i="5"/>
  <c r="I166" i="5"/>
  <c r="F34" i="5"/>
  <c r="J134" i="5"/>
  <c r="J164" i="5"/>
  <c r="G129" i="5"/>
  <c r="I163" i="5"/>
  <c r="H105" i="5"/>
  <c r="J104" i="5"/>
  <c r="J79" i="5"/>
  <c r="E105" i="5"/>
  <c r="E38" i="5"/>
  <c r="F179" i="5"/>
  <c r="I199" i="5"/>
  <c r="J30" i="5"/>
  <c r="E30" i="5"/>
  <c r="G51" i="5"/>
  <c r="F47" i="5"/>
  <c r="J198" i="5"/>
  <c r="F64" i="5"/>
  <c r="AJ37" i="2"/>
  <c r="A37" i="2"/>
  <c r="AL37" i="2"/>
  <c r="CY13" i="2"/>
  <c r="G174" i="5"/>
  <c r="I97" i="5"/>
  <c r="E201" i="5"/>
  <c r="J192" i="5"/>
  <c r="H29" i="5"/>
  <c r="G88" i="5"/>
  <c r="I148" i="5"/>
  <c r="I68" i="5"/>
  <c r="I201" i="5"/>
  <c r="F92" i="5"/>
  <c r="G61" i="5"/>
  <c r="I161" i="5"/>
  <c r="H135" i="5"/>
  <c r="F175" i="5"/>
  <c r="G187" i="5"/>
  <c r="G31" i="5"/>
  <c r="H40" i="5"/>
  <c r="G106" i="5"/>
  <c r="H190" i="5"/>
  <c r="H75" i="5"/>
  <c r="G140" i="5"/>
  <c r="G172" i="5"/>
  <c r="J98" i="5"/>
  <c r="H67" i="5"/>
  <c r="I189" i="5"/>
  <c r="I106" i="5"/>
  <c r="G157" i="5"/>
  <c r="G199" i="5"/>
  <c r="H143" i="5"/>
  <c r="J173" i="5"/>
  <c r="H43" i="5"/>
  <c r="F176" i="5"/>
  <c r="J106" i="5"/>
  <c r="H77" i="5"/>
  <c r="J74" i="5"/>
  <c r="J59" i="5"/>
  <c r="E124" i="5"/>
  <c r="I29" i="5"/>
  <c r="I164" i="5"/>
  <c r="F48" i="5"/>
  <c r="H191" i="5"/>
  <c r="I33" i="5"/>
  <c r="H164" i="5"/>
  <c r="F44" i="5"/>
  <c r="H49" i="5"/>
  <c r="E128" i="5"/>
  <c r="CY19" i="2"/>
  <c r="AJ27" i="2"/>
  <c r="J88" i="5"/>
  <c r="I136" i="5"/>
  <c r="E86" i="5"/>
  <c r="J193" i="5"/>
  <c r="F195" i="5"/>
  <c r="I183" i="5"/>
  <c r="H87" i="5"/>
  <c r="J89" i="5"/>
  <c r="H34" i="5"/>
  <c r="G71" i="5"/>
  <c r="CY15" i="2"/>
  <c r="E148" i="5"/>
  <c r="H167" i="5"/>
  <c r="E97" i="5"/>
  <c r="F59" i="5"/>
  <c r="J176" i="5"/>
  <c r="F146" i="5"/>
  <c r="H109" i="5"/>
  <c r="J175" i="5"/>
  <c r="G148" i="5"/>
  <c r="G53" i="5"/>
  <c r="F154" i="5"/>
  <c r="E129" i="5"/>
  <c r="E47" i="5"/>
  <c r="E35" i="5"/>
  <c r="G159" i="5"/>
  <c r="E142" i="5"/>
  <c r="I152" i="5"/>
  <c r="F94" i="5"/>
  <c r="I153" i="5"/>
  <c r="H99" i="5"/>
  <c r="CY18" i="2"/>
  <c r="AJ34" i="2"/>
  <c r="G47" i="5"/>
  <c r="E87" i="5"/>
  <c r="J34" i="5"/>
  <c r="H141" i="5"/>
  <c r="I162" i="5"/>
  <c r="J107" i="5"/>
  <c r="J51" i="5"/>
  <c r="H187" i="5"/>
  <c r="J118" i="5"/>
  <c r="G82" i="5"/>
  <c r="E66" i="5"/>
  <c r="E172" i="5"/>
  <c r="I133" i="5"/>
  <c r="I144" i="5"/>
  <c r="I179" i="5"/>
  <c r="F58" i="5"/>
  <c r="H153" i="5"/>
  <c r="G163" i="5"/>
  <c r="F61" i="5"/>
  <c r="G83" i="5"/>
  <c r="AJ33" i="2"/>
  <c r="I130" i="5"/>
  <c r="F129" i="5"/>
  <c r="E74" i="5"/>
  <c r="J29" i="5"/>
  <c r="E174" i="5"/>
  <c r="J66" i="5"/>
  <c r="H30" i="5"/>
  <c r="J47" i="5"/>
  <c r="J174" i="5"/>
  <c r="AJ32" i="2"/>
  <c r="G81" i="5"/>
  <c r="F139" i="5"/>
  <c r="J181" i="5"/>
  <c r="F157" i="5"/>
  <c r="F109" i="5"/>
  <c r="I181" i="5"/>
  <c r="J190" i="5"/>
  <c r="J131" i="5"/>
  <c r="E92" i="5"/>
  <c r="J140" i="5"/>
  <c r="I58" i="5"/>
  <c r="E63" i="5"/>
  <c r="E134" i="5"/>
  <c r="G69" i="5"/>
  <c r="J93" i="5"/>
  <c r="F49" i="5"/>
  <c r="H137" i="5"/>
  <c r="I134" i="5"/>
  <c r="J45" i="5"/>
  <c r="J48" i="5"/>
  <c r="J187" i="5"/>
  <c r="E54" i="5"/>
  <c r="E56" i="5"/>
  <c r="J115" i="5"/>
  <c r="F114" i="5"/>
  <c r="G50" i="5"/>
  <c r="F137" i="5"/>
  <c r="J68" i="5"/>
  <c r="J73" i="5"/>
  <c r="F193" i="5"/>
  <c r="G181" i="5"/>
  <c r="H146" i="5"/>
  <c r="G136" i="5"/>
  <c r="G166" i="5"/>
  <c r="H110" i="5"/>
  <c r="F118" i="5"/>
  <c r="G73" i="5"/>
  <c r="E165" i="5"/>
  <c r="AJ31" i="2"/>
  <c r="E41" i="5"/>
  <c r="J108" i="5"/>
  <c r="I89" i="5"/>
  <c r="I84" i="5"/>
  <c r="G36" i="5"/>
  <c r="G144" i="5"/>
  <c r="H188" i="5"/>
  <c r="J25" i="5"/>
  <c r="J100" i="5"/>
  <c r="E195" i="5"/>
  <c r="G60" i="5"/>
  <c r="G93" i="5"/>
  <c r="G105" i="5"/>
  <c r="F125" i="5"/>
  <c r="F187" i="5"/>
  <c r="E184" i="5"/>
  <c r="I195" i="5"/>
  <c r="J111" i="5"/>
  <c r="H168" i="5"/>
  <c r="F145" i="5"/>
  <c r="I135" i="5"/>
  <c r="E156" i="5"/>
  <c r="F75" i="5"/>
  <c r="J151" i="5"/>
  <c r="E104" i="5"/>
  <c r="I159" i="5"/>
  <c r="G68" i="5"/>
  <c r="J105" i="5"/>
  <c r="J171" i="5"/>
  <c r="I60" i="5"/>
  <c r="H180" i="5"/>
  <c r="H52" i="5"/>
  <c r="E155" i="5"/>
  <c r="I118" i="5"/>
  <c r="H44" i="5"/>
  <c r="E72" i="5"/>
  <c r="F69" i="5"/>
  <c r="I156" i="5"/>
  <c r="J44" i="5"/>
  <c r="G87" i="5"/>
  <c r="J155" i="5"/>
  <c r="G103" i="5"/>
  <c r="F87" i="5"/>
  <c r="G150" i="5"/>
  <c r="I50" i="5"/>
  <c r="H113" i="5"/>
  <c r="H182" i="5"/>
  <c r="E153" i="5"/>
  <c r="J24" i="5"/>
  <c r="J112" i="5"/>
  <c r="J26" i="5"/>
  <c r="I67" i="5"/>
  <c r="F182" i="5"/>
  <c r="I100" i="5"/>
  <c r="E109" i="5"/>
  <c r="J186" i="5"/>
  <c r="J130" i="5"/>
  <c r="H155" i="5"/>
  <c r="E123" i="5"/>
  <c r="F169" i="5"/>
  <c r="I120" i="5"/>
  <c r="H174" i="5"/>
  <c r="F130" i="5"/>
  <c r="E191" i="5"/>
  <c r="J78" i="5"/>
  <c r="H33" i="5"/>
  <c r="H80" i="5"/>
  <c r="J9" i="5"/>
  <c r="I62" i="5"/>
  <c r="G98" i="5"/>
  <c r="I39" i="5"/>
  <c r="I77" i="5"/>
  <c r="H133" i="5"/>
  <c r="G66" i="5"/>
  <c r="H100" i="5"/>
  <c r="F135" i="5"/>
  <c r="F192" i="5"/>
  <c r="G56" i="5"/>
  <c r="G165" i="5"/>
  <c r="F159" i="5"/>
  <c r="I176" i="5"/>
  <c r="I51" i="5"/>
  <c r="H35" i="5"/>
  <c r="H144" i="5"/>
  <c r="E76" i="5"/>
  <c r="BB3" i="2"/>
  <c r="J19" i="5"/>
  <c r="I186" i="5"/>
  <c r="I193" i="5"/>
  <c r="F84" i="5"/>
  <c r="E62" i="5"/>
  <c r="E121" i="5"/>
  <c r="I123" i="5"/>
  <c r="J86" i="5"/>
  <c r="G113" i="5"/>
  <c r="H79" i="5"/>
  <c r="J90" i="5"/>
  <c r="I128" i="5"/>
  <c r="H176" i="5"/>
  <c r="H175" i="5"/>
  <c r="E89" i="5"/>
  <c r="E50" i="5"/>
  <c r="G138" i="5"/>
  <c r="G162" i="5"/>
  <c r="F76" i="5"/>
  <c r="H63" i="5"/>
  <c r="AJ19" i="2"/>
  <c r="H177" i="5"/>
  <c r="J53" i="5"/>
  <c r="I155" i="5"/>
  <c r="E93" i="5"/>
  <c r="I142" i="5"/>
  <c r="I110" i="5"/>
  <c r="G145" i="5"/>
  <c r="H70" i="5"/>
  <c r="J178" i="5"/>
  <c r="J133" i="5"/>
  <c r="E99" i="5"/>
  <c r="H55" i="5"/>
  <c r="G96" i="5"/>
  <c r="H149" i="5"/>
  <c r="I61" i="5"/>
  <c r="G128" i="5"/>
  <c r="G55" i="5"/>
  <c r="I99" i="5"/>
  <c r="G45" i="5"/>
  <c r="G107" i="5"/>
  <c r="G192" i="5"/>
  <c r="J101" i="5"/>
  <c r="E185" i="5"/>
  <c r="H72" i="5"/>
  <c r="E146" i="5"/>
  <c r="H201" i="5"/>
  <c r="G80" i="5"/>
  <c r="I200" i="5"/>
  <c r="I171" i="5"/>
  <c r="I112" i="5"/>
  <c r="F96" i="5"/>
  <c r="F119" i="5"/>
  <c r="F116" i="5"/>
  <c r="J194" i="5"/>
  <c r="H140" i="5"/>
  <c r="H92" i="5"/>
  <c r="J172" i="5"/>
  <c r="G198" i="5"/>
  <c r="I44" i="5"/>
  <c r="H112" i="5"/>
  <c r="J142" i="5"/>
  <c r="I184" i="5"/>
  <c r="E110" i="5"/>
  <c r="E137" i="5"/>
  <c r="F152" i="5"/>
  <c r="E49" i="5"/>
  <c r="F110" i="5"/>
  <c r="H73" i="5"/>
  <c r="G76" i="5"/>
  <c r="H88" i="5"/>
  <c r="G189" i="5"/>
  <c r="G109" i="5"/>
  <c r="F150" i="5"/>
  <c r="G77" i="5"/>
  <c r="J37" i="5"/>
  <c r="I137" i="5"/>
  <c r="I158" i="5"/>
  <c r="J63" i="5"/>
  <c r="H123" i="5"/>
  <c r="I88" i="5"/>
  <c r="J31" i="5"/>
  <c r="J137" i="5"/>
  <c r="I122" i="5"/>
  <c r="I95" i="5"/>
  <c r="I140" i="5"/>
  <c r="H85" i="5"/>
  <c r="H160" i="5"/>
  <c r="J110" i="5"/>
  <c r="F140" i="5"/>
  <c r="J35" i="5"/>
  <c r="E45" i="5"/>
  <c r="F197" i="5"/>
  <c r="I174" i="5"/>
  <c r="I59" i="5"/>
  <c r="F86" i="5"/>
  <c r="G115" i="5"/>
  <c r="F30" i="5"/>
  <c r="G38" i="5"/>
  <c r="H66" i="5"/>
  <c r="I101" i="5"/>
  <c r="E81" i="5"/>
  <c r="F70" i="5"/>
  <c r="I104" i="5"/>
  <c r="H196" i="5"/>
  <c r="H42" i="5"/>
  <c r="I94" i="5"/>
  <c r="F80" i="5"/>
  <c r="I165" i="5"/>
  <c r="F167" i="5"/>
  <c r="E143" i="5"/>
  <c r="I197" i="5"/>
  <c r="H91" i="5"/>
  <c r="I66" i="5"/>
  <c r="J46" i="5"/>
  <c r="H127" i="5"/>
  <c r="J163" i="5"/>
  <c r="G126" i="5"/>
  <c r="G41" i="5"/>
  <c r="F42" i="5"/>
  <c r="I108" i="5"/>
  <c r="F178" i="5"/>
  <c r="H138" i="5"/>
  <c r="E100" i="5"/>
  <c r="I73" i="5"/>
  <c r="J94" i="5"/>
  <c r="E57" i="5"/>
  <c r="J119" i="5"/>
  <c r="I154" i="5"/>
  <c r="H198" i="5"/>
  <c r="E82" i="5"/>
  <c r="E125" i="5"/>
  <c r="E159" i="5"/>
  <c r="J42" i="5"/>
  <c r="J153" i="5"/>
  <c r="I105" i="5"/>
  <c r="E95" i="5"/>
  <c r="H81" i="5"/>
  <c r="I53" i="5"/>
  <c r="E179" i="5"/>
  <c r="J77" i="5"/>
  <c r="I35" i="5"/>
  <c r="I86" i="5"/>
  <c r="G78" i="5"/>
  <c r="H159" i="5"/>
  <c r="J97" i="5"/>
  <c r="F46" i="5"/>
  <c r="J122" i="5"/>
  <c r="H54" i="5"/>
  <c r="CY20" i="2"/>
  <c r="I40" i="5"/>
  <c r="F101" i="5"/>
  <c r="I113" i="5"/>
  <c r="J62" i="5"/>
  <c r="F177" i="5"/>
  <c r="J82" i="5"/>
  <c r="F115" i="5"/>
  <c r="G169" i="5"/>
  <c r="J43" i="5"/>
  <c r="I132" i="5"/>
  <c r="J83" i="5"/>
  <c r="E130" i="5"/>
  <c r="H128" i="5"/>
  <c r="H118" i="5"/>
  <c r="G190" i="5"/>
  <c r="E80" i="5"/>
  <c r="J114" i="5"/>
  <c r="J11" i="5"/>
  <c r="I196" i="5"/>
  <c r="AJ28" i="2"/>
  <c r="H171" i="5"/>
  <c r="F107" i="5"/>
  <c r="J188" i="5"/>
  <c r="AJ20" i="2"/>
  <c r="G121" i="5"/>
  <c r="F91" i="5"/>
  <c r="I173" i="5"/>
  <c r="F51" i="5"/>
  <c r="I169" i="5"/>
  <c r="F183" i="5"/>
  <c r="F100" i="5"/>
  <c r="E37" i="5"/>
  <c r="H114" i="5"/>
  <c r="J69" i="5"/>
  <c r="I170" i="5"/>
  <c r="J4" i="5"/>
  <c r="H97" i="5"/>
  <c r="J91" i="5"/>
  <c r="J201" i="5"/>
  <c r="F93" i="5"/>
  <c r="E60" i="5"/>
  <c r="F60" i="5"/>
  <c r="G89" i="5"/>
  <c r="AJ15" i="2"/>
  <c r="E120" i="5"/>
  <c r="G70" i="5"/>
  <c r="E102" i="5"/>
  <c r="I76" i="5"/>
  <c r="J179" i="5"/>
  <c r="E34" i="5"/>
  <c r="J191" i="5"/>
  <c r="F40" i="5"/>
  <c r="J166" i="5"/>
  <c r="I124" i="5"/>
  <c r="I172" i="5"/>
  <c r="I65" i="5"/>
  <c r="I146" i="5"/>
  <c r="F33" i="5"/>
  <c r="E106" i="5"/>
  <c r="I117" i="5"/>
  <c r="H65" i="5"/>
  <c r="I198" i="5"/>
  <c r="F149" i="5"/>
  <c r="I115" i="5"/>
  <c r="I75" i="5"/>
  <c r="F128" i="5"/>
  <c r="H48" i="5"/>
  <c r="J61" i="5"/>
  <c r="I45" i="5"/>
  <c r="G180" i="5"/>
  <c r="H68" i="5"/>
  <c r="I121" i="5"/>
  <c r="G44" i="5"/>
  <c r="H169" i="5"/>
  <c r="E158" i="5"/>
  <c r="H126" i="5"/>
  <c r="H90" i="5"/>
  <c r="J7" i="5"/>
  <c r="E186" i="5"/>
  <c r="E150" i="5"/>
  <c r="G133" i="5"/>
  <c r="G102" i="5"/>
  <c r="I177" i="5"/>
  <c r="I79" i="5"/>
  <c r="G116" i="5"/>
  <c r="E90" i="5"/>
  <c r="I141" i="5"/>
  <c r="G142" i="5"/>
  <c r="I31" i="5"/>
  <c r="F31" i="5"/>
  <c r="F43" i="5"/>
  <c r="H62" i="5"/>
  <c r="G84" i="5"/>
  <c r="G197" i="5"/>
  <c r="G90" i="5"/>
  <c r="J17" i="5"/>
  <c r="I56" i="5"/>
  <c r="F73" i="5"/>
  <c r="I116" i="5"/>
  <c r="GZ14" i="2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AK26" i="2" l="1"/>
  <c r="AK21" i="2"/>
  <c r="AK16" i="2"/>
  <c r="AK22" i="2"/>
  <c r="AK25" i="2"/>
  <c r="AK17" i="2"/>
  <c r="AK14" i="2"/>
  <c r="AK23" i="2"/>
  <c r="AK12" i="2"/>
  <c r="AK11" i="2"/>
  <c r="AK32" i="2"/>
  <c r="AK35" i="2"/>
  <c r="AK36" i="2"/>
  <c r="AK33" i="2"/>
  <c r="AK37" i="2"/>
  <c r="AK24" i="2"/>
  <c r="AK20" i="2"/>
  <c r="AK19" i="2"/>
  <c r="AK27" i="2"/>
  <c r="AK13" i="2"/>
  <c r="AK15" i="2"/>
  <c r="AK28" i="2"/>
  <c r="AK31" i="2"/>
  <c r="AK30" i="2"/>
  <c r="AK34" i="2"/>
  <c r="AK29" i="2"/>
  <c r="AK18" i="2"/>
  <c r="GZ15" i="2"/>
  <c r="HA15" i="2" s="1"/>
  <c r="HI14" i="2"/>
  <c r="HD14" i="2"/>
  <c r="HE14" i="2"/>
  <c r="HB14" i="2"/>
  <c r="HC14" i="2"/>
  <c r="HA14" i="2"/>
  <c r="F2" i="5" l="1"/>
  <c r="I2" i="5"/>
  <c r="E2" i="5"/>
  <c r="H2" i="5"/>
  <c r="G2" i="5"/>
  <c r="E3" i="5"/>
  <c r="F9" i="5"/>
  <c r="I16" i="5"/>
  <c r="E5" i="5"/>
  <c r="H4" i="5"/>
  <c r="F16" i="5"/>
  <c r="G3" i="5"/>
  <c r="I4" i="5"/>
  <c r="H3" i="5"/>
  <c r="I12" i="5"/>
  <c r="H12" i="5"/>
  <c r="I6" i="5"/>
  <c r="H15" i="5"/>
  <c r="H9" i="5"/>
  <c r="F18" i="5"/>
  <c r="G8" i="5"/>
  <c r="I5" i="5"/>
  <c r="G7" i="5"/>
  <c r="I13" i="5"/>
  <c r="I11" i="5"/>
  <c r="F19" i="5"/>
  <c r="H16" i="5"/>
  <c r="E13" i="5"/>
  <c r="I18" i="5"/>
  <c r="E6" i="5"/>
  <c r="I14" i="5"/>
  <c r="G19" i="5"/>
  <c r="F4" i="5"/>
  <c r="E14" i="5"/>
  <c r="G17" i="5"/>
  <c r="H8" i="5"/>
  <c r="I9" i="5"/>
  <c r="H17" i="5"/>
  <c r="F14" i="5"/>
  <c r="F6" i="5"/>
  <c r="E16" i="5"/>
  <c r="F12" i="5"/>
  <c r="F5" i="5"/>
  <c r="I7" i="5"/>
  <c r="F15" i="5"/>
  <c r="E10" i="5"/>
  <c r="E19" i="5"/>
  <c r="F7" i="5"/>
  <c r="G10" i="5"/>
  <c r="G6" i="5"/>
  <c r="G9" i="5"/>
  <c r="H11" i="5"/>
  <c r="G4" i="5"/>
  <c r="F8" i="5"/>
  <c r="H13" i="5"/>
  <c r="I17" i="5"/>
  <c r="G5" i="5"/>
  <c r="H7" i="5"/>
  <c r="F13" i="5"/>
  <c r="H5" i="5"/>
  <c r="E12" i="5"/>
  <c r="E18" i="5"/>
  <c r="F11" i="5"/>
  <c r="G14" i="5"/>
  <c r="I15" i="5"/>
  <c r="G13" i="5"/>
  <c r="H14" i="5"/>
  <c r="I8" i="5"/>
  <c r="H19" i="5"/>
  <c r="F17" i="5"/>
  <c r="I10" i="5"/>
  <c r="I3" i="5"/>
  <c r="G15" i="5"/>
  <c r="I19" i="5"/>
  <c r="H10" i="5"/>
  <c r="F3" i="5"/>
  <c r="E4" i="5"/>
  <c r="E15" i="5"/>
  <c r="E8" i="5"/>
  <c r="F10" i="5"/>
  <c r="H6" i="5"/>
  <c r="G12" i="5"/>
  <c r="G18" i="5"/>
  <c r="E7" i="5"/>
  <c r="E9" i="5"/>
  <c r="G16" i="5"/>
  <c r="G11" i="5"/>
  <c r="E17" i="5"/>
  <c r="H18" i="5"/>
  <c r="E11" i="5"/>
  <c r="HC15" i="2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5" i="2"/>
  <c r="HD6" i="2"/>
  <c r="HD8" i="2"/>
  <c r="L31" i="8" l="1"/>
  <c r="L30" i="8"/>
  <c r="L32" i="8"/>
  <c r="HD3" i="2" s="1"/>
  <c r="HE5" i="2"/>
  <c r="HE6" i="2"/>
  <c r="HE8" i="2"/>
  <c r="L33" i="8" l="1"/>
  <c r="HD2" i="2"/>
  <c r="I37" i="8" s="1"/>
  <c r="FW7" i="2" l="1"/>
  <c r="FW37" i="2"/>
  <c r="FW35" i="2"/>
  <c r="FW36" i="2"/>
  <c r="FW33" i="2"/>
  <c r="FW31" i="2"/>
  <c r="FW32" i="2"/>
  <c r="FW34" i="2"/>
  <c r="FW30" i="2"/>
  <c r="FW29" i="2"/>
  <c r="HE3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<sst xmlns="http://schemas.openxmlformats.org/spreadsheetml/2006/main" count="856" uniqueCount="344">
  <si>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</si>
  <si>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</si>
  <si>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</si>
  <si>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</si>
  <si>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</si>
  <si>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</si>
  <si>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</si>
  <si>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</si>
  <si>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</si>
  <si>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</si>
  <si>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</si>
  <si>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</si>
  <si>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</si>
  <si>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</si>
  <si>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</si>
  <si>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</si>
  <si>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</si>
  <si>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</si>
  <si>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</si>
  <si>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Law et al.</t>
  </si>
  <si>
    <t>Yes</t>
  </si>
  <si>
    <t>Audio</t>
  </si>
  <si>
    <t>Zou et al.</t>
  </si>
  <si>
    <t xml:space="preserve">Wang et al. </t>
  </si>
  <si>
    <t>Liu et al.</t>
  </si>
  <si>
    <t>Mustaqeem et al. (A)</t>
  </si>
  <si>
    <t>Mustaqeem et al. (B)</t>
  </si>
  <si>
    <t>Hazarika et al. (A)</t>
  </si>
  <si>
    <t>Multimodal</t>
  </si>
  <si>
    <t>Fan et al.</t>
  </si>
  <si>
    <t>No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</si>
  <si>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</si>
  <si>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</si>
  <si>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</si>
  <si>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</si>
  <si>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</si>
  <si>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</si>
  <si>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</si>
  <si>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</si>
  <si>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</si>
  <si>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</si>
  <si>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</si>
  <si>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</si>
  <si>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</si>
  <si>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</si>
  <si>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</si>
  <si>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</si>
  <si>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</si>
  <si>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</si>
  <si>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</si>
  <si>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</si>
  <si>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</si>
  <si>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</si>
  <si>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</si>
  <si>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</si>
  <si>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</si>
  <si>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</si>
  <si>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</si>
  <si>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</si>
  <si>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</si>
  <si>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</si>
  <si>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</si>
  <si>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</si>
  <si>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</si>
  <si>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</si>
  <si>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</si>
  <si>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</si>
  <si>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</si>
  <si>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</si>
  <si>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</si>
  <si>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</si>
  <si>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</si>
  <si>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</si>
  <si>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</si>
  <si>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</si>
  <si>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</si>
  <si>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</si>
  <si>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</si>
  <si>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</si>
  <si>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</si>
  <si>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</si>
  <si>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</si>
  <si>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</si>
  <si>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</si>
  <si>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</si>
  <si>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</si>
  <si>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</si>
  <si>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</si>
  <si>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</si>
  <si>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</si>
  <si>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</si>
  <si>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</si>
  <si>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</si>
  <si>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</si>
  <si>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</si>
  <si>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</si>
  <si>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</si>
  <si>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</si>
  <si>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</si>
  <si>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</si>
  <si>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</si>
  <si>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</si>
  <si>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</si>
  <si>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</si>
  <si>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</si>
  <si>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</si>
  <si>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</si>
  <si>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</si>
  <si>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</si>
  <si>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</si>
  <si>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</si>
  <si>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</si>
  <si>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</si>
  <si>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</si>
  <si>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</si>
  <si>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</si>
  <si>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</si>
  <si>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</si>
  <si>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</si>
  <si>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</si>
  <si>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</si>
  <si>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</si>
  <si>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</si>
  <si>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</si>
  <si>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</si>
  <si>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</si>
  <si>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</si>
  <si>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</si>
  <si>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</si>
  <si>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</si>
  <si>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</si>
  <si>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</si>
  <si>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</si>
  <si>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</si>
  <si>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</si>
  <si>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</si>
  <si>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</si>
  <si>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</si>
  <si>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</si>
  <si>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</si>
  <si>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</si>
  <si>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</si>
  <si>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</si>
  <si>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</si>
  <si>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</si>
  <si>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</si>
  <si>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</si>
  <si>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</si>
  <si>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</si>
  <si>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</si>
  <si>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</si>
  <si>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</si>
  <si>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</si>
  <si>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</si>
  <si>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</si>
  <si>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</si>
  <si>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</si>
  <si>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</si>
  <si>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</si>
  <si>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</si>
  <si>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</si>
  <si>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</si>
  <si>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</si>
  <si>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</si>
  <si>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</si>
  <si>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</si>
  <si>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Odds
 Ratio</t>
  </si>
  <si>
    <t>CI Lower
 limit</t>
  </si>
  <si>
    <t>CI Upper
 limit</t>
  </si>
  <si>
    <t>Standard 
error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</si>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</sst>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8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32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0" fontId="0" fillId="37" borderId="0" xfId="0" applyFill="1"/>
    <xf numFmtId="49" fontId="25" fillId="9" borderId="0" xfId="10" applyNumberFormat="1" applyFont="1">
      <protection locked="0"/>
    </xf>
    <xf numFmtId="0" fontId="26" fillId="0" borderId="34" xfId="0" applyFont="1" applyBorder="1" applyAlignment="1">
      <alignment vertical="center"/>
    </xf>
    <xf numFmtId="0" fontId="26" fillId="0" borderId="34" xfId="0" applyFont="1" applyBorder="1" applyAlignment="1">
      <alignment horizontal="center" vertical="center" wrapText="1"/>
    </xf>
    <xf numFmtId="0" fontId="26" fillId="0" borderId="34" xfId="0" applyFont="1" applyBorder="1" applyAlignment="1">
      <alignment horizontal="center" vertical="center"/>
    </xf>
    <xf numFmtId="0" fontId="27" fillId="0" borderId="0" xfId="0" applyFont="1" applyAlignment="1">
      <alignment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7" fillId="0" borderId="0" xfId="0" applyFont="1"/>
    <xf numFmtId="164" fontId="0" fillId="0" borderId="0" xfId="0" applyNumberFormat="1" applyAlignment="1">
      <alignment horizontal="center"/>
    </xf>
    <xf numFmtId="0" fontId="26" fillId="0" borderId="34" xfId="0" applyFont="1" applyBorder="1" applyAlignment="1">
      <alignment horizontal="left" vertical="center"/>
    </xf>
    <xf numFmtId="0" fontId="26" fillId="0" borderId="34" xfId="0" applyFont="1" applyBorder="1" applyAlignment="1">
      <alignment horizontal="center" wrapText="1"/>
    </xf>
    <xf numFmtId="10" fontId="0" fillId="0" borderId="0" xfId="1" applyFont="1" applyAlignment="1">
      <alignment horizontal="center" vertical="center"/>
    </xf>
    <xf numFmtId="164" fontId="0" fillId="0" borderId="0" xfId="0" applyNumberFormat="1" applyAlignment="1">
      <alignment vertical="top"/>
    </xf>
    <xf numFmtId="0" fontId="15" fillId="2" borderId="6" xfId="3" applyAlignment="1">
      <alignment horizontal="center" vertical="center" wrapText="1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2" fontId="13" fillId="8" borderId="0" xfId="12" applyAlignment="1">
      <alignment horizontal="center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0" fontId="15" fillId="2" borderId="0" xfId="3" applyBorder="1" applyAlignment="1">
      <alignment horizontal="center" vertical="center" wrapText="1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0" fontId="15" fillId="2" borderId="17" xfId="3" applyBorder="1" applyAlignment="1">
      <alignment horizontal="center" vertical="center" wrapText="1"/>
    </xf>
    <xf numFmtId="49" fontId="14" fillId="9" borderId="0" xfId="10" applyNumberFormat="1" applyFont="1">
      <protection locked="0"/>
    </xf>
    <xf numFmtId="0" fontId="0" fillId="9" borderId="0" xfId="0" applyFill="1"/>
    <xf numFmtId="49" fontId="23" fillId="36" borderId="16" xfId="45" applyAlignment="1">
      <alignment horizontal="center" vertical="top" textRotation="90"/>
    </xf>
    <xf numFmtId="49" fontId="23" fillId="36" borderId="24" xfId="45" applyBorder="1" applyAlignment="1">
      <alignment horizontal="center" vertical="top" textRotation="90"/>
    </xf>
    <xf numFmtId="49" fontId="23" fillId="36" borderId="25" xfId="45" applyBorder="1" applyAlignment="1">
      <alignment horizontal="center" vertical="top" textRotation="90"/>
    </xf>
    <xf numFmtId="49" fontId="23" fillId="36" borderId="27" xfId="45" applyBorder="1" applyAlignment="1">
      <alignment horizontal="center" vertical="top" textRotation="90"/>
    </xf>
    <xf numFmtId="2" fontId="13" fillId="10" borderId="10" xfId="11" applyBorder="1" applyAlignment="1"/>
    <xf numFmtId="2" fontId="13" fillId="10" borderId="0" xfId="11" applyAlignment="1"/>
    <xf numFmtId="1" fontId="13" fillId="10" borderId="0" xfId="11" applyNumberFormat="1" applyAlignment="1"/>
    <xf numFmtId="49" fontId="23" fillId="36" borderId="28" xfId="45" applyBorder="1" applyAlignment="1">
      <alignment horizontal="center" vertical="top" textRotation="90"/>
    </xf>
    <xf numFmtId="49" fontId="22" fillId="35" borderId="30" xfId="20" applyBorder="1" applyAlignment="1">
      <alignment horizontal="center" vertical="top" textRotation="90"/>
    </xf>
    <xf numFmtId="49" fontId="22" fillId="35" borderId="31" xfId="20" applyBorder="1" applyAlignment="1">
      <alignment horizontal="center" vertical="top" textRotation="90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9.8051786231727417E-2</c:v>
                </c:pt>
                <c:pt idx="1">
                  <c:v>8.6332721527605752E-2</c:v>
                </c:pt>
                <c:pt idx="2">
                  <c:v>8.1155156602206471E-2</c:v>
                </c:pt>
                <c:pt idx="3">
                  <c:v>9.8435865517442531E-2</c:v>
                </c:pt>
                <c:pt idx="4">
                  <c:v>8.5610876881058132E-2</c:v>
                </c:pt>
                <c:pt idx="5">
                  <c:v>6.8736511690953545E-2</c:v>
                </c:pt>
                <c:pt idx="6">
                  <c:v>9.6772185682032497E-2</c:v>
                </c:pt>
                <c:pt idx="7">
                  <c:v>9.9111111233457075E-2</c:v>
                </c:pt>
                <c:pt idx="8">
                  <c:v>0.10103884629307694</c:v>
                </c:pt>
                <c:pt idx="9">
                  <c:v>9.1089847507293362E-2</c:v>
                </c:pt>
                <c:pt idx="10">
                  <c:v>9.3665090833146308E-2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0.31929293464150599</c:v>
                  </c:pt>
                  <c:pt idx="10">
                    <c:v>0.34257433686301419</c:v>
                  </c:pt>
                  <c:pt idx="11">
                    <c:v>0.39798974562440759</c:v>
                  </c:pt>
                  <c:pt idx="12">
                    <c:v>0.16523285375703783</c:v>
                  </c:pt>
                  <c:pt idx="13">
                    <c:v>0.39209843742131745</c:v>
                  </c:pt>
                  <c:pt idx="14">
                    <c:v>0.47144321778571852</c:v>
                  </c:pt>
                  <c:pt idx="15">
                    <c:v>0.20164788161185698</c:v>
                  </c:pt>
                  <c:pt idx="16">
                    <c:v>0.2905596870397954</c:v>
                  </c:pt>
                  <c:pt idx="17">
                    <c:v>0.21582976308468338</c:v>
                  </c:pt>
                  <c:pt idx="18">
                    <c:v>0.26706850752171218</c:v>
                  </c:pt>
                  <c:pt idx="19">
                    <c:v>0.42114965349856726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0.23006147675523858</c:v>
                  </c:pt>
                  <c:pt idx="10">
                    <c:v>0.23513237845087864</c:v>
                  </c:pt>
                  <c:pt idx="11">
                    <c:v>0.26682008989593797</c:v>
                  </c:pt>
                  <c:pt idx="12">
                    <c:v>0.11922250135844131</c:v>
                  </c:pt>
                  <c:pt idx="13">
                    <c:v>0.26825523598624634</c:v>
                  </c:pt>
                  <c:pt idx="14">
                    <c:v>0.29656478710023482</c:v>
                  </c:pt>
                  <c:pt idx="15">
                    <c:v>0.14455753454374737</c:v>
                  </c:pt>
                  <c:pt idx="16">
                    <c:v>0.21021644764739877</c:v>
                  </c:pt>
                  <c:pt idx="17">
                    <c:v>0.15731467782776848</c:v>
                  </c:pt>
                  <c:pt idx="18">
                    <c:v>0.18707837160280238</c:v>
                  </c:pt>
                  <c:pt idx="19">
                    <c:v>0.298174311935127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0.82321869216533006</c:v>
                </c:pt>
                <c:pt idx="10">
                  <c:v>0.74971007428821135</c:v>
                </c:pt>
                <c:pt idx="11">
                  <c:v>0.80957489074294797</c:v>
                </c:pt>
                <c:pt idx="12">
                  <c:v>0.42815308087291398</c:v>
                </c:pt>
                <c:pt idx="13">
                  <c:v>0.84931960447937316</c:v>
                </c:pt>
                <c:pt idx="14">
                  <c:v>0.79948943368507008</c:v>
                </c:pt>
                <c:pt idx="15">
                  <c:v>0.51058930465081054</c:v>
                </c:pt>
                <c:pt idx="16">
                  <c:v>0.76024349654024703</c:v>
                </c:pt>
                <c:pt idx="17">
                  <c:v>0.58024677732650543</c:v>
                </c:pt>
                <c:pt idx="18">
                  <c:v>0.6246112838738338</c:v>
                </c:pt>
                <c:pt idx="19">
                  <c:v>1.0211478704360455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9.8051786231727417E-2</c:v>
                </c:pt>
                <c:pt idx="10">
                  <c:v>8.6332721527605752E-2</c:v>
                </c:pt>
                <c:pt idx="11">
                  <c:v>8.1155156602206471E-2</c:v>
                </c:pt>
                <c:pt idx="12">
                  <c:v>9.8435865517442531E-2</c:v>
                </c:pt>
                <c:pt idx="13">
                  <c:v>8.5610876881058132E-2</c:v>
                </c:pt>
                <c:pt idx="14">
                  <c:v>6.8736511690953545E-2</c:v>
                </c:pt>
                <c:pt idx="15">
                  <c:v>9.6772185682032497E-2</c:v>
                </c:pt>
                <c:pt idx="16">
                  <c:v>9.9111111233457075E-2</c:v>
                </c:pt>
                <c:pt idx="17">
                  <c:v>0.10103884629307694</c:v>
                </c:pt>
                <c:pt idx="18">
                  <c:v>9.1089847507293362E-2</c:v>
                </c:pt>
                <c:pt idx="19">
                  <c:v>9.3665090833146308E-2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0.41310673153609601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0.25926969404198474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0.69623061934059816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0.10103884629307694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0.13267112324912156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0.11143624577233979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0.69623061934059816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0.10103884629307694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0.31929293464150599</c:v>
                  </c:pt>
                  <c:pt idx="10">
                    <c:v>0.34257433686301419</c:v>
                  </c:pt>
                  <c:pt idx="11">
                    <c:v>0.39798974562440759</c:v>
                  </c:pt>
                  <c:pt idx="12">
                    <c:v>0.16523285375703783</c:v>
                  </c:pt>
                  <c:pt idx="13">
                    <c:v>0.39209843742131745</c:v>
                  </c:pt>
                  <c:pt idx="14">
                    <c:v>0.47144321778571852</c:v>
                  </c:pt>
                  <c:pt idx="15">
                    <c:v>0.20164788161185698</c:v>
                  </c:pt>
                  <c:pt idx="16">
                    <c:v>0.2905596870397954</c:v>
                  </c:pt>
                  <c:pt idx="17">
                    <c:v>0.21582976308468338</c:v>
                  </c:pt>
                  <c:pt idx="18">
                    <c:v>0.26706850752171218</c:v>
                  </c:pt>
                  <c:pt idx="19">
                    <c:v>0.42114965349856726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0.23006147675523858</c:v>
                  </c:pt>
                  <c:pt idx="10">
                    <c:v>0.23513237845087864</c:v>
                  </c:pt>
                  <c:pt idx="11">
                    <c:v>0.26682008989593797</c:v>
                  </c:pt>
                  <c:pt idx="12">
                    <c:v>0.11922250135844131</c:v>
                  </c:pt>
                  <c:pt idx="13">
                    <c:v>0.26825523598624634</c:v>
                  </c:pt>
                  <c:pt idx="14">
                    <c:v>0.29656478710023482</c:v>
                  </c:pt>
                  <c:pt idx="15">
                    <c:v>0.14455753454374737</c:v>
                  </c:pt>
                  <c:pt idx="16">
                    <c:v>0.21021644764739877</c:v>
                  </c:pt>
                  <c:pt idx="17">
                    <c:v>0.15731467782776848</c:v>
                  </c:pt>
                  <c:pt idx="18">
                    <c:v>0.18707837160280238</c:v>
                  </c:pt>
                  <c:pt idx="19">
                    <c:v>0.298174311935127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0.82321869216533006</c:v>
                </c:pt>
                <c:pt idx="10">
                  <c:v>0.74971007428821135</c:v>
                </c:pt>
                <c:pt idx="11">
                  <c:v>0.80957489074294797</c:v>
                </c:pt>
                <c:pt idx="12">
                  <c:v>0.42815308087291398</c:v>
                </c:pt>
                <c:pt idx="13">
                  <c:v>0.84931960447937316</c:v>
                </c:pt>
                <c:pt idx="14">
                  <c:v>0.79948943368507008</c:v>
                </c:pt>
                <c:pt idx="15">
                  <c:v>0.51058930465081054</c:v>
                </c:pt>
                <c:pt idx="16">
                  <c:v>0.76024349654024703</c:v>
                </c:pt>
                <c:pt idx="17">
                  <c:v>0.58024677732650543</c:v>
                </c:pt>
                <c:pt idx="18">
                  <c:v>0.6246112838738338</c:v>
                </c:pt>
                <c:pt idx="19">
                  <c:v>1.0211478704360455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9.8051786231727417E-2</c:v>
                </c:pt>
                <c:pt idx="10">
                  <c:v>8.6332721527605752E-2</c:v>
                </c:pt>
                <c:pt idx="11">
                  <c:v>8.1155156602206471E-2</c:v>
                </c:pt>
                <c:pt idx="12">
                  <c:v>9.8435865517442531E-2</c:v>
                </c:pt>
                <c:pt idx="13">
                  <c:v>8.5610876881058132E-2</c:v>
                </c:pt>
                <c:pt idx="14">
                  <c:v>6.8736511690953545E-2</c:v>
                </c:pt>
                <c:pt idx="15">
                  <c:v>9.6772185682032497E-2</c:v>
                </c:pt>
                <c:pt idx="16">
                  <c:v>9.9111111233457075E-2</c:v>
                </c:pt>
                <c:pt idx="17">
                  <c:v>0.10103884629307694</c:v>
                </c:pt>
                <c:pt idx="18">
                  <c:v>9.1089847507293362E-2</c:v>
                </c:pt>
                <c:pt idx="19">
                  <c:v>9.3665090833146308E-2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0.41310673153609601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0.25926969404198474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0.69623061934059816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0.10103884629307694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0.13267112324912156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0.11143624577233979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0.69623061934059816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0.10103884629307694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0.3192929319994563</c:v>
                  </c:pt>
                  <c:pt idx="10">
                    <c:v>0.34257432785244901</c:v>
                  </c:pt>
                  <c:pt idx="11">
                    <c:v>0.39798973504052138</c:v>
                  </c:pt>
                  <c:pt idx="12">
                    <c:v>0.16523282665566957</c:v>
                  </c:pt>
                  <c:pt idx="13">
                    <c:v>0.39209840765023452</c:v>
                  </c:pt>
                  <c:pt idx="14">
                    <c:v>0.47144320351602642</c:v>
                  </c:pt>
                  <c:pt idx="15">
                    <c:v>0.20164787222538838</c:v>
                  </c:pt>
                  <c:pt idx="16">
                    <c:v>0.29055967357311385</c:v>
                  </c:pt>
                  <c:pt idx="17">
                    <c:v>0.21582975299655605</c:v>
                  </c:pt>
                  <c:pt idx="18">
                    <c:v>0.26706848844696673</c:v>
                  </c:pt>
                  <c:pt idx="19">
                    <c:v>0.42114964258165277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0.23006147538356692</c:v>
                  </c:pt>
                  <c:pt idx="10">
                    <c:v>0.23513237420598065</c:v>
                  </c:pt>
                  <c:pt idx="11">
                    <c:v>0.26682008513887989</c:v>
                  </c:pt>
                  <c:pt idx="12">
                    <c:v>0.11922248724883522</c:v>
                  </c:pt>
                  <c:pt idx="13">
                    <c:v>0.26825522205144325</c:v>
                  </c:pt>
                  <c:pt idx="14">
                    <c:v>0.29656478145353116</c:v>
                  </c:pt>
                  <c:pt idx="15">
                    <c:v>0.14455752971986868</c:v>
                  </c:pt>
                  <c:pt idx="16">
                    <c:v>0.21021644059846778</c:v>
                  </c:pt>
                  <c:pt idx="17">
                    <c:v>0.15731467246824254</c:v>
                  </c:pt>
                  <c:pt idx="18">
                    <c:v>0.18707836224313185</c:v>
                  </c:pt>
                  <c:pt idx="19">
                    <c:v>0.29817430646285759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0.82321869216533006</c:v>
                </c:pt>
                <c:pt idx="10">
                  <c:v>0.74971007428821135</c:v>
                </c:pt>
                <c:pt idx="11">
                  <c:v>0.80957489074294797</c:v>
                </c:pt>
                <c:pt idx="12">
                  <c:v>0.42815308087291398</c:v>
                </c:pt>
                <c:pt idx="13">
                  <c:v>0.84931960447937316</c:v>
                </c:pt>
                <c:pt idx="14">
                  <c:v>0.79948943368507008</c:v>
                </c:pt>
                <c:pt idx="15">
                  <c:v>0.51058930465081054</c:v>
                </c:pt>
                <c:pt idx="16">
                  <c:v>0.76024349654024703</c:v>
                </c:pt>
                <c:pt idx="17">
                  <c:v>0.58024677732650543</c:v>
                </c:pt>
                <c:pt idx="18">
                  <c:v>0.6246112838738338</c:v>
                </c:pt>
                <c:pt idx="19">
                  <c:v>1.0211478704360455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0.13705115757863243</c:v>
                </c:pt>
                <c:pt idx="10">
                  <c:v>0.12099064403685306</c:v>
                </c:pt>
                <c:pt idx="11">
                  <c:v>0.11386785856682244</c:v>
                </c:pt>
                <c:pt idx="12">
                  <c:v>0.13757608660933893</c:v>
                </c:pt>
                <c:pt idx="13">
                  <c:v>0.11999860158518487</c:v>
                </c:pt>
                <c:pt idx="14">
                  <c:v>9.6715268225312997E-2</c:v>
                </c:pt>
                <c:pt idx="15">
                  <c:v>0.13530164502235709</c:v>
                </c:pt>
                <c:pt idx="16">
                  <c:v>0.13849873837549806</c:v>
                </c:pt>
                <c:pt idx="17">
                  <c:v>0.34766801634594252</c:v>
                </c:pt>
                <c:pt idx="18">
                  <c:v>0.32288773530085685</c:v>
                </c:pt>
                <c:pt idx="19">
                  <c:v>0.32944424835320063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0.46560821299720945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1.998314803093703</c:v>
                  </c:pt>
                  <c:pt idx="18">
                    <c:v>1.998314803093703</c:v>
                  </c:pt>
                  <c:pt idx="19">
                    <c:v>1.998314803093703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0.27785659755888004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0.52704102024588517</c:v>
                  </c:pt>
                  <c:pt idx="18">
                    <c:v>0.52704102024588517</c:v>
                  </c:pt>
                  <c:pt idx="19">
                    <c:v>0.52704102024588517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0.68906098920554815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</c:v>
                </c:pt>
                <c:pt idx="15">
                  <c:v>#N/A</c:v>
                </c:pt>
                <c:pt idx="16">
                  <c:v>#N/A</c:v>
                </c:pt>
                <c:pt idx="17">
                  <c:v>0.71583812943120884</c:v>
                </c:pt>
                <c:pt idx="18">
                  <c:v>0.71583812943120884</c:v>
                </c:pt>
                <c:pt idx="19">
                  <c:v>0.71583812943120884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0.16893095200062269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0.81952284934202657</c:v>
                  </c:pt>
                  <c:pt idx="18">
                    <c:v>0.81952284934202657</c:v>
                  </c:pt>
                  <c:pt idx="19">
                    <c:v>0.81952284934202657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0.13566995597807463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0.38208975713832777</c:v>
                  </c:pt>
                  <c:pt idx="18">
                    <c:v>0.38208975713832777</c:v>
                  </c:pt>
                  <c:pt idx="19">
                    <c:v>0.38208975713832777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0.68906098920554815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</c:v>
                </c:pt>
                <c:pt idx="15">
                  <c:v>#N/A</c:v>
                </c:pt>
                <c:pt idx="16">
                  <c:v>#N/A</c:v>
                </c:pt>
                <c:pt idx="17">
                  <c:v>0.71583812943120884</c:v>
                </c:pt>
                <c:pt idx="18">
                  <c:v>0.71583812943120884</c:v>
                </c:pt>
                <c:pt idx="19">
                  <c:v>0.71583812943120884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0.3192929319994563</c:v>
                  </c:pt>
                  <c:pt idx="10">
                    <c:v>0.34257432785244901</c:v>
                  </c:pt>
                  <c:pt idx="11">
                    <c:v>0.39798973504052138</c:v>
                  </c:pt>
                  <c:pt idx="12">
                    <c:v>0.16523282665566957</c:v>
                  </c:pt>
                  <c:pt idx="13">
                    <c:v>0.39209840765023452</c:v>
                  </c:pt>
                  <c:pt idx="14">
                    <c:v>0.47144320351602642</c:v>
                  </c:pt>
                  <c:pt idx="15">
                    <c:v>0.20164787222538838</c:v>
                  </c:pt>
                  <c:pt idx="16">
                    <c:v>0.29055967357311385</c:v>
                  </c:pt>
                  <c:pt idx="17">
                    <c:v>0.21582975299655605</c:v>
                  </c:pt>
                  <c:pt idx="18">
                    <c:v>0.26706848844696673</c:v>
                  </c:pt>
                  <c:pt idx="19">
                    <c:v>0.42114964258165277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0.23006147538356692</c:v>
                  </c:pt>
                  <c:pt idx="10">
                    <c:v>0.23513237420598065</c:v>
                  </c:pt>
                  <c:pt idx="11">
                    <c:v>0.26682008513887989</c:v>
                  </c:pt>
                  <c:pt idx="12">
                    <c:v>0.11922248724883522</c:v>
                  </c:pt>
                  <c:pt idx="13">
                    <c:v>0.26825522205144325</c:v>
                  </c:pt>
                  <c:pt idx="14">
                    <c:v>0.29656478145353116</c:v>
                  </c:pt>
                  <c:pt idx="15">
                    <c:v>0.14455752971986868</c:v>
                  </c:pt>
                  <c:pt idx="16">
                    <c:v>0.21021644059846778</c:v>
                  </c:pt>
                  <c:pt idx="17">
                    <c:v>0.15731467246824254</c:v>
                  </c:pt>
                  <c:pt idx="18">
                    <c:v>0.18707836224313185</c:v>
                  </c:pt>
                  <c:pt idx="19">
                    <c:v>0.29817430646285759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0.82321869216533006</c:v>
                </c:pt>
                <c:pt idx="10">
                  <c:v>0.74971007428821135</c:v>
                </c:pt>
                <c:pt idx="11">
                  <c:v>0.80957489074294797</c:v>
                </c:pt>
                <c:pt idx="12">
                  <c:v>0.42815308087291398</c:v>
                </c:pt>
                <c:pt idx="13">
                  <c:v>0.84931960447937316</c:v>
                </c:pt>
                <c:pt idx="14">
                  <c:v>0.79948943368507008</c:v>
                </c:pt>
                <c:pt idx="15">
                  <c:v>0.51058930465081054</c:v>
                </c:pt>
                <c:pt idx="16">
                  <c:v>0.76024349654024703</c:v>
                </c:pt>
                <c:pt idx="17">
                  <c:v>0.58024677732650543</c:v>
                </c:pt>
                <c:pt idx="18">
                  <c:v>0.6246112838738338</c:v>
                </c:pt>
                <c:pt idx="19">
                  <c:v>1.0211478704360455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0.13705115757863243</c:v>
                </c:pt>
                <c:pt idx="10">
                  <c:v>0.12099064403685306</c:v>
                </c:pt>
                <c:pt idx="11">
                  <c:v>0.11386785856682244</c:v>
                </c:pt>
                <c:pt idx="12">
                  <c:v>0.13757608660933893</c:v>
                </c:pt>
                <c:pt idx="13">
                  <c:v>0.11999860158518487</c:v>
                </c:pt>
                <c:pt idx="14">
                  <c:v>9.6715268225312997E-2</c:v>
                </c:pt>
                <c:pt idx="15">
                  <c:v>0.13530164502235709</c:v>
                </c:pt>
                <c:pt idx="16">
                  <c:v>0.13849873837549806</c:v>
                </c:pt>
                <c:pt idx="17">
                  <c:v>0.34766801634594252</c:v>
                </c:pt>
                <c:pt idx="18">
                  <c:v>0.32288773530085685</c:v>
                </c:pt>
                <c:pt idx="19">
                  <c:v>0.32944424835320063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0.46560821299720945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1.998314803093703</c:v>
                  </c:pt>
                  <c:pt idx="18">
                    <c:v>1.998314803093703</c:v>
                  </c:pt>
                  <c:pt idx="19">
                    <c:v>1.998314803093703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0.27785659755888004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0.52704102024588517</c:v>
                  </c:pt>
                  <c:pt idx="18">
                    <c:v>0.52704102024588517</c:v>
                  </c:pt>
                  <c:pt idx="19">
                    <c:v>0.52704102024588517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0.68906098920554815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</c:v>
                </c:pt>
                <c:pt idx="15">
                  <c:v>#N/A</c:v>
                </c:pt>
                <c:pt idx="16">
                  <c:v>#N/A</c:v>
                </c:pt>
                <c:pt idx="17">
                  <c:v>0.71583812943120884</c:v>
                </c:pt>
                <c:pt idx="18">
                  <c:v>0.71583812943120884</c:v>
                </c:pt>
                <c:pt idx="19">
                  <c:v>0.71583812943120884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0.16893095200062269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0.81952284934202657</c:v>
                  </c:pt>
                  <c:pt idx="18">
                    <c:v>0.81952284934202657</c:v>
                  </c:pt>
                  <c:pt idx="19">
                    <c:v>0.81952284934202657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0.13566995597807463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0.38208975713832777</c:v>
                  </c:pt>
                  <c:pt idx="18">
                    <c:v>0.38208975713832777</c:v>
                  </c:pt>
                  <c:pt idx="19">
                    <c:v>0.38208975713832777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0.68906098920554815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</c:v>
                </c:pt>
                <c:pt idx="15">
                  <c:v>#N/A</c:v>
                </c:pt>
                <c:pt idx="16">
                  <c:v>#N/A</c:v>
                </c:pt>
                <c:pt idx="17">
                  <c:v>0.71583812943120884</c:v>
                </c:pt>
                <c:pt idx="18">
                  <c:v>0.71583812943120884</c:v>
                </c:pt>
                <c:pt idx="19">
                  <c:v>0.71583812943120884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0.46560821299720945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1.998314803093703</c:v>
                  </c:pt>
                  <c:pt idx="18">
                    <c:v>1.998314803093703</c:v>
                  </c:pt>
                  <c:pt idx="19">
                    <c:v>1.998314803093703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0.27785659755888004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0.52704102024588517</c:v>
                  </c:pt>
                  <c:pt idx="18">
                    <c:v>0.52704102024588517</c:v>
                  </c:pt>
                  <c:pt idx="19">
                    <c:v>0.52704102024588517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0.68906098920554815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</c:v>
                </c:pt>
                <c:pt idx="15">
                  <c:v>#N/A</c:v>
                </c:pt>
                <c:pt idx="16">
                  <c:v>#N/A</c:v>
                </c:pt>
                <c:pt idx="17">
                  <c:v>0.71583812943120884</c:v>
                </c:pt>
                <c:pt idx="18">
                  <c:v>0.71583812943120884</c:v>
                </c:pt>
                <c:pt idx="19">
                  <c:v>0.71583812943120884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0.16893095200062269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0.81952284934202657</c:v>
                  </c:pt>
                  <c:pt idx="18">
                    <c:v>0.81952284934202657</c:v>
                  </c:pt>
                  <c:pt idx="19">
                    <c:v>0.81952284934202657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0.13566995597807463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0.38208975713832777</c:v>
                  </c:pt>
                  <c:pt idx="18">
                    <c:v>0.38208975713832777</c:v>
                  </c:pt>
                  <c:pt idx="19">
                    <c:v>0.38208975713832777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0.68906098920554815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</c:v>
                </c:pt>
                <c:pt idx="15">
                  <c:v>#N/A</c:v>
                </c:pt>
                <c:pt idx="16">
                  <c:v>#N/A</c:v>
                </c:pt>
                <c:pt idx="17">
                  <c:v>0.71583812943120884</c:v>
                </c:pt>
                <c:pt idx="18">
                  <c:v>0.71583812943120884</c:v>
                </c:pt>
                <c:pt idx="19">
                  <c:v>0.71583812943120884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0.46560821299720945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1.998314803093703</c:v>
                  </c:pt>
                  <c:pt idx="18">
                    <c:v>1.998314803093703</c:v>
                  </c:pt>
                  <c:pt idx="19">
                    <c:v>1.998314803093703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0.27785659755888004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0.52704102024588517</c:v>
                  </c:pt>
                  <c:pt idx="18">
                    <c:v>0.52704102024588517</c:v>
                  </c:pt>
                  <c:pt idx="19">
                    <c:v>0.52704102024588517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0.68906098920554815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</c:v>
                </c:pt>
                <c:pt idx="15">
                  <c:v>#N/A</c:v>
                </c:pt>
                <c:pt idx="16">
                  <c:v>#N/A</c:v>
                </c:pt>
                <c:pt idx="17">
                  <c:v>0.71583812943120884</c:v>
                </c:pt>
                <c:pt idx="18">
                  <c:v>0.71583812943120884</c:v>
                </c:pt>
                <c:pt idx="19">
                  <c:v>0.71583812943120884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0.16893095200062269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0.81952284934202657</c:v>
                  </c:pt>
                  <c:pt idx="18">
                    <c:v>0.81952284934202657</c:v>
                  </c:pt>
                  <c:pt idx="19">
                    <c:v>0.81952284934202657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0.13566995597807463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0.38208975713832777</c:v>
                  </c:pt>
                  <c:pt idx="18">
                    <c:v>0.38208975713832777</c:v>
                  </c:pt>
                  <c:pt idx="19">
                    <c:v>0.38208975713832777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0.68906098920554815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</c:v>
                </c:pt>
                <c:pt idx="15">
                  <c:v>#N/A</c:v>
                </c:pt>
                <c:pt idx="16">
                  <c:v>#N/A</c:v>
                </c:pt>
                <c:pt idx="17">
                  <c:v>0.71583812943120884</c:v>
                </c:pt>
                <c:pt idx="18">
                  <c:v>0.71583812943120884</c:v>
                </c:pt>
                <c:pt idx="19">
                  <c:v>0.71583812943120884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26</c:v>
                </c:pt>
                <c:pt idx="10">
                  <c:v>30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-0.19453338800807651</c:v>
                </c:pt>
                <c:pt idx="10">
                  <c:v>-0.28806871480402096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0.56863081686532579</c:v>
                </c:pt>
                <c:pt idx="10">
                  <c:v>0.43136918313467415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Calculations!$FO$12:$FO$13</c:f>
              <c:numCache>
                <c:formatCode>0.00</c:formatCode>
                <c:ptCount val="2"/>
                <c:pt idx="0">
                  <c:v>23.400000000000002</c:v>
                </c:pt>
                <c:pt idx="1">
                  <c:v>33</c:v>
                </c:pt>
              </c:numCache>
            </c:num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-0.1337354255907105</c:v>
                </c:pt>
                <c:pt idx="1">
                  <c:v>-0.35822020990098202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1.2213740458015267E-2</c:v>
                </c:pt>
                <c:pt idx="10">
                  <c:v>1.7591674925668981E-2</c:v>
                </c:pt>
                <c:pt idx="11">
                  <c:v>1.4866204162537165E-2</c:v>
                </c:pt>
                <c:pt idx="12">
                  <c:v>8.4726867335562991E-2</c:v>
                </c:pt>
                <c:pt idx="13">
                  <c:v>2.7388123924268502E-2</c:v>
                </c:pt>
                <c:pt idx="14">
                  <c:v>1.272202486678508E-2</c:v>
                </c:pt>
                <c:pt idx="15">
                  <c:v>3.6808413351623229E-2</c:v>
                </c:pt>
                <c:pt idx="16">
                  <c:v>3.2007315957933241E-2</c:v>
                </c:pt>
                <c:pt idx="17">
                  <c:v>3.8408779149519894E-2</c:v>
                </c:pt>
                <c:pt idx="18">
                  <c:v>3.5665294924554183E-2</c:v>
                </c:pt>
                <c:pt idx="19">
                  <c:v>1.7591674925668981E-2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1.0076335877862596E-2</c:v>
                </c:pt>
                <c:pt idx="10">
                  <c:v>1.3246982631733883E-2</c:v>
                </c:pt>
                <c:pt idx="11">
                  <c:v>1.2069473064468648E-2</c:v>
                </c:pt>
                <c:pt idx="12">
                  <c:v>3.8123167155425221E-2</c:v>
                </c:pt>
                <c:pt idx="13">
                  <c:v>2.3357664233576641E-2</c:v>
                </c:pt>
                <c:pt idx="14">
                  <c:v>1.0197136335339281E-2</c:v>
                </c:pt>
                <c:pt idx="15">
                  <c:v>1.9138755980861243E-2</c:v>
                </c:pt>
                <c:pt idx="16">
                  <c:v>2.4521531100478468E-2</c:v>
                </c:pt>
                <c:pt idx="17">
                  <c:v>2.265176683781335E-2</c:v>
                </c:pt>
                <c:pt idx="18">
                  <c:v>2.2579244463742945E-2</c:v>
                </c:pt>
                <c:pt idx="19">
                  <c:v>1.7957020900794818E-2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35.764994801167163</c:v>
                </c:pt>
                <c:pt idx="10">
                  <c:v>27.131692716276554</c:v>
                </c:pt>
                <c:pt idx="11">
                  <c:v>24.034767694096736</c:v>
                </c:pt>
                <c:pt idx="12">
                  <c:v>36.095135237997731</c:v>
                </c:pt>
                <c:pt idx="13">
                  <c:v>26.677396039958285</c:v>
                </c:pt>
                <c:pt idx="14">
                  <c:v>17.88478257129827</c:v>
                </c:pt>
                <c:pt idx="15">
                  <c:v>34.689749486698794</c:v>
                </c:pt>
                <c:pt idx="16">
                  <c:v>36.684104450389654</c:v>
                </c:pt>
                <c:pt idx="17">
                  <c:v>38.428091392167985</c:v>
                </c:pt>
                <c:pt idx="18">
                  <c:v>30.330891136916954</c:v>
                </c:pt>
                <c:pt idx="19">
                  <c:v>32.226963763497999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8.4726867335562991E-2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8.4726867335562991E-2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8.4726867335562991E-2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5.8747688537840466E-2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6.1990395540089906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-2.3107445020224717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6.1990395540089906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-2.2281388519862744</c:v>
                </c:pt>
                <c:pt idx="1">
                  <c:v>-4.5388833540087461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6.1990395540089906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2.2281388519862744</c:v>
                </c:pt>
                <c:pt idx="1">
                  <c:v>-8.2605650036197353E-2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5.9803841683596852</c:v>
                </c:pt>
                <c:pt idx="10">
                  <c:v>5.2088091456950645</c:v>
                </c:pt>
                <c:pt idx="11">
                  <c:v>4.9025266642922745</c:v>
                </c:pt>
                <c:pt idx="12">
                  <c:v>6.0079227057276405</c:v>
                </c:pt>
                <c:pt idx="13">
                  <c:v>5.1650165575686477</c:v>
                </c:pt>
                <c:pt idx="14">
                  <c:v>4.2290403842122712</c:v>
                </c:pt>
                <c:pt idx="15">
                  <c:v>5.8898004623840015</c:v>
                </c:pt>
                <c:pt idx="16">
                  <c:v>6.0567404146446346</c:v>
                </c:pt>
                <c:pt idx="17">
                  <c:v>6.1990395540089906</c:v>
                </c:pt>
                <c:pt idx="18">
                  <c:v>5.5073488301465847</c:v>
                </c:pt>
                <c:pt idx="19">
                  <c:v>5.6768797559485087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-1.1633843938608726</c:v>
                </c:pt>
                <c:pt idx="10">
                  <c:v>-1.5004949562598078</c:v>
                </c:pt>
                <c:pt idx="11">
                  <c:v>-1.0356391248225649</c:v>
                </c:pt>
                <c:pt idx="12">
                  <c:v>-5.096367519634283</c:v>
                </c:pt>
                <c:pt idx="13">
                  <c:v>-0.84354903400967962</c:v>
                </c:pt>
                <c:pt idx="14">
                  <c:v>-0.94638295857054877</c:v>
                </c:pt>
                <c:pt idx="15">
                  <c:v>-3.9590633296967153</c:v>
                </c:pt>
                <c:pt idx="16">
                  <c:v>-1.6602525252457403</c:v>
                </c:pt>
                <c:pt idx="17">
                  <c:v>-3.374148311782676</c:v>
                </c:pt>
                <c:pt idx="18">
                  <c:v>-2.5919002757842491</c:v>
                </c:pt>
                <c:pt idx="19">
                  <c:v>0.118802093399256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-0.19453338800807651</c:v>
                </c:pt>
                <c:pt idx="10">
                  <c:v>-0.28806871480402096</c:v>
                </c:pt>
                <c:pt idx="11">
                  <c:v>-0.211245995328425</c:v>
                </c:pt>
                <c:pt idx="12">
                  <c:v>-0.84827448175650988</c:v>
                </c:pt>
                <c:pt idx="13">
                  <c:v>-0.16331971535958975</c:v>
                </c:pt>
                <c:pt idx="14">
                  <c:v>-0.22378196294922076</c:v>
                </c:pt>
                <c:pt idx="15">
                  <c:v>-0.6721897210239639</c:v>
                </c:pt>
                <c:pt idx="16">
                  <c:v>-0.27411650683119987</c:v>
                </c:pt>
                <c:pt idx="17">
                  <c:v>-0.54430178778268568</c:v>
                </c:pt>
                <c:pt idx="18">
                  <c:v>-0.47062576853612209</c:v>
                </c:pt>
                <c:pt idx="19">
                  <c:v>2.0927357722306771E-2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0.16721333811474565</c:v>
                </c:pt>
                <c:pt idx="10">
                  <c:v>0.19198246125536622</c:v>
                </c:pt>
                <c:pt idx="11">
                  <c:v>0.20397645305706039</c:v>
                </c:pt>
                <c:pt idx="12">
                  <c:v>0.16644688172280447</c:v>
                </c:pt>
                <c:pt idx="13">
                  <c:v>0.19361022154607277</c:v>
                </c:pt>
                <c:pt idx="14">
                  <c:v>0.23646026264803963</c:v>
                </c:pt>
                <c:pt idx="15">
                  <c:v>0.16978503879488513</c:v>
                </c:pt>
                <c:pt idx="16">
                  <c:v>0.16510530938094906</c:v>
                </c:pt>
                <c:pt idx="17">
                  <c:v>0.16131531203947366</c:v>
                </c:pt>
                <c:pt idx="18">
                  <c:v>0.18157556945115166</c:v>
                </c:pt>
                <c:pt idx="19">
                  <c:v>0.17615310575358792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-1.0049980281756243</c:v>
                </c:pt>
                <c:pt idx="1">
                  <c:v>-0.37275847038725324</c:v>
                </c:pt>
                <c:pt idx="2">
                  <c:v>0.2594810874011178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0.28375231517764754</c:v>
                </c:pt>
                <c:pt idx="1">
                  <c:v>0</c:v>
                </c:pt>
                <c:pt idx="2">
                  <c:v>0.28375231517764754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-0.37275847038725324</c:v>
                </c:pt>
                <c:pt idx="1">
                  <c:v>-0.37275847038725324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0.28375231517764754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0.00</c:formatCode>
                  <c:ptCount val="1"/>
                  <c:pt idx="0">
                    <c:v>0.44853727891043654</c:v>
                  </c:pt>
                </c:numCache>
              </c:numRef>
            </c:plus>
            <c:minus>
              <c:numRef>
                <c:f>Calculations!$GH$16</c:f>
                <c:numCache>
                  <c:formatCode>0.00</c:formatCode>
                  <c:ptCount val="1"/>
                  <c:pt idx="0">
                    <c:v>0.44853727891043654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-0.37275847038725324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0.2601062889128436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0.00</c:formatCode>
                  <c:ptCount val="1"/>
                  <c:pt idx="0">
                    <c:v>0.12084693572109245</c:v>
                  </c:pt>
                </c:numCache>
              </c:numRef>
            </c:plus>
            <c:minus>
              <c:numRef>
                <c:f>Calculations!$GH$15</c:f>
                <c:numCache>
                  <c:formatCode>0.00</c:formatCode>
                  <c:ptCount val="1"/>
                  <c:pt idx="0">
                    <c:v>0.12084693572109245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-0.37275847038725324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0.2601062889128436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0.00</c:formatCode>
                  <c:ptCount val="1"/>
                  <c:pt idx="0">
                    <c:v>0.44853727891043654</c:v>
                  </c:pt>
                </c:numCache>
              </c:numRef>
            </c:plus>
            <c:minus>
              <c:numRef>
                <c:f>Calculations!$GH$21</c:f>
                <c:numCache>
                  <c:formatCode>0.00</c:formatCode>
                  <c:ptCount val="1"/>
                  <c:pt idx="0">
                    <c:v>0.44853727891043654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-0.37275847038725324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0.28375231517764754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0.00</c:formatCode>
                  <c:ptCount val="1"/>
                  <c:pt idx="0">
                    <c:v>0.12084693572109245</c:v>
                  </c:pt>
                </c:numCache>
              </c:numRef>
            </c:plus>
            <c:minus>
              <c:numRef>
                <c:f>Calculations!$GH$20</c:f>
                <c:numCache>
                  <c:formatCode>0.00</c:formatCode>
                  <c:ptCount val="1"/>
                  <c:pt idx="0">
                    <c:v>0.12084693572109245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-0.37275847038725324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0.28375231517764754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0.22300783094036683</c:v>
                </c:pt>
                <c:pt idx="10">
                  <c:v>0</c:v>
                </c:pt>
                <c:pt idx="11">
                  <c:v>0.45785193101249527</c:v>
                </c:pt>
                <c:pt idx="12">
                  <c:v>-1.5647264713617985</c:v>
                </c:pt>
                <c:pt idx="13">
                  <c:v>1.0491313979639678</c:v>
                </c:pt>
                <c:pt idx="14">
                  <c:v>0.72152228398234308</c:v>
                </c:pt>
                <c:pt idx="15">
                  <c:v>-1.0491313979639725</c:v>
                </c:pt>
                <c:pt idx="16">
                  <c:v>-0.22300783094036683</c:v>
                </c:pt>
                <c:pt idx="17">
                  <c:v>-0.72152228398234353</c:v>
                </c:pt>
                <c:pt idx="18">
                  <c:v>-0.45785193101249527</c:v>
                </c:pt>
                <c:pt idx="19">
                  <c:v>1.5647264713617974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-1.1633843938608726</c:v>
                </c:pt>
                <c:pt idx="10">
                  <c:v>-1.5004949562598078</c:v>
                </c:pt>
                <c:pt idx="11">
                  <c:v>-1.0356391248225649</c:v>
                </c:pt>
                <c:pt idx="12">
                  <c:v>-5.096367519634283</c:v>
                </c:pt>
                <c:pt idx="13">
                  <c:v>-0.84354903400967962</c:v>
                </c:pt>
                <c:pt idx="14">
                  <c:v>-0.94638295857054877</c:v>
                </c:pt>
                <c:pt idx="15">
                  <c:v>-3.9590633296967153</c:v>
                </c:pt>
                <c:pt idx="16">
                  <c:v>-1.6602525252457403</c:v>
                </c:pt>
                <c:pt idx="17">
                  <c:v>-3.374148311782676</c:v>
                </c:pt>
                <c:pt idx="18">
                  <c:v>-2.5919002757842491</c:v>
                </c:pt>
                <c:pt idx="19">
                  <c:v>0.118802093399256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-1.5647264713617985</c:v>
                </c:pt>
                <c:pt idx="1">
                  <c:v>1.5647264713617974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-4.5356363120324694</c:v>
                </c:pt>
                <c:pt idx="1">
                  <c:v>0.52611261452921765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-1.5647264713617985</c:v>
                </c:pt>
                <c:pt idx="1">
                  <c:v>1.5647264713617974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-2.0047618487516248</c:v>
                </c:pt>
                <c:pt idx="1">
                  <c:v>-2.0047618487516248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-2.8</c:v>
                </c:pt>
                <c:pt idx="2">
                  <c:v>-2.8; -2</c:v>
                </c:pt>
                <c:pt idx="3">
                  <c:v>-2; -1.2</c:v>
                </c:pt>
                <c:pt idx="4">
                  <c:v>-1.2; -0.4</c:v>
                </c:pt>
                <c:pt idx="5">
                  <c:v>-0.4; 0.4</c:v>
                </c:pt>
                <c:pt idx="6">
                  <c:v>0.4; 1.2</c:v>
                </c:pt>
                <c:pt idx="7">
                  <c:v>1.2; 2</c:v>
                </c:pt>
                <c:pt idx="8">
                  <c:v>2; 2.8</c:v>
                </c:pt>
                <c:pt idx="9">
                  <c:v>2.8;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9.0909090909090912E-2</c:v>
                </c:pt>
                <c:pt idx="2">
                  <c:v>0</c:v>
                </c:pt>
                <c:pt idx="3">
                  <c:v>9.0909090909090912E-2</c:v>
                </c:pt>
                <c:pt idx="4">
                  <c:v>0.18181818181818182</c:v>
                </c:pt>
                <c:pt idx="5">
                  <c:v>0</c:v>
                </c:pt>
                <c:pt idx="6">
                  <c:v>0.54545454545454541</c:v>
                </c:pt>
                <c:pt idx="7">
                  <c:v>0</c:v>
                </c:pt>
                <c:pt idx="8">
                  <c:v>9.0909090909090912E-2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-2.8</c:v>
                </c:pt>
                <c:pt idx="2">
                  <c:v>-2.8; -2</c:v>
                </c:pt>
                <c:pt idx="3">
                  <c:v>-2; -1.2</c:v>
                </c:pt>
                <c:pt idx="4">
                  <c:v>-1.2; -0.4</c:v>
                </c:pt>
                <c:pt idx="5">
                  <c:v>-0.4; 0.4</c:v>
                </c:pt>
                <c:pt idx="6">
                  <c:v>0.4; 1.2</c:v>
                </c:pt>
                <c:pt idx="7">
                  <c:v>1.2; 2</c:v>
                </c:pt>
                <c:pt idx="8">
                  <c:v>2; 2.8</c:v>
                </c:pt>
                <c:pt idx="9">
                  <c:v>2.8;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2.5551303304279312E-3</c:v>
                </c:pt>
                <c:pt idx="2">
                  <c:v>2.019500161775126E-2</c:v>
                </c:pt>
                <c:pt idx="3">
                  <c:v>9.2319538273529012E-2</c:v>
                </c:pt>
                <c:pt idx="4">
                  <c:v>0.22950858816796754</c:v>
                </c:pt>
                <c:pt idx="5">
                  <c:v>0.31084348322064853</c:v>
                </c:pt>
                <c:pt idx="6">
                  <c:v>0.22950858816796749</c:v>
                </c:pt>
                <c:pt idx="7">
                  <c:v>9.2319538273529012E-2</c:v>
                </c:pt>
                <c:pt idx="8">
                  <c:v>2.0195001617751229E-2</c:v>
                </c:pt>
                <c:pt idx="9">
                  <c:v>2.5551303304279793E-3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0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</xdr:colOff>
      <xdr:row>0</xdr:row>
      <xdr:rowOff>0</xdr:rowOff>
    </xdr:from>
    <xdr:to>
      <xdr:col>12</xdr:col>
      <xdr:colOff>41275</xdr:colOff>
      <xdr:row>206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304800</xdr:colOff>
      <xdr:row>0</xdr:row>
      <xdr:rowOff>396875</xdr:rowOff>
    </xdr:from>
    <xdr:to>
      <xdr:col>19</xdr:col>
      <xdr:colOff>5753100</xdr:colOff>
      <xdr:row>214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7557</xdr:colOff>
      <xdr:row>5</xdr:row>
      <xdr:rowOff>44718</xdr:rowOff>
    </xdr:from>
    <xdr:to>
      <xdr:col>11</xdr:col>
      <xdr:colOff>1581060</xdr:colOff>
      <xdr:row>31</xdr:row>
      <xdr:rowOff>107324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3"/>
  <sheetViews>
    <sheetView showGridLines="0" tabSelected="1" zoomScaleNormal="100" workbookViewId="0">
      <pane ySplit="1" topLeftCell="A6" activePane="bottomLeft" state="frozen"/>
      <selection pane="bottomLeft" activeCell="B11" sqref="B11:K21"/>
    </sheetView>
  </sheetViews>
  <sheetFormatPr defaultColWidth="18" defaultRowHeight="12"/>
  <cols>
    <col min="1" max="1" width="3.33203125" bestFit="1" customWidth="1"/>
    <col min="2" max="2" width="42.6640625" style="13" customWidth="1"/>
    <col min="3" max="3" width="12" bestFit="1" customWidth="1"/>
    <col min="4" max="4" width="6.33203125" bestFit="1" customWidth="1"/>
    <col min="5" max="5" width="4.1640625" bestFit="1" customWidth="1"/>
    <col min="6" max="6" width="5.33203125" bestFit="1" customWidth="1"/>
    <col min="7" max="7" width="4.1640625" bestFit="1" customWidth="1"/>
    <col min="8" max="9" width="6.33203125" bestFit="1" customWidth="1"/>
    <col min="10" max="10" width="13.33203125" bestFit="1" customWidth="1"/>
    <col min="11" max="11" width="8.83203125" bestFit="1" customWidth="1"/>
    <col min="12" max="12" width="9.83203125" bestFit="1" customWidth="1"/>
    <col min="13" max="13" width="3.33203125" customWidth="1"/>
    <col min="14" max="14" width="8.1640625" bestFit="1" customWidth="1"/>
    <col min="15" max="16" width="10.1640625" bestFit="1" customWidth="1"/>
    <col min="17" max="17" width="5.33203125" bestFit="1" customWidth="1"/>
  </cols>
  <sheetData>
    <row r="1" spans="1:20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>
      <c r="A2" s="6"/>
      <c r="B2" s="94"/>
      <c r="C2" s="5"/>
      <c r="D2" s="27"/>
      <c r="E2" s="27"/>
      <c r="F2" s="27"/>
      <c r="G2" s="27"/>
      <c r="H2" s="27"/>
      <c r="I2" s="27"/>
      <c r="J2" s="3"/>
      <c r="K2" s="5"/>
      <c r="L2" s="27"/>
      <c r="N2" s="1"/>
      <c r="O2" s="1" t="s">
        <v>12</v>
      </c>
      <c r="P2" s="1" t="s">
        <v>13</v>
      </c>
      <c r="Q2" s="1" t="s">
        <v>14</v>
      </c>
      <c r="S2" s="92"/>
      <c r="T2" s="92"/>
    </row>
    <row r="3" spans="1:20" ht="12.95">
      <c r="A3" s="6"/>
      <c r="B3" s="94"/>
      <c r="C3" s="5"/>
      <c r="D3" s="27"/>
      <c r="E3" s="27"/>
      <c r="F3" s="27"/>
      <c r="G3" s="27"/>
      <c r="H3" s="27"/>
      <c r="I3" s="27"/>
      <c r="J3" s="3"/>
      <c r="K3" s="5"/>
      <c r="L3" s="27"/>
      <c r="N3" s="2" t="s">
        <v>15</v>
      </c>
      <c r="O3" s="3" t="s">
        <v>3</v>
      </c>
      <c r="P3" s="3" t="s">
        <v>4</v>
      </c>
      <c r="Q3" s="3" t="s">
        <v>16</v>
      </c>
      <c r="S3" s="92"/>
      <c r="T3" s="92"/>
    </row>
    <row r="4" spans="1:20" ht="12.95">
      <c r="A4" s="6"/>
      <c r="B4" s="94"/>
      <c r="C4" s="5"/>
      <c r="D4" s="27"/>
      <c r="E4" s="27"/>
      <c r="F4" s="27"/>
      <c r="G4" s="27"/>
      <c r="H4" s="27"/>
      <c r="I4" s="27"/>
      <c r="J4" s="3"/>
      <c r="K4" s="5"/>
      <c r="L4" s="27"/>
      <c r="N4" s="2" t="s">
        <v>17</v>
      </c>
      <c r="O4" s="3" t="s">
        <v>5</v>
      </c>
      <c r="P4" s="3" t="s">
        <v>6</v>
      </c>
      <c r="Q4" s="3" t="s">
        <v>18</v>
      </c>
      <c r="S4" s="92"/>
      <c r="T4" s="92"/>
    </row>
    <row r="5" spans="1:20">
      <c r="A5" s="6"/>
      <c r="B5" s="94"/>
      <c r="C5" s="5"/>
      <c r="D5" s="27"/>
      <c r="E5" s="27"/>
      <c r="F5" s="27"/>
      <c r="G5" s="27"/>
      <c r="H5" s="27"/>
      <c r="I5" s="27"/>
      <c r="J5" s="3"/>
      <c r="K5" s="5"/>
      <c r="L5" s="27"/>
      <c r="S5" s="92"/>
      <c r="T5" s="92"/>
    </row>
    <row r="6" spans="1:20">
      <c r="A6" s="6"/>
      <c r="B6" s="94"/>
      <c r="C6" s="5"/>
      <c r="D6" s="27"/>
      <c r="E6" s="27"/>
      <c r="F6" s="27"/>
      <c r="G6" s="27"/>
      <c r="H6" s="27"/>
      <c r="I6" s="27"/>
      <c r="J6" s="3"/>
      <c r="K6" s="5"/>
      <c r="L6" s="27"/>
      <c r="S6" s="92"/>
      <c r="T6" s="92"/>
    </row>
    <row r="7" spans="1:20">
      <c r="A7" s="6"/>
      <c r="B7" s="94"/>
      <c r="C7" s="5"/>
      <c r="D7" s="27"/>
      <c r="E7" s="27"/>
      <c r="F7" s="27"/>
      <c r="G7" s="27"/>
      <c r="H7" s="27"/>
      <c r="I7" s="27"/>
      <c r="J7" s="3"/>
      <c r="K7" s="5"/>
      <c r="L7" s="27"/>
      <c r="S7" s="92"/>
      <c r="T7" s="92"/>
    </row>
    <row r="8" spans="1:20">
      <c r="A8" s="6"/>
      <c r="B8" s="94"/>
      <c r="C8" s="5"/>
      <c r="D8" s="27"/>
      <c r="E8" s="27"/>
      <c r="F8" s="27"/>
      <c r="G8" s="27"/>
      <c r="H8" s="27"/>
      <c r="I8" s="27"/>
      <c r="J8" s="3"/>
      <c r="K8" s="5"/>
      <c r="L8" s="27"/>
      <c r="S8" s="92"/>
      <c r="T8" s="92"/>
    </row>
    <row r="9" spans="1:20">
      <c r="A9" s="6"/>
      <c r="B9" s="94"/>
      <c r="C9" s="5"/>
      <c r="D9" s="27"/>
      <c r="E9" s="27"/>
      <c r="F9" s="27"/>
      <c r="G9" s="27"/>
      <c r="H9" s="27"/>
      <c r="I9" s="27"/>
      <c r="J9" s="3"/>
      <c r="K9" s="5"/>
      <c r="L9" s="27"/>
      <c r="S9" s="92"/>
      <c r="T9" s="92"/>
    </row>
    <row r="10" spans="1:20">
      <c r="A10" s="6"/>
      <c r="B10" s="94"/>
      <c r="C10" s="5"/>
      <c r="D10" s="27"/>
      <c r="E10" s="27"/>
      <c r="F10" s="27"/>
      <c r="G10" s="27"/>
      <c r="H10" s="27"/>
      <c r="I10" s="27"/>
      <c r="J10" s="3"/>
      <c r="K10" s="5"/>
      <c r="L10" s="27"/>
      <c r="S10" s="92"/>
      <c r="T10" s="92"/>
    </row>
    <row r="11" spans="1:20">
      <c r="A11" s="6">
        <f>IF(AND(Sufficient_data="Yes",Include_study?="Yes"),COUNT(A$2:A10)+1,"")</f>
        <v>1</v>
      </c>
      <c r="B11" s="12" t="s">
        <v>19</v>
      </c>
      <c r="C11" s="5" t="s">
        <v>20</v>
      </c>
      <c r="D11" s="27">
        <v>66</v>
      </c>
      <c r="E11" s="27"/>
      <c r="F11" s="27">
        <v>80</v>
      </c>
      <c r="G11" s="27"/>
      <c r="H11" s="27">
        <v>6550</v>
      </c>
      <c r="I11" s="27">
        <v>6550</v>
      </c>
      <c r="J11" s="3" t="str">
        <f t="shared" ref="J2:J16" si="0">IF(AND(OR(AND(a_&lt;&gt;"",b_&lt;&gt;""),AND(OR(a_&lt;&gt;"",b_&lt;&gt;""),n1_&lt;&gt;"")),OR(AND(c_&lt;&gt;"",d_&lt;&gt;""),AND(OR(c_&lt;&gt;"",d_&lt;&gt;""),n2_&lt;&gt;""))),"Yes","No")</f>
        <v>Yes</v>
      </c>
      <c r="K11" s="5" t="s">
        <v>21</v>
      </c>
      <c r="L11" s="27">
        <v>26</v>
      </c>
      <c r="S11" s="92"/>
      <c r="T11" s="92"/>
    </row>
    <row r="12" spans="1:20">
      <c r="A12" s="6">
        <f>IF(AND(Sufficient_data="Yes",Include_study?="Yes"),COUNT(A$2:A11)+1,"")</f>
        <v>2</v>
      </c>
      <c r="B12" s="93" t="s">
        <v>22</v>
      </c>
      <c r="C12" s="5" t="s">
        <v>20</v>
      </c>
      <c r="D12" s="93">
        <v>45</v>
      </c>
      <c r="E12" s="27"/>
      <c r="F12" s="27">
        <v>71</v>
      </c>
      <c r="G12" s="27"/>
      <c r="H12" s="27">
        <v>3397</v>
      </c>
      <c r="I12" s="27">
        <v>4036</v>
      </c>
      <c r="J12" s="3" t="str">
        <f t="shared" si="0"/>
        <v>Yes</v>
      </c>
      <c r="K12" s="5" t="s">
        <v>21</v>
      </c>
      <c r="L12" s="27">
        <v>30</v>
      </c>
      <c r="S12" s="92"/>
      <c r="T12" s="92"/>
    </row>
    <row r="13" spans="1:20">
      <c r="A13" s="6">
        <f>IF(AND(Sufficient_data="Yes",Include_study?="Yes"),COUNT(A$2:A12)+1,"")</f>
        <v>3</v>
      </c>
      <c r="B13" s="93" t="s">
        <v>23</v>
      </c>
      <c r="C13" s="5" t="s">
        <v>20</v>
      </c>
      <c r="D13" s="27">
        <v>41</v>
      </c>
      <c r="E13" s="27"/>
      <c r="F13" s="27">
        <v>60</v>
      </c>
      <c r="G13" s="27"/>
      <c r="H13" s="27">
        <v>3397</v>
      </c>
      <c r="I13" s="27">
        <v>4036</v>
      </c>
      <c r="J13" s="3" t="str">
        <f t="shared" si="0"/>
        <v>Yes</v>
      </c>
      <c r="K13" s="5" t="s">
        <v>21</v>
      </c>
      <c r="L13" s="27"/>
    </row>
    <row r="14" spans="1:20">
      <c r="A14" s="6">
        <f>IF(AND(Sufficient_data="Yes",Include_study?="Yes"),COUNT(A$2:A13)+1,"")</f>
        <v>4</v>
      </c>
      <c r="B14" s="93" t="s">
        <v>24</v>
      </c>
      <c r="C14" s="5" t="s">
        <v>20</v>
      </c>
      <c r="D14" s="93">
        <v>78</v>
      </c>
      <c r="E14" s="27"/>
      <c r="F14" s="27">
        <v>76</v>
      </c>
      <c r="G14" s="27"/>
      <c r="H14" s="27">
        <v>2046</v>
      </c>
      <c r="I14" s="27">
        <v>897</v>
      </c>
      <c r="J14" s="3" t="str">
        <f t="shared" si="0"/>
        <v>Yes</v>
      </c>
      <c r="K14" s="5" t="s">
        <v>21</v>
      </c>
      <c r="L14" s="27"/>
    </row>
    <row r="15" spans="1:20">
      <c r="A15" s="6">
        <f>IF(AND(Sufficient_data="Yes",Include_study?="Yes"),COUNT(A$2:A14)+1,"")</f>
        <v>5</v>
      </c>
      <c r="B15" s="93" t="s">
        <v>24</v>
      </c>
      <c r="C15" s="5" t="s">
        <v>20</v>
      </c>
      <c r="D15" s="27">
        <v>48</v>
      </c>
      <c r="E15" s="27"/>
      <c r="F15" s="27">
        <v>63.65</v>
      </c>
      <c r="G15" s="27"/>
      <c r="H15" s="27">
        <v>2055</v>
      </c>
      <c r="I15" s="27">
        <v>2324</v>
      </c>
      <c r="J15" s="3" t="str">
        <f t="shared" si="0"/>
        <v>Yes</v>
      </c>
      <c r="K15" s="5" t="s">
        <v>21</v>
      </c>
      <c r="L15" s="27"/>
    </row>
    <row r="16" spans="1:20">
      <c r="A16" s="6">
        <f>IF(AND(Sufficient_data="Yes",Include_study?="Yes"),COUNT(A$2:A15)+1,"")</f>
        <v>6</v>
      </c>
      <c r="B16" s="93" t="s">
        <v>24</v>
      </c>
      <c r="C16" s="5" t="s">
        <v>20</v>
      </c>
      <c r="D16" s="27">
        <v>49.14</v>
      </c>
      <c r="E16" s="27"/>
      <c r="F16" s="27">
        <v>28.65</v>
      </c>
      <c r="G16" s="27"/>
      <c r="H16" s="27">
        <v>4819</v>
      </c>
      <c r="I16" s="27">
        <v>2252</v>
      </c>
      <c r="J16" s="3" t="str">
        <f t="shared" si="0"/>
        <v>Yes</v>
      </c>
      <c r="K16" s="5" t="s">
        <v>21</v>
      </c>
      <c r="L16" s="27"/>
    </row>
    <row r="17" spans="1:12">
      <c r="A17" s="6">
        <f>IF(AND(Sufficient_data="Yes",Include_study?="Yes"),COUNT(A$2:A16)+1,"")</f>
        <v>7</v>
      </c>
      <c r="B17" s="12" t="s">
        <v>25</v>
      </c>
      <c r="C17" s="5" t="s">
        <v>20</v>
      </c>
      <c r="D17" s="27">
        <v>64</v>
      </c>
      <c r="E17" s="27"/>
      <c r="F17" s="27">
        <v>80.5</v>
      </c>
      <c r="G17" s="27"/>
      <c r="H17" s="27">
        <v>3344</v>
      </c>
      <c r="I17" s="27">
        <v>2187</v>
      </c>
      <c r="J17" s="3" t="str">
        <f t="shared" ref="J17" si="1">IF(AND(OR(AND(a_&lt;&gt;"",b_&lt;&gt;""),AND(OR(a_&lt;&gt;"",b_&lt;&gt;""),n1_&lt;&gt;"")),OR(AND(c_&lt;&gt;"",d_&lt;&gt;""),AND(OR(c_&lt;&gt;"",d_&lt;&gt;""),n2_&lt;&gt;""))),"Yes","No")</f>
        <v>Yes</v>
      </c>
      <c r="K17" s="5" t="s">
        <v>21</v>
      </c>
      <c r="L17" s="27"/>
    </row>
    <row r="18" spans="1:12">
      <c r="A18" s="6">
        <f>IF(AND(Sufficient_data="Yes",Include_study?="Yes"),COUNT(A$2:A17)+1,"")</f>
        <v>8</v>
      </c>
      <c r="B18" s="12" t="s">
        <v>26</v>
      </c>
      <c r="C18" s="5" t="s">
        <v>20</v>
      </c>
      <c r="D18" s="27">
        <v>82</v>
      </c>
      <c r="E18" s="27"/>
      <c r="F18" s="27">
        <v>70</v>
      </c>
      <c r="G18" s="27"/>
      <c r="H18" s="27">
        <v>3344</v>
      </c>
      <c r="I18" s="27">
        <v>2187</v>
      </c>
      <c r="J18" s="3" t="s">
        <v>20</v>
      </c>
      <c r="K18" s="5" t="s">
        <v>21</v>
      </c>
      <c r="L18" s="27"/>
    </row>
    <row r="19" spans="1:12">
      <c r="A19" s="6">
        <f>IF(AND(Sufficient_data="Yes",Include_study?="Yes"),COUNT(A$2:A18)+1,"")</f>
        <v>9</v>
      </c>
      <c r="B19" s="120" t="s">
        <v>27</v>
      </c>
      <c r="C19" s="5" t="s">
        <v>20</v>
      </c>
      <c r="D19" s="27">
        <v>75</v>
      </c>
      <c r="E19" s="27"/>
      <c r="F19" s="27">
        <v>84</v>
      </c>
      <c r="G19" s="27"/>
      <c r="H19" s="27">
        <v>3311</v>
      </c>
      <c r="I19" s="27">
        <v>2187</v>
      </c>
      <c r="J19" s="3" t="str">
        <f t="shared" ref="J19" si="2">IF(AND(OR(AND(a_&lt;&gt;"",b_&lt;&gt;""),AND(OR(a_&lt;&gt;"",b_&lt;&gt;""),n1_&lt;&gt;"")),OR(AND(c_&lt;&gt;"",d_&lt;&gt;""),AND(OR(c_&lt;&gt;"",d_&lt;&gt;""),n2_&lt;&gt;""))),"Yes","No")</f>
        <v>Yes</v>
      </c>
      <c r="K19" s="5" t="s">
        <v>28</v>
      </c>
      <c r="L19" s="27"/>
    </row>
    <row r="20" spans="1:12">
      <c r="A20" s="6">
        <f>IF(AND(Sufficient_data="Yes",Include_study?="Yes"),COUNT(A$2:A19)+1,"")</f>
        <v>10</v>
      </c>
      <c r="B20" s="12" t="s">
        <v>29</v>
      </c>
      <c r="C20" s="5" t="s">
        <v>20</v>
      </c>
      <c r="D20" s="27">
        <v>52</v>
      </c>
      <c r="E20" s="27"/>
      <c r="F20" s="27">
        <v>78</v>
      </c>
      <c r="G20" s="27"/>
      <c r="H20" s="121">
        <v>2303</v>
      </c>
      <c r="I20" s="121">
        <v>2187</v>
      </c>
      <c r="J20" s="3" t="str">
        <f t="shared" ref="J20:J21" si="3">IF(AND(OR(AND(a_&lt;&gt;"",b_&lt;&gt;""),AND(OR(a_&lt;&gt;"",b_&lt;&gt;""),n1_&lt;&gt;"")),OR(AND(c_&lt;&gt;"",d_&lt;&gt;""),AND(OR(c_&lt;&gt;"",d_&lt;&gt;""),n2_&lt;&gt;""))),"Yes","No")</f>
        <v>Yes</v>
      </c>
      <c r="K20" s="5" t="s">
        <v>28</v>
      </c>
      <c r="L20" s="27"/>
    </row>
    <row r="21" spans="1:12">
      <c r="A21" s="6">
        <f>IF(AND(Sufficient_data="Yes",Include_study?="Yes"),COUNT(A$2:A20)+1,"")</f>
        <v>11</v>
      </c>
      <c r="B21" s="12" t="s">
        <v>22</v>
      </c>
      <c r="C21" s="5" t="s">
        <v>20</v>
      </c>
      <c r="D21" s="27">
        <v>61</v>
      </c>
      <c r="E21" s="27"/>
      <c r="F21" s="27">
        <v>71</v>
      </c>
      <c r="G21" s="27"/>
      <c r="H21" s="121">
        <v>3397</v>
      </c>
      <c r="I21" s="121">
        <v>4036</v>
      </c>
      <c r="J21" s="3" t="str">
        <f t="shared" si="3"/>
        <v>Yes</v>
      </c>
      <c r="K21" s="5" t="s">
        <v>28</v>
      </c>
      <c r="L21" s="27"/>
    </row>
    <row r="22" spans="1:12">
      <c r="A22" s="6" t="str">
        <f>IF(AND(Sufficient_data="Yes",Include_study?="Yes"),COUNT(A$2:A21)+1,"")</f>
        <v/>
      </c>
      <c r="B22" s="12"/>
      <c r="C22" s="5" t="s">
        <v>30</v>
      </c>
      <c r="D22" s="27"/>
      <c r="E22" s="27"/>
      <c r="F22" s="27"/>
      <c r="G22" s="27"/>
      <c r="H22" s="5"/>
      <c r="I22" s="5"/>
      <c r="J22" s="3" t="str">
        <f t="shared" ref="J19:J47" si="4">IF(AND(OR(AND(a_&lt;&gt;"",b_&lt;&gt;""),AND(OR(a_&lt;&gt;"",b_&lt;&gt;""),n1_&lt;&gt;"")),OR(AND(c_&lt;&gt;"",d_&lt;&gt;""),AND(OR(c_&lt;&gt;"",d_&lt;&gt;""),n2_&lt;&gt;""))),"Yes","No")</f>
        <v>No</v>
      </c>
      <c r="K22" s="5"/>
      <c r="L22" s="27"/>
    </row>
    <row r="23" spans="1:12">
      <c r="A23" s="6" t="str">
        <f>IF(AND(Sufficient_data="Yes",Include_study?="Yes"),COUNT(A$2:A22)+1,"")</f>
        <v/>
      </c>
      <c r="B23" s="12"/>
      <c r="C23" s="5" t="s">
        <v>30</v>
      </c>
      <c r="D23" s="27"/>
      <c r="E23" s="27"/>
      <c r="F23" s="27"/>
      <c r="G23" s="27"/>
      <c r="H23" s="5"/>
      <c r="I23" s="5"/>
      <c r="J23" s="3" t="str">
        <f t="shared" si="4"/>
        <v>No</v>
      </c>
      <c r="K23" s="5"/>
      <c r="L23" s="27"/>
    </row>
    <row r="24" spans="1:12">
      <c r="A24" s="6" t="str">
        <f>IF(AND(Sufficient_data="Yes",Include_study?="Yes"),COUNT(A$2:A23)+1,"")</f>
        <v/>
      </c>
      <c r="B24" s="12"/>
      <c r="C24" s="5" t="s">
        <v>30</v>
      </c>
      <c r="D24" s="27"/>
      <c r="E24" s="27"/>
      <c r="F24" s="27"/>
      <c r="G24" s="27"/>
      <c r="H24" s="5"/>
      <c r="I24" s="5"/>
      <c r="J24" s="3" t="str">
        <f t="shared" si="4"/>
        <v>No</v>
      </c>
      <c r="K24" s="5"/>
      <c r="L24" s="27"/>
    </row>
    <row r="25" spans="1:12">
      <c r="A25" s="6" t="str">
        <f>IF(AND(Sufficient_data="Yes",Include_study?="Yes"),COUNT(A$2:A24)+1,"")</f>
        <v/>
      </c>
      <c r="B25" s="12"/>
      <c r="C25" s="5" t="s">
        <v>30</v>
      </c>
      <c r="D25" s="27"/>
      <c r="E25" s="27"/>
      <c r="F25" s="27"/>
      <c r="G25" s="27"/>
      <c r="H25" s="5"/>
      <c r="I25" s="5"/>
      <c r="J25" s="3" t="str">
        <f t="shared" si="4"/>
        <v>No</v>
      </c>
      <c r="K25" s="5"/>
      <c r="L25" s="27"/>
    </row>
    <row r="26" spans="1:12">
      <c r="A26" s="6" t="str">
        <f>IF(AND(Sufficient_data="Yes",Include_study?="Yes"),COUNT(A$2:A25)+1,"")</f>
        <v/>
      </c>
      <c r="B26" s="12"/>
      <c r="C26" s="5" t="s">
        <v>30</v>
      </c>
      <c r="D26" s="27"/>
      <c r="E26" s="27"/>
      <c r="F26" s="27"/>
      <c r="G26" s="27"/>
      <c r="H26" s="5"/>
      <c r="I26" s="5"/>
      <c r="J26" s="3" t="str">
        <f t="shared" si="4"/>
        <v>No</v>
      </c>
      <c r="K26" s="5"/>
      <c r="L26" s="27"/>
    </row>
    <row r="27" spans="1:12">
      <c r="A27" s="6" t="str">
        <f>IF(AND(Sufficient_data="Yes",Include_study?="Yes"),COUNT(A$2:A26)+1,"")</f>
        <v/>
      </c>
      <c r="B27" s="12"/>
      <c r="C27" s="5" t="s">
        <v>30</v>
      </c>
      <c r="D27" s="27"/>
      <c r="E27" s="27"/>
      <c r="F27" s="27"/>
      <c r="G27" s="27"/>
      <c r="H27" s="5"/>
      <c r="I27" s="5"/>
      <c r="J27" s="3" t="str">
        <f t="shared" si="4"/>
        <v>No</v>
      </c>
      <c r="K27" s="5"/>
      <c r="L27" s="27"/>
    </row>
    <row r="28" spans="1:12">
      <c r="A28" s="6" t="str">
        <f>IF(AND(Sufficient_data="Yes",Include_study?="Yes"),COUNT(A$2:A27)+1,"")</f>
        <v/>
      </c>
      <c r="B28" s="12"/>
      <c r="C28" s="5" t="s">
        <v>30</v>
      </c>
      <c r="D28" s="27"/>
      <c r="E28" s="27"/>
      <c r="F28" s="27"/>
      <c r="G28" s="27"/>
      <c r="H28" s="5"/>
      <c r="I28" s="5"/>
      <c r="J28" s="3" t="str">
        <f t="shared" si="4"/>
        <v>No</v>
      </c>
      <c r="K28" s="5"/>
      <c r="L28" s="27"/>
    </row>
    <row r="29" spans="1:12">
      <c r="A29" s="6" t="str">
        <f>IF(AND(Sufficient_data="Yes",Include_study?="Yes"),COUNT(A$2:A28)+1,"")</f>
        <v/>
      </c>
      <c r="B29" s="12"/>
      <c r="C29" s="5" t="s">
        <v>30</v>
      </c>
      <c r="D29" s="27"/>
      <c r="E29" s="27"/>
      <c r="F29" s="27"/>
      <c r="G29" s="27"/>
      <c r="H29" s="5"/>
      <c r="I29" s="5"/>
      <c r="J29" s="3" t="str">
        <f t="shared" si="4"/>
        <v>No</v>
      </c>
      <c r="K29" s="5"/>
      <c r="L29" s="27"/>
    </row>
    <row r="30" spans="1:12">
      <c r="A30" s="6" t="str">
        <f>IF(AND(Sufficient_data="Yes",Include_study?="Yes"),COUNT(A$2:A29)+1,"")</f>
        <v/>
      </c>
      <c r="B30" s="12"/>
      <c r="C30" s="5" t="s">
        <v>30</v>
      </c>
      <c r="D30" s="27"/>
      <c r="E30" s="27"/>
      <c r="F30" s="27"/>
      <c r="G30" s="27"/>
      <c r="H30" s="5"/>
      <c r="I30" s="5"/>
      <c r="J30" s="3" t="str">
        <f t="shared" si="4"/>
        <v>No</v>
      </c>
      <c r="K30" s="5"/>
      <c r="L30" s="27"/>
    </row>
    <row r="31" spans="1:12">
      <c r="A31" s="6" t="str">
        <f>IF(AND(Sufficient_data="Yes",Include_study?="Yes"),COUNT(A$2:A30)+1,"")</f>
        <v/>
      </c>
      <c r="B31" s="12"/>
      <c r="C31" s="5" t="s">
        <v>30</v>
      </c>
      <c r="D31" s="27"/>
      <c r="E31" s="27"/>
      <c r="F31" s="27"/>
      <c r="G31" s="27"/>
      <c r="H31" s="5"/>
      <c r="I31" s="5"/>
      <c r="J31" s="3" t="str">
        <f t="shared" si="4"/>
        <v>No</v>
      </c>
      <c r="K31" s="5"/>
      <c r="L31" s="27"/>
    </row>
    <row r="32" spans="1:12">
      <c r="A32" s="6" t="str">
        <f>IF(AND(Sufficient_data="Yes",Include_study?="Yes"),COUNT(A$2:A31)+1,"")</f>
        <v/>
      </c>
      <c r="B32" s="12"/>
      <c r="C32" s="5" t="s">
        <v>30</v>
      </c>
      <c r="D32" s="27"/>
      <c r="E32" s="27"/>
      <c r="F32" s="27"/>
      <c r="G32" s="27"/>
      <c r="H32" s="5"/>
      <c r="I32" s="5"/>
      <c r="J32" s="3" t="str">
        <f t="shared" si="4"/>
        <v>No</v>
      </c>
      <c r="K32" s="5"/>
      <c r="L32" s="27"/>
    </row>
    <row r="33" spans="1:12">
      <c r="A33" s="6" t="str">
        <f>IF(AND(Sufficient_data="Yes",Include_study?="Yes"),COUNT(A$2:A32)+1,"")</f>
        <v/>
      </c>
      <c r="B33" s="12"/>
      <c r="C33" s="5" t="s">
        <v>30</v>
      </c>
      <c r="D33" s="27"/>
      <c r="E33" s="27"/>
      <c r="F33" s="27"/>
      <c r="G33" s="27"/>
      <c r="H33" s="5"/>
      <c r="I33" s="5"/>
      <c r="J33" s="3" t="str">
        <f t="shared" si="4"/>
        <v>No</v>
      </c>
      <c r="K33" s="5"/>
      <c r="L33" s="27"/>
    </row>
    <row r="34" spans="1:12">
      <c r="A34" s="6" t="str">
        <f>IF(AND(Sufficient_data="Yes",Include_study?="Yes"),COUNT(A$2:A33)+1,"")</f>
        <v/>
      </c>
      <c r="B34" s="12"/>
      <c r="C34" s="5" t="s">
        <v>30</v>
      </c>
      <c r="D34" s="27"/>
      <c r="E34" s="27"/>
      <c r="F34" s="27"/>
      <c r="G34" s="27"/>
      <c r="H34" s="5"/>
      <c r="I34" s="5"/>
      <c r="J34" s="3" t="str">
        <f t="shared" si="4"/>
        <v>No</v>
      </c>
      <c r="K34" s="5"/>
      <c r="L34" s="27"/>
    </row>
    <row r="35" spans="1:12">
      <c r="A35" s="6" t="str">
        <f>IF(AND(Sufficient_data="Yes",Include_study?="Yes"),COUNT(A$2:A34)+1,"")</f>
        <v/>
      </c>
      <c r="B35" s="12"/>
      <c r="C35" s="5" t="s">
        <v>30</v>
      </c>
      <c r="D35" s="27"/>
      <c r="E35" s="27"/>
      <c r="F35" s="27"/>
      <c r="G35" s="27"/>
      <c r="H35" s="5"/>
      <c r="I35" s="5"/>
      <c r="J35" s="3" t="str">
        <f t="shared" si="4"/>
        <v>No</v>
      </c>
      <c r="K35" s="5"/>
      <c r="L35" s="27"/>
    </row>
    <row r="36" spans="1:12">
      <c r="A36" s="6" t="str">
        <f>IF(AND(Sufficient_data="Yes",Include_study?="Yes"),COUNT(A$2:A35)+1,"")</f>
        <v/>
      </c>
      <c r="B36" s="12"/>
      <c r="C36" s="5" t="s">
        <v>30</v>
      </c>
      <c r="D36" s="5"/>
      <c r="E36" s="5"/>
      <c r="F36" s="5"/>
      <c r="G36" s="5"/>
      <c r="H36" s="5"/>
      <c r="I36" s="5"/>
      <c r="J36" s="3" t="str">
        <f t="shared" si="4"/>
        <v>No</v>
      </c>
      <c r="K36" s="5"/>
      <c r="L36" s="5"/>
    </row>
    <row r="37" spans="1:12">
      <c r="A37" s="6" t="str">
        <f>IF(AND(Sufficient_data="Yes",Include_study?="Yes"),COUNT(A$2:A36)+1,"")</f>
        <v/>
      </c>
      <c r="B37" s="12"/>
      <c r="C37" s="5" t="s">
        <v>30</v>
      </c>
      <c r="D37" s="5"/>
      <c r="E37" s="5"/>
      <c r="F37" s="5"/>
      <c r="G37" s="5"/>
      <c r="H37" s="5"/>
      <c r="I37" s="5"/>
      <c r="J37" s="3" t="str">
        <f t="shared" si="4"/>
        <v>No</v>
      </c>
      <c r="K37" s="5"/>
      <c r="L37" s="5"/>
    </row>
    <row r="38" spans="1:12">
      <c r="A38" s="6" t="str">
        <f>IF(AND(Sufficient_data="Yes",Include_study?="Yes"),COUNT(A$2:A37)+1,"")</f>
        <v/>
      </c>
      <c r="B38" s="12"/>
      <c r="C38" s="5" t="s">
        <v>30</v>
      </c>
      <c r="D38" s="5"/>
      <c r="E38" s="5"/>
      <c r="F38" s="5"/>
      <c r="G38" s="5"/>
      <c r="H38" s="5"/>
      <c r="I38" s="5"/>
      <c r="J38" s="3" t="str">
        <f t="shared" si="4"/>
        <v>No</v>
      </c>
      <c r="K38" s="5"/>
      <c r="L38" s="5"/>
    </row>
    <row r="39" spans="1:12">
      <c r="A39" s="6" t="str">
        <f>IF(AND(Sufficient_data="Yes",Include_study?="Yes"),COUNT(A$2:A38)+1,"")</f>
        <v/>
      </c>
      <c r="B39" s="12"/>
      <c r="C39" s="5" t="s">
        <v>30</v>
      </c>
      <c r="D39" s="5"/>
      <c r="E39" s="5"/>
      <c r="F39" s="5"/>
      <c r="G39" s="5"/>
      <c r="H39" s="5"/>
      <c r="I39" s="5"/>
      <c r="J39" s="3" t="str">
        <f t="shared" si="4"/>
        <v>No</v>
      </c>
      <c r="K39" s="5"/>
      <c r="L39" s="5"/>
    </row>
    <row r="40" spans="1:12">
      <c r="A40" s="6" t="str">
        <f>IF(AND(Sufficient_data="Yes",Include_study?="Yes"),COUNT(A$2:A39)+1,"")</f>
        <v/>
      </c>
      <c r="B40" s="12"/>
      <c r="C40" s="5" t="s">
        <v>30</v>
      </c>
      <c r="D40" s="5"/>
      <c r="E40" s="5"/>
      <c r="F40" s="5"/>
      <c r="G40" s="5"/>
      <c r="H40" s="5"/>
      <c r="I40" s="5"/>
      <c r="J40" s="3" t="str">
        <f t="shared" si="4"/>
        <v>No</v>
      </c>
      <c r="K40" s="5"/>
      <c r="L40" s="5"/>
    </row>
    <row r="41" spans="1:12">
      <c r="A41" s="6" t="str">
        <f>IF(AND(Sufficient_data="Yes",Include_study?="Yes"),COUNT(A$2:A40)+1,"")</f>
        <v/>
      </c>
      <c r="B41" s="12"/>
      <c r="C41" s="5" t="s">
        <v>30</v>
      </c>
      <c r="D41" s="5"/>
      <c r="E41" s="5"/>
      <c r="F41" s="5"/>
      <c r="G41" s="5"/>
      <c r="H41" s="5"/>
      <c r="I41" s="5"/>
      <c r="J41" s="3" t="str">
        <f t="shared" si="4"/>
        <v>No</v>
      </c>
      <c r="K41" s="5"/>
      <c r="L41" s="5"/>
    </row>
    <row r="42" spans="1:12">
      <c r="A42" s="6" t="str">
        <f>IF(AND(Sufficient_data="Yes",Include_study?="Yes"),COUNT(A$2:A41)+1,"")</f>
        <v/>
      </c>
      <c r="B42" s="12"/>
      <c r="C42" s="5" t="s">
        <v>30</v>
      </c>
      <c r="D42" s="5"/>
      <c r="E42" s="5"/>
      <c r="F42" s="5"/>
      <c r="G42" s="5"/>
      <c r="H42" s="5"/>
      <c r="I42" s="5"/>
      <c r="J42" s="3" t="str">
        <f t="shared" si="4"/>
        <v>No</v>
      </c>
      <c r="K42" s="5"/>
      <c r="L42" s="5"/>
    </row>
    <row r="43" spans="1:12">
      <c r="A43" s="6" t="str">
        <f>IF(AND(Sufficient_data="Yes",Include_study?="Yes"),COUNT(A$2:A42)+1,"")</f>
        <v/>
      </c>
      <c r="B43" s="12"/>
      <c r="C43" s="5" t="s">
        <v>30</v>
      </c>
      <c r="D43" s="5"/>
      <c r="E43" s="5"/>
      <c r="F43" s="5"/>
      <c r="G43" s="5"/>
      <c r="H43" s="5"/>
      <c r="I43" s="5"/>
      <c r="J43" s="3" t="str">
        <f t="shared" si="4"/>
        <v>No</v>
      </c>
      <c r="K43" s="5"/>
      <c r="L43" s="5"/>
    </row>
    <row r="44" spans="1:12">
      <c r="A44" s="6" t="str">
        <f>IF(AND(Sufficient_data="Yes",Include_study?="Yes"),COUNT(A$2:A43)+1,"")</f>
        <v/>
      </c>
      <c r="B44" s="12"/>
      <c r="C44" s="5" t="s">
        <v>30</v>
      </c>
      <c r="D44" s="5"/>
      <c r="E44" s="5"/>
      <c r="F44" s="5"/>
      <c r="G44" s="5"/>
      <c r="H44" s="5"/>
      <c r="I44" s="5"/>
      <c r="J44" s="3" t="str">
        <f t="shared" si="4"/>
        <v>No</v>
      </c>
      <c r="K44" s="5"/>
      <c r="L44" s="5"/>
    </row>
    <row r="45" spans="1:12">
      <c r="A45" s="6" t="str">
        <f>IF(AND(Sufficient_data="Yes",Include_study?="Yes"),COUNT(A$2:A44)+1,"")</f>
        <v/>
      </c>
      <c r="B45" s="12"/>
      <c r="C45" s="5" t="s">
        <v>30</v>
      </c>
      <c r="D45" s="5"/>
      <c r="E45" s="5"/>
      <c r="F45" s="5"/>
      <c r="G45" s="5"/>
      <c r="H45" s="5"/>
      <c r="I45" s="5"/>
      <c r="J45" s="3" t="str">
        <f t="shared" si="4"/>
        <v>No</v>
      </c>
      <c r="K45" s="5"/>
      <c r="L45" s="5"/>
    </row>
    <row r="46" spans="1:12">
      <c r="A46" s="6" t="str">
        <f>IF(AND(Sufficient_data="Yes",Include_study?="Yes"),COUNT(A$2:A45)+1,"")</f>
        <v/>
      </c>
      <c r="B46" s="12"/>
      <c r="C46" s="5" t="s">
        <v>30</v>
      </c>
      <c r="D46" s="5"/>
      <c r="E46" s="5"/>
      <c r="F46" s="5"/>
      <c r="G46" s="5"/>
      <c r="H46" s="5"/>
      <c r="I46" s="5"/>
      <c r="J46" s="3" t="str">
        <f t="shared" si="4"/>
        <v>No</v>
      </c>
      <c r="K46" s="5"/>
      <c r="L46" s="5"/>
    </row>
    <row r="47" spans="1:12">
      <c r="A47" s="6" t="str">
        <f>IF(AND(Sufficient_data="Yes",Include_study?="Yes"),COUNT(A$2:A46)+1,"")</f>
        <v/>
      </c>
      <c r="B47" s="12"/>
      <c r="C47" s="5" t="s">
        <v>30</v>
      </c>
      <c r="D47" s="5"/>
      <c r="E47" s="5"/>
      <c r="F47" s="5"/>
      <c r="G47" s="5"/>
      <c r="H47" s="5"/>
      <c r="I47" s="5"/>
      <c r="J47" s="3" t="str">
        <f t="shared" si="4"/>
        <v>No</v>
      </c>
      <c r="K47" s="5"/>
      <c r="L47" s="5"/>
    </row>
    <row r="48" spans="1:12">
      <c r="A48" s="6" t="str">
        <f>IF(AND(Sufficient_data="Yes",Include_study?="Yes"),COUNT(A$2:A47)+1,"")</f>
        <v/>
      </c>
      <c r="B48" s="12"/>
      <c r="C48" s="5" t="s">
        <v>30</v>
      </c>
      <c r="D48" s="5"/>
      <c r="E48" s="5"/>
      <c r="F48" s="5"/>
      <c r="G48" s="5"/>
      <c r="H48" s="5"/>
      <c r="I48" s="5"/>
      <c r="J48" s="3" t="str">
        <f t="shared" ref="J48:J79" si="5">IF(AND(OR(AND(a_&lt;&gt;"",b_&lt;&gt;""),AND(OR(a_&lt;&gt;"",b_&lt;&gt;""),n1_&lt;&gt;"")),OR(AND(c_&lt;&gt;"",d_&lt;&gt;""),AND(OR(c_&lt;&gt;"",d_&lt;&gt;""),n2_&lt;&gt;""))),"Yes","No")</f>
        <v>No</v>
      </c>
      <c r="K48" s="5"/>
      <c r="L48" s="5"/>
    </row>
    <row r="49" spans="1:12">
      <c r="A49" s="6" t="str">
        <f>IF(AND(Sufficient_data="Yes",Include_study?="Yes"),COUNT(A$2:A48)+1,"")</f>
        <v/>
      </c>
      <c r="B49" s="12"/>
      <c r="C49" s="5" t="s">
        <v>30</v>
      </c>
      <c r="D49" s="5"/>
      <c r="E49" s="5"/>
      <c r="F49" s="5"/>
      <c r="G49" s="5"/>
      <c r="H49" s="5"/>
      <c r="I49" s="5"/>
      <c r="J49" s="3" t="str">
        <f t="shared" si="5"/>
        <v>No</v>
      </c>
      <c r="K49" s="5"/>
      <c r="L49" s="5"/>
    </row>
    <row r="50" spans="1:12">
      <c r="A50" s="6" t="str">
        <f>IF(AND(Sufficient_data="Yes",Include_study?="Yes"),COUNT(A$2:A49)+1,"")</f>
        <v/>
      </c>
      <c r="B50" s="12"/>
      <c r="C50" s="5" t="s">
        <v>30</v>
      </c>
      <c r="D50" s="5"/>
      <c r="E50" s="5"/>
      <c r="F50" s="5"/>
      <c r="G50" s="5"/>
      <c r="H50" s="5"/>
      <c r="I50" s="5"/>
      <c r="J50" s="3" t="str">
        <f t="shared" si="5"/>
        <v>No</v>
      </c>
      <c r="K50" s="5"/>
      <c r="L50" s="5"/>
    </row>
    <row r="51" spans="1:12">
      <c r="A51" s="6" t="str">
        <f>IF(AND(Sufficient_data="Yes",Include_study?="Yes"),COUNT(A$2:A50)+1,"")</f>
        <v/>
      </c>
      <c r="B51" s="12"/>
      <c r="C51" s="5" t="s">
        <v>30</v>
      </c>
      <c r="D51" s="5"/>
      <c r="E51" s="5"/>
      <c r="F51" s="5"/>
      <c r="G51" s="5"/>
      <c r="H51" s="5"/>
      <c r="I51" s="5"/>
      <c r="J51" s="3" t="str">
        <f t="shared" si="5"/>
        <v>No</v>
      </c>
      <c r="K51" s="5"/>
      <c r="L51" s="5"/>
    </row>
    <row r="52" spans="1:12">
      <c r="A52" s="6" t="str">
        <f>IF(AND(Sufficient_data="Yes",Include_study?="Yes"),COUNT(A$2:A51)+1,"")</f>
        <v/>
      </c>
      <c r="B52" s="12"/>
      <c r="C52" s="5" t="s">
        <v>30</v>
      </c>
      <c r="D52" s="5"/>
      <c r="E52" s="5"/>
      <c r="F52" s="5"/>
      <c r="G52" s="5"/>
      <c r="H52" s="5"/>
      <c r="I52" s="5"/>
      <c r="J52" s="3" t="str">
        <f t="shared" si="5"/>
        <v>No</v>
      </c>
      <c r="K52" s="5"/>
      <c r="L52" s="5"/>
    </row>
    <row r="53" spans="1:12">
      <c r="A53" s="6" t="str">
        <f>IF(AND(Sufficient_data="Yes",Include_study?="Yes"),COUNT(A$2:A52)+1,"")</f>
        <v/>
      </c>
      <c r="B53" s="12"/>
      <c r="C53" s="5" t="s">
        <v>30</v>
      </c>
      <c r="D53" s="5"/>
      <c r="E53" s="5"/>
      <c r="F53" s="5"/>
      <c r="G53" s="5"/>
      <c r="H53" s="5"/>
      <c r="I53" s="5"/>
      <c r="J53" s="3" t="str">
        <f t="shared" si="5"/>
        <v>No</v>
      </c>
      <c r="K53" s="5"/>
      <c r="L53" s="5"/>
    </row>
    <row r="54" spans="1:12">
      <c r="A54" s="6" t="str">
        <f>IF(AND(Sufficient_data="Yes",Include_study?="Yes"),COUNT(A$2:A53)+1,"")</f>
        <v/>
      </c>
      <c r="B54" s="12"/>
      <c r="C54" s="5" t="s">
        <v>30</v>
      </c>
      <c r="D54" s="5"/>
      <c r="E54" s="5"/>
      <c r="F54" s="5"/>
      <c r="G54" s="5"/>
      <c r="H54" s="5"/>
      <c r="I54" s="5"/>
      <c r="J54" s="3" t="str">
        <f t="shared" si="5"/>
        <v>No</v>
      </c>
      <c r="K54" s="5"/>
      <c r="L54" s="5"/>
    </row>
    <row r="55" spans="1:12">
      <c r="A55" s="6" t="str">
        <f>IF(AND(Sufficient_data="Yes",Include_study?="Yes"),COUNT(A$2:A54)+1,"")</f>
        <v/>
      </c>
      <c r="B55" s="12"/>
      <c r="C55" s="5" t="s">
        <v>30</v>
      </c>
      <c r="D55" s="5"/>
      <c r="E55" s="5"/>
      <c r="F55" s="5"/>
      <c r="G55" s="5"/>
      <c r="H55" s="5"/>
      <c r="I55" s="5"/>
      <c r="J55" s="3" t="str">
        <f t="shared" si="5"/>
        <v>No</v>
      </c>
      <c r="K55" s="5"/>
      <c r="L55" s="5"/>
    </row>
    <row r="56" spans="1:12">
      <c r="A56" s="6" t="str">
        <f>IF(AND(Sufficient_data="Yes",Include_study?="Yes"),COUNT(A$2:A55)+1,"")</f>
        <v/>
      </c>
      <c r="B56" s="12"/>
      <c r="C56" s="5" t="s">
        <v>30</v>
      </c>
      <c r="D56" s="5"/>
      <c r="E56" s="5"/>
      <c r="F56" s="5"/>
      <c r="G56" s="5"/>
      <c r="H56" s="5"/>
      <c r="I56" s="5"/>
      <c r="J56" s="3" t="str">
        <f t="shared" si="5"/>
        <v>No</v>
      </c>
      <c r="K56" s="5"/>
      <c r="L56" s="5"/>
    </row>
    <row r="57" spans="1:12">
      <c r="A57" s="6" t="str">
        <f>IF(AND(Sufficient_data="Yes",Include_study?="Yes"),COUNT(A$2:A56)+1,"")</f>
        <v/>
      </c>
      <c r="B57" s="12"/>
      <c r="C57" s="5" t="s">
        <v>30</v>
      </c>
      <c r="D57" s="5"/>
      <c r="E57" s="5"/>
      <c r="F57" s="5"/>
      <c r="G57" s="5"/>
      <c r="H57" s="5"/>
      <c r="I57" s="5"/>
      <c r="J57" s="3" t="str">
        <f t="shared" si="5"/>
        <v>No</v>
      </c>
      <c r="K57" s="5"/>
      <c r="L57" s="5"/>
    </row>
    <row r="58" spans="1:12">
      <c r="A58" s="6" t="str">
        <f>IF(AND(Sufficient_data="Yes",Include_study?="Yes"),COUNT(A$2:A57)+1,"")</f>
        <v/>
      </c>
      <c r="B58" s="12"/>
      <c r="C58" s="5" t="s">
        <v>30</v>
      </c>
      <c r="D58" s="5"/>
      <c r="E58" s="5"/>
      <c r="F58" s="5"/>
      <c r="G58" s="5"/>
      <c r="H58" s="5"/>
      <c r="I58" s="5"/>
      <c r="J58" s="3" t="str">
        <f t="shared" si="5"/>
        <v>No</v>
      </c>
      <c r="K58" s="5"/>
      <c r="L58" s="5"/>
    </row>
    <row r="59" spans="1:12">
      <c r="A59" s="6" t="str">
        <f>IF(AND(Sufficient_data="Yes",Include_study?="Yes"),COUNT(A$2:A58)+1,"")</f>
        <v/>
      </c>
      <c r="B59" s="12"/>
      <c r="C59" s="5" t="s">
        <v>30</v>
      </c>
      <c r="D59" s="5"/>
      <c r="E59" s="5"/>
      <c r="F59" s="5"/>
      <c r="G59" s="5"/>
      <c r="H59" s="5"/>
      <c r="I59" s="5"/>
      <c r="J59" s="3" t="str">
        <f t="shared" si="5"/>
        <v>No</v>
      </c>
      <c r="K59" s="5"/>
      <c r="L59" s="5"/>
    </row>
    <row r="60" spans="1:12">
      <c r="A60" s="6" t="str">
        <f>IF(AND(Sufficient_data="Yes",Include_study?="Yes"),COUNT(A$2:A59)+1,"")</f>
        <v/>
      </c>
      <c r="B60" s="12"/>
      <c r="C60" s="5" t="s">
        <v>30</v>
      </c>
      <c r="D60" s="5"/>
      <c r="E60" s="5"/>
      <c r="F60" s="5"/>
      <c r="G60" s="5"/>
      <c r="H60" s="5"/>
      <c r="I60" s="5"/>
      <c r="J60" s="3" t="str">
        <f t="shared" si="5"/>
        <v>No</v>
      </c>
      <c r="K60" s="5"/>
      <c r="L60" s="5"/>
    </row>
    <row r="61" spans="1:12">
      <c r="A61" s="6" t="str">
        <f>IF(AND(Sufficient_data="Yes",Include_study?="Yes"),COUNT(A$2:A60)+1,"")</f>
        <v/>
      </c>
      <c r="B61" s="12"/>
      <c r="C61" s="5" t="s">
        <v>30</v>
      </c>
      <c r="D61" s="5"/>
      <c r="E61" s="5"/>
      <c r="F61" s="5"/>
      <c r="G61" s="5"/>
      <c r="H61" s="5"/>
      <c r="I61" s="5"/>
      <c r="J61" s="3" t="str">
        <f t="shared" si="5"/>
        <v>No</v>
      </c>
      <c r="K61" s="5"/>
      <c r="L61" s="5"/>
    </row>
    <row r="62" spans="1:12">
      <c r="A62" s="6" t="str">
        <f>IF(AND(Sufficient_data="Yes",Include_study?="Yes"),COUNT(A$2:A61)+1,"")</f>
        <v/>
      </c>
      <c r="B62" s="12"/>
      <c r="C62" s="5" t="s">
        <v>30</v>
      </c>
      <c r="D62" s="5"/>
      <c r="E62" s="5"/>
      <c r="F62" s="5"/>
      <c r="G62" s="5"/>
      <c r="H62" s="5"/>
      <c r="I62" s="5"/>
      <c r="J62" s="3" t="str">
        <f t="shared" si="5"/>
        <v>No</v>
      </c>
      <c r="K62" s="5"/>
      <c r="L62" s="5"/>
    </row>
    <row r="63" spans="1:12">
      <c r="A63" s="6" t="str">
        <f>IF(AND(Sufficient_data="Yes",Include_study?="Yes"),COUNT(A$2:A62)+1,"")</f>
        <v/>
      </c>
      <c r="B63" s="12"/>
      <c r="C63" s="5" t="s">
        <v>30</v>
      </c>
      <c r="D63" s="5"/>
      <c r="E63" s="5"/>
      <c r="F63" s="5"/>
      <c r="G63" s="5"/>
      <c r="H63" s="5"/>
      <c r="I63" s="5"/>
      <c r="J63" s="3" t="str">
        <f t="shared" si="5"/>
        <v>No</v>
      </c>
      <c r="K63" s="5"/>
      <c r="L63" s="5"/>
    </row>
    <row r="64" spans="1:12">
      <c r="A64" s="6" t="str">
        <f>IF(AND(Sufficient_data="Yes",Include_study?="Yes"),COUNT(A$2:A63)+1,"")</f>
        <v/>
      </c>
      <c r="B64" s="12"/>
      <c r="C64" s="5" t="s">
        <v>30</v>
      </c>
      <c r="D64" s="5"/>
      <c r="E64" s="5"/>
      <c r="F64" s="5"/>
      <c r="G64" s="5"/>
      <c r="H64" s="5"/>
      <c r="I64" s="5"/>
      <c r="J64" s="3" t="str">
        <f t="shared" si="5"/>
        <v>No</v>
      </c>
      <c r="K64" s="5"/>
      <c r="L64" s="5"/>
    </row>
    <row r="65" spans="1:12">
      <c r="A65" s="6" t="str">
        <f>IF(AND(Sufficient_data="Yes",Include_study?="Yes"),COUNT(A$2:A64)+1,"")</f>
        <v/>
      </c>
      <c r="B65" s="12"/>
      <c r="C65" s="5" t="s">
        <v>30</v>
      </c>
      <c r="D65" s="5"/>
      <c r="E65" s="5"/>
      <c r="F65" s="5"/>
      <c r="G65" s="5"/>
      <c r="H65" s="5"/>
      <c r="I65" s="5"/>
      <c r="J65" s="3" t="str">
        <f t="shared" si="5"/>
        <v>No</v>
      </c>
      <c r="K65" s="5"/>
      <c r="L65" s="5"/>
    </row>
    <row r="66" spans="1:12">
      <c r="A66" s="6" t="str">
        <f>IF(AND(Sufficient_data="Yes",Include_study?="Yes"),COUNT(A$2:A65)+1,"")</f>
        <v/>
      </c>
      <c r="B66" s="12"/>
      <c r="C66" s="5" t="s">
        <v>30</v>
      </c>
      <c r="D66" s="5"/>
      <c r="E66" s="5"/>
      <c r="F66" s="5"/>
      <c r="G66" s="5"/>
      <c r="H66" s="5"/>
      <c r="I66" s="5"/>
      <c r="J66" s="3" t="str">
        <f t="shared" si="5"/>
        <v>No</v>
      </c>
      <c r="K66" s="5"/>
      <c r="L66" s="5"/>
    </row>
    <row r="67" spans="1:12">
      <c r="A67" s="6" t="str">
        <f>IF(AND(Sufficient_data="Yes",Include_study?="Yes"),COUNT(A$2:A66)+1,"")</f>
        <v/>
      </c>
      <c r="B67" s="12"/>
      <c r="C67" s="5" t="s">
        <v>30</v>
      </c>
      <c r="D67" s="5"/>
      <c r="E67" s="5"/>
      <c r="F67" s="5"/>
      <c r="G67" s="5"/>
      <c r="H67" s="5"/>
      <c r="I67" s="5"/>
      <c r="J67" s="3" t="str">
        <f t="shared" si="5"/>
        <v>No</v>
      </c>
      <c r="K67" s="5"/>
      <c r="L67" s="5"/>
    </row>
    <row r="68" spans="1:12">
      <c r="A68" s="6" t="str">
        <f>IF(AND(Sufficient_data="Yes",Include_study?="Yes"),COUNT(A$2:A67)+1,"")</f>
        <v/>
      </c>
      <c r="B68" s="12"/>
      <c r="C68" s="5" t="s">
        <v>30</v>
      </c>
      <c r="D68" s="5"/>
      <c r="E68" s="5"/>
      <c r="F68" s="5"/>
      <c r="G68" s="5"/>
      <c r="H68" s="5"/>
      <c r="I68" s="5"/>
      <c r="J68" s="3" t="str">
        <f t="shared" si="5"/>
        <v>No</v>
      </c>
      <c r="K68" s="5"/>
      <c r="L68" s="5"/>
    </row>
    <row r="69" spans="1:12">
      <c r="A69" s="6" t="str">
        <f>IF(AND(Sufficient_data="Yes",Include_study?="Yes"),COUNT(A$2:A68)+1,"")</f>
        <v/>
      </c>
      <c r="B69" s="12"/>
      <c r="C69" s="5" t="s">
        <v>30</v>
      </c>
      <c r="D69" s="5"/>
      <c r="E69" s="5"/>
      <c r="F69" s="5"/>
      <c r="G69" s="5"/>
      <c r="H69" s="5"/>
      <c r="I69" s="5"/>
      <c r="J69" s="3" t="str">
        <f t="shared" si="5"/>
        <v>No</v>
      </c>
      <c r="K69" s="5"/>
      <c r="L69" s="5"/>
    </row>
    <row r="70" spans="1:12">
      <c r="A70" s="6" t="str">
        <f>IF(AND(Sufficient_data="Yes",Include_study?="Yes"),COUNT(A$2:A69)+1,"")</f>
        <v/>
      </c>
      <c r="B70" s="12"/>
      <c r="C70" s="5" t="s">
        <v>30</v>
      </c>
      <c r="D70" s="5"/>
      <c r="E70" s="5"/>
      <c r="F70" s="5"/>
      <c r="G70" s="5"/>
      <c r="H70" s="5"/>
      <c r="I70" s="5"/>
      <c r="J70" s="3" t="str">
        <f t="shared" si="5"/>
        <v>No</v>
      </c>
      <c r="K70" s="5"/>
      <c r="L70" s="5"/>
    </row>
    <row r="71" spans="1:12">
      <c r="A71" s="6" t="str">
        <f>IF(AND(Sufficient_data="Yes",Include_study?="Yes"),COUNT(A$2:A70)+1,"")</f>
        <v/>
      </c>
      <c r="B71" s="12"/>
      <c r="C71" s="5" t="s">
        <v>30</v>
      </c>
      <c r="D71" s="5"/>
      <c r="E71" s="5"/>
      <c r="F71" s="5"/>
      <c r="G71" s="5"/>
      <c r="H71" s="5"/>
      <c r="I71" s="5"/>
      <c r="J71" s="3" t="str">
        <f t="shared" si="5"/>
        <v>No</v>
      </c>
      <c r="K71" s="5"/>
      <c r="L71" s="5"/>
    </row>
    <row r="72" spans="1:12">
      <c r="A72" s="6" t="str">
        <f>IF(AND(Sufficient_data="Yes",Include_study?="Yes"),COUNT(A$2:A71)+1,"")</f>
        <v/>
      </c>
      <c r="B72" s="12"/>
      <c r="C72" s="5" t="s">
        <v>30</v>
      </c>
      <c r="D72" s="5"/>
      <c r="E72" s="5"/>
      <c r="F72" s="5"/>
      <c r="G72" s="5"/>
      <c r="H72" s="5"/>
      <c r="I72" s="5"/>
      <c r="J72" s="3" t="str">
        <f t="shared" si="5"/>
        <v>No</v>
      </c>
      <c r="K72" s="5"/>
      <c r="L72" s="5"/>
    </row>
    <row r="73" spans="1:12">
      <c r="A73" s="6" t="str">
        <f>IF(AND(Sufficient_data="Yes",Include_study?="Yes"),COUNT(A$2:A72)+1,"")</f>
        <v/>
      </c>
      <c r="B73" s="12"/>
      <c r="C73" s="5" t="s">
        <v>30</v>
      </c>
      <c r="D73" s="5"/>
      <c r="E73" s="5"/>
      <c r="F73" s="5"/>
      <c r="G73" s="5"/>
      <c r="H73" s="5"/>
      <c r="I73" s="5"/>
      <c r="J73" s="3" t="str">
        <f t="shared" si="5"/>
        <v>No</v>
      </c>
      <c r="K73" s="5"/>
      <c r="L73" s="5"/>
    </row>
    <row r="74" spans="1:12">
      <c r="A74" s="6" t="str">
        <f>IF(AND(Sufficient_data="Yes",Include_study?="Yes"),COUNT(A$2:A73)+1,"")</f>
        <v/>
      </c>
      <c r="B74" s="12"/>
      <c r="C74" s="5" t="s">
        <v>30</v>
      </c>
      <c r="D74" s="5"/>
      <c r="E74" s="5"/>
      <c r="F74" s="5"/>
      <c r="G74" s="5"/>
      <c r="H74" s="5"/>
      <c r="I74" s="5"/>
      <c r="J74" s="3" t="str">
        <f t="shared" si="5"/>
        <v>No</v>
      </c>
      <c r="K74" s="5"/>
      <c r="L74" s="5"/>
    </row>
    <row r="75" spans="1:12">
      <c r="A75" s="6" t="str">
        <f>IF(AND(Sufficient_data="Yes",Include_study?="Yes"),COUNT(A$2:A74)+1,"")</f>
        <v/>
      </c>
      <c r="B75" s="12"/>
      <c r="C75" s="5" t="s">
        <v>30</v>
      </c>
      <c r="D75" s="5"/>
      <c r="E75" s="5"/>
      <c r="F75" s="5"/>
      <c r="G75" s="5"/>
      <c r="H75" s="5"/>
      <c r="I75" s="5"/>
      <c r="J75" s="3" t="str">
        <f t="shared" si="5"/>
        <v>No</v>
      </c>
      <c r="K75" s="5"/>
      <c r="L75" s="5"/>
    </row>
    <row r="76" spans="1:12">
      <c r="A76" s="6" t="str">
        <f>IF(AND(Sufficient_data="Yes",Include_study?="Yes"),COUNT(A$2:A75)+1,"")</f>
        <v/>
      </c>
      <c r="B76" s="12"/>
      <c r="C76" s="5" t="s">
        <v>30</v>
      </c>
      <c r="D76" s="5"/>
      <c r="E76" s="5"/>
      <c r="F76" s="5"/>
      <c r="G76" s="5"/>
      <c r="H76" s="5"/>
      <c r="I76" s="5"/>
      <c r="J76" s="3" t="str">
        <f t="shared" si="5"/>
        <v>No</v>
      </c>
      <c r="K76" s="5"/>
      <c r="L76" s="5"/>
    </row>
    <row r="77" spans="1:12">
      <c r="A77" s="6" t="str">
        <f>IF(AND(Sufficient_data="Yes",Include_study?="Yes"),COUNT(A$2:A76)+1,"")</f>
        <v/>
      </c>
      <c r="B77" s="12"/>
      <c r="C77" s="5" t="s">
        <v>30</v>
      </c>
      <c r="D77" s="5"/>
      <c r="E77" s="5"/>
      <c r="F77" s="5"/>
      <c r="G77" s="5"/>
      <c r="H77" s="5"/>
      <c r="I77" s="5"/>
      <c r="J77" s="3" t="str">
        <f t="shared" si="5"/>
        <v>No</v>
      </c>
      <c r="K77" s="5"/>
      <c r="L77" s="5"/>
    </row>
    <row r="78" spans="1:12">
      <c r="A78" s="6" t="str">
        <f>IF(AND(Sufficient_data="Yes",Include_study?="Yes"),COUNT(A$2:A77)+1,"")</f>
        <v/>
      </c>
      <c r="B78" s="12"/>
      <c r="C78" s="5" t="s">
        <v>30</v>
      </c>
      <c r="D78" s="5"/>
      <c r="E78" s="5"/>
      <c r="F78" s="5"/>
      <c r="G78" s="5"/>
      <c r="H78" s="5"/>
      <c r="I78" s="5"/>
      <c r="J78" s="3" t="str">
        <f t="shared" si="5"/>
        <v>No</v>
      </c>
      <c r="K78" s="5"/>
      <c r="L78" s="5"/>
    </row>
    <row r="79" spans="1:12">
      <c r="A79" s="6" t="str">
        <f>IF(AND(Sufficient_data="Yes",Include_study?="Yes"),COUNT(A$2:A78)+1,"")</f>
        <v/>
      </c>
      <c r="B79" s="12"/>
      <c r="C79" s="5" t="s">
        <v>30</v>
      </c>
      <c r="D79" s="5"/>
      <c r="E79" s="5"/>
      <c r="F79" s="5"/>
      <c r="G79" s="5"/>
      <c r="H79" s="5"/>
      <c r="I79" s="5"/>
      <c r="J79" s="3" t="str">
        <f t="shared" si="5"/>
        <v>No</v>
      </c>
      <c r="K79" s="5"/>
      <c r="L79" s="5"/>
    </row>
    <row r="80" spans="1:12">
      <c r="A80" s="6" t="str">
        <f>IF(AND(Sufficient_data="Yes",Include_study?="Yes"),COUNT(A$2:A79)+1,"")</f>
        <v/>
      </c>
      <c r="B80" s="12"/>
      <c r="C80" s="5" t="s">
        <v>30</v>
      </c>
      <c r="D80" s="5"/>
      <c r="E80" s="5"/>
      <c r="F80" s="5"/>
      <c r="G80" s="5"/>
      <c r="H80" s="5"/>
      <c r="I80" s="5"/>
      <c r="J80" s="3" t="str">
        <f t="shared" ref="J80:J111" si="6">IF(AND(OR(AND(a_&lt;&gt;"",b_&lt;&gt;""),AND(OR(a_&lt;&gt;"",b_&lt;&gt;""),n1_&lt;&gt;"")),OR(AND(c_&lt;&gt;"",d_&lt;&gt;""),AND(OR(c_&lt;&gt;"",d_&lt;&gt;""),n2_&lt;&gt;""))),"Yes","No")</f>
        <v>No</v>
      </c>
      <c r="K80" s="5"/>
      <c r="L80" s="5"/>
    </row>
    <row r="81" spans="1:12">
      <c r="A81" s="6" t="str">
        <f>IF(AND(Sufficient_data="Yes",Include_study?="Yes"),COUNT(A$2:A80)+1,"")</f>
        <v/>
      </c>
      <c r="B81" s="12"/>
      <c r="C81" s="5" t="s">
        <v>30</v>
      </c>
      <c r="D81" s="5"/>
      <c r="E81" s="5"/>
      <c r="F81" s="5"/>
      <c r="G81" s="5"/>
      <c r="H81" s="5"/>
      <c r="I81" s="5"/>
      <c r="J81" s="3" t="str">
        <f t="shared" si="6"/>
        <v>No</v>
      </c>
      <c r="K81" s="5"/>
      <c r="L81" s="5"/>
    </row>
    <row r="82" spans="1:12">
      <c r="A82" s="6" t="str">
        <f>IF(AND(Sufficient_data="Yes",Include_study?="Yes"),COUNT(A$2:A81)+1,"")</f>
        <v/>
      </c>
      <c r="B82" s="12"/>
      <c r="C82" s="5" t="s">
        <v>30</v>
      </c>
      <c r="D82" s="5"/>
      <c r="E82" s="5"/>
      <c r="F82" s="5"/>
      <c r="G82" s="5"/>
      <c r="H82" s="5"/>
      <c r="I82" s="5"/>
      <c r="J82" s="3" t="str">
        <f t="shared" si="6"/>
        <v>No</v>
      </c>
      <c r="K82" s="5"/>
      <c r="L82" s="5"/>
    </row>
    <row r="83" spans="1:12">
      <c r="A83" s="6" t="str">
        <f>IF(AND(Sufficient_data="Yes",Include_study?="Yes"),COUNT(A$2:A82)+1,"")</f>
        <v/>
      </c>
      <c r="B83" s="12"/>
      <c r="C83" s="5" t="s">
        <v>30</v>
      </c>
      <c r="D83" s="5"/>
      <c r="E83" s="5"/>
      <c r="F83" s="5"/>
      <c r="G83" s="5"/>
      <c r="H83" s="5"/>
      <c r="I83" s="5"/>
      <c r="J83" s="3" t="str">
        <f t="shared" si="6"/>
        <v>No</v>
      </c>
      <c r="K83" s="5"/>
      <c r="L83" s="5"/>
    </row>
    <row r="84" spans="1:12">
      <c r="A84" s="6" t="str">
        <f>IF(AND(Sufficient_data="Yes",Include_study?="Yes"),COUNT(A$2:A83)+1,"")</f>
        <v/>
      </c>
      <c r="B84" s="12"/>
      <c r="C84" s="5" t="s">
        <v>30</v>
      </c>
      <c r="D84" s="5"/>
      <c r="E84" s="5"/>
      <c r="F84" s="5"/>
      <c r="G84" s="5"/>
      <c r="H84" s="5"/>
      <c r="I84" s="5"/>
      <c r="J84" s="3" t="str">
        <f t="shared" si="6"/>
        <v>No</v>
      </c>
      <c r="K84" s="5"/>
      <c r="L84" s="5"/>
    </row>
    <row r="85" spans="1:12">
      <c r="A85" s="6" t="str">
        <f>IF(AND(Sufficient_data="Yes",Include_study?="Yes"),COUNT(A$2:A84)+1,"")</f>
        <v/>
      </c>
      <c r="B85" s="12"/>
      <c r="C85" s="5" t="s">
        <v>30</v>
      </c>
      <c r="D85" s="5"/>
      <c r="E85" s="5"/>
      <c r="F85" s="5"/>
      <c r="G85" s="5"/>
      <c r="H85" s="5"/>
      <c r="I85" s="5"/>
      <c r="J85" s="3" t="str">
        <f t="shared" si="6"/>
        <v>No</v>
      </c>
      <c r="K85" s="5"/>
      <c r="L85" s="5"/>
    </row>
    <row r="86" spans="1:12">
      <c r="A86" s="6" t="str">
        <f>IF(AND(Sufficient_data="Yes",Include_study?="Yes"),COUNT(A$2:A85)+1,"")</f>
        <v/>
      </c>
      <c r="B86" s="12"/>
      <c r="C86" s="5" t="s">
        <v>30</v>
      </c>
      <c r="D86" s="5"/>
      <c r="E86" s="5"/>
      <c r="F86" s="5"/>
      <c r="G86" s="5"/>
      <c r="H86" s="5"/>
      <c r="I86" s="5"/>
      <c r="J86" s="3" t="str">
        <f t="shared" si="6"/>
        <v>No</v>
      </c>
      <c r="K86" s="5"/>
      <c r="L86" s="5"/>
    </row>
    <row r="87" spans="1:12">
      <c r="A87" s="6" t="str">
        <f>IF(AND(Sufficient_data="Yes",Include_study?="Yes"),COUNT(A$2:A86)+1,"")</f>
        <v/>
      </c>
      <c r="B87" s="12"/>
      <c r="C87" s="5" t="s">
        <v>30</v>
      </c>
      <c r="D87" s="27"/>
      <c r="E87" s="27"/>
      <c r="F87" s="27"/>
      <c r="G87" s="27"/>
      <c r="H87" s="5"/>
      <c r="I87" s="5"/>
      <c r="J87" s="3" t="str">
        <f t="shared" si="6"/>
        <v>No</v>
      </c>
      <c r="K87" s="5"/>
      <c r="L87" s="27"/>
    </row>
    <row r="88" spans="1:12">
      <c r="A88" s="6" t="str">
        <f>IF(AND(Sufficient_data="Yes",Include_study?="Yes"),COUNT(A$2:A87)+1,"")</f>
        <v/>
      </c>
      <c r="B88" s="12"/>
      <c r="C88" s="5" t="s">
        <v>30</v>
      </c>
      <c r="D88" s="27"/>
      <c r="E88" s="27"/>
      <c r="F88" s="27"/>
      <c r="G88" s="27"/>
      <c r="H88" s="5"/>
      <c r="I88" s="5"/>
      <c r="J88" s="3" t="str">
        <f t="shared" si="6"/>
        <v>No</v>
      </c>
      <c r="K88" s="5"/>
      <c r="L88" s="27"/>
    </row>
    <row r="89" spans="1:12">
      <c r="A89" s="6" t="str">
        <f>IF(AND(Sufficient_data="Yes",Include_study?="Yes"),COUNT(A$2:A88)+1,"")</f>
        <v/>
      </c>
      <c r="B89" s="12"/>
      <c r="C89" s="5" t="s">
        <v>30</v>
      </c>
      <c r="D89" s="27"/>
      <c r="E89" s="27"/>
      <c r="F89" s="27"/>
      <c r="G89" s="27"/>
      <c r="H89" s="5"/>
      <c r="I89" s="5"/>
      <c r="J89" s="3" t="str">
        <f t="shared" si="6"/>
        <v>No</v>
      </c>
      <c r="K89" s="5"/>
      <c r="L89" s="27"/>
    </row>
    <row r="90" spans="1:12">
      <c r="A90" s="6" t="str">
        <f>IF(AND(Sufficient_data="Yes",Include_study?="Yes"),COUNT(A$2:A89)+1,"")</f>
        <v/>
      </c>
      <c r="B90" s="12"/>
      <c r="C90" s="5" t="s">
        <v>30</v>
      </c>
      <c r="D90" s="27"/>
      <c r="E90" s="27"/>
      <c r="F90" s="27"/>
      <c r="G90" s="27"/>
      <c r="H90" s="5"/>
      <c r="I90" s="5"/>
      <c r="J90" s="3" t="str">
        <f t="shared" si="6"/>
        <v>No</v>
      </c>
      <c r="K90" s="5"/>
      <c r="L90" s="27"/>
    </row>
    <row r="91" spans="1:12">
      <c r="A91" s="6" t="str">
        <f>IF(AND(Sufficient_data="Yes",Include_study?="Yes"),COUNT(A$2:A90)+1,"")</f>
        <v/>
      </c>
      <c r="B91" s="12"/>
      <c r="C91" s="5" t="s">
        <v>30</v>
      </c>
      <c r="D91" s="27"/>
      <c r="E91" s="27"/>
      <c r="F91" s="27"/>
      <c r="G91" s="27"/>
      <c r="H91" s="5"/>
      <c r="I91" s="5"/>
      <c r="J91" s="3" t="str">
        <f t="shared" si="6"/>
        <v>No</v>
      </c>
      <c r="K91" s="5"/>
      <c r="L91" s="27"/>
    </row>
    <row r="92" spans="1:12">
      <c r="A92" s="6" t="str">
        <f>IF(AND(Sufficient_data="Yes",Include_study?="Yes"),COUNT(A$2:A91)+1,"")</f>
        <v/>
      </c>
      <c r="B92" s="12"/>
      <c r="C92" s="5" t="s">
        <v>30</v>
      </c>
      <c r="D92" s="27"/>
      <c r="E92" s="27"/>
      <c r="F92" s="27"/>
      <c r="G92" s="27"/>
      <c r="H92" s="5"/>
      <c r="I92" s="5"/>
      <c r="J92" s="3" t="str">
        <f t="shared" si="6"/>
        <v>No</v>
      </c>
      <c r="K92" s="5"/>
      <c r="L92" s="27"/>
    </row>
    <row r="93" spans="1:12">
      <c r="A93" s="6" t="str">
        <f>IF(AND(Sufficient_data="Yes",Include_study?="Yes"),COUNT(A$2:A92)+1,"")</f>
        <v/>
      </c>
      <c r="B93" s="12"/>
      <c r="C93" s="5" t="s">
        <v>30</v>
      </c>
      <c r="D93" s="27"/>
      <c r="E93" s="27"/>
      <c r="F93" s="27"/>
      <c r="G93" s="27"/>
      <c r="H93" s="5"/>
      <c r="I93" s="5"/>
      <c r="J93" s="3" t="str">
        <f t="shared" si="6"/>
        <v>No</v>
      </c>
      <c r="K93" s="5"/>
      <c r="L93" s="27"/>
    </row>
    <row r="94" spans="1:12">
      <c r="A94" s="6" t="str">
        <f>IF(AND(Sufficient_data="Yes",Include_study?="Yes"),COUNT(A$2:A93)+1,"")</f>
        <v/>
      </c>
      <c r="B94" s="12"/>
      <c r="C94" s="5" t="s">
        <v>30</v>
      </c>
      <c r="D94" s="27"/>
      <c r="E94" s="27"/>
      <c r="F94" s="27"/>
      <c r="G94" s="27"/>
      <c r="H94" s="5"/>
      <c r="I94" s="5"/>
      <c r="J94" s="3" t="str">
        <f t="shared" si="6"/>
        <v>No</v>
      </c>
      <c r="K94" s="5"/>
      <c r="L94" s="27"/>
    </row>
    <row r="95" spans="1:12">
      <c r="A95" s="6" t="str">
        <f>IF(AND(Sufficient_data="Yes",Include_study?="Yes"),COUNT(A$2:A94)+1,"")</f>
        <v/>
      </c>
      <c r="B95" s="12"/>
      <c r="C95" s="5" t="s">
        <v>30</v>
      </c>
      <c r="D95" s="27"/>
      <c r="E95" s="27"/>
      <c r="F95" s="27"/>
      <c r="G95" s="27"/>
      <c r="H95" s="5"/>
      <c r="I95" s="5"/>
      <c r="J95" s="3" t="str">
        <f t="shared" si="6"/>
        <v>No</v>
      </c>
      <c r="K95" s="5"/>
      <c r="L95" s="27"/>
    </row>
    <row r="96" spans="1:12">
      <c r="A96" s="6" t="str">
        <f>IF(AND(Sufficient_data="Yes",Include_study?="Yes"),COUNT(A$2:A95)+1,"")</f>
        <v/>
      </c>
      <c r="B96" s="12"/>
      <c r="C96" s="5" t="s">
        <v>30</v>
      </c>
      <c r="D96" s="27"/>
      <c r="E96" s="27"/>
      <c r="F96" s="27"/>
      <c r="G96" s="27"/>
      <c r="H96" s="5"/>
      <c r="I96" s="5"/>
      <c r="J96" s="3" t="str">
        <f t="shared" si="6"/>
        <v>No</v>
      </c>
      <c r="K96" s="5"/>
      <c r="L96" s="27"/>
    </row>
    <row r="97" spans="1:12">
      <c r="A97" s="6" t="str">
        <f>IF(AND(Sufficient_data="Yes",Include_study?="Yes"),COUNT(A$2:A96)+1,"")</f>
        <v/>
      </c>
      <c r="B97" s="12"/>
      <c r="C97" s="5" t="s">
        <v>30</v>
      </c>
      <c r="D97" s="27"/>
      <c r="E97" s="27"/>
      <c r="F97" s="27"/>
      <c r="G97" s="27"/>
      <c r="H97" s="5"/>
      <c r="I97" s="5"/>
      <c r="J97" s="3" t="str">
        <f t="shared" si="6"/>
        <v>No</v>
      </c>
      <c r="K97" s="5"/>
      <c r="L97" s="27"/>
    </row>
    <row r="98" spans="1:12">
      <c r="A98" s="6" t="str">
        <f>IF(AND(Sufficient_data="Yes",Include_study?="Yes"),COUNT(A$2:A97)+1,"")</f>
        <v/>
      </c>
      <c r="B98" s="12"/>
      <c r="C98" s="5" t="s">
        <v>30</v>
      </c>
      <c r="D98" s="5"/>
      <c r="E98" s="5"/>
      <c r="F98" s="5"/>
      <c r="G98" s="5"/>
      <c r="H98" s="5"/>
      <c r="I98" s="5"/>
      <c r="J98" s="3" t="str">
        <f t="shared" si="6"/>
        <v>No</v>
      </c>
      <c r="K98" s="5"/>
      <c r="L98" s="5"/>
    </row>
    <row r="99" spans="1:12">
      <c r="A99" s="6" t="str">
        <f>IF(AND(Sufficient_data="Yes",Include_study?="Yes"),COUNT(A$2:A98)+1,"")</f>
        <v/>
      </c>
      <c r="B99" s="12"/>
      <c r="C99" s="5" t="s">
        <v>30</v>
      </c>
      <c r="D99" s="5"/>
      <c r="E99" s="5"/>
      <c r="F99" s="5"/>
      <c r="G99" s="5"/>
      <c r="H99" s="5"/>
      <c r="I99" s="5"/>
      <c r="J99" s="3" t="str">
        <f t="shared" si="6"/>
        <v>No</v>
      </c>
      <c r="K99" s="5"/>
      <c r="L99" s="5"/>
    </row>
    <row r="100" spans="1:12">
      <c r="A100" s="6" t="str">
        <f>IF(AND(Sufficient_data="Yes",Include_study?="Yes"),COUNT(A$2:A99)+1,"")</f>
        <v/>
      </c>
      <c r="B100" s="12"/>
      <c r="C100" s="5" t="s">
        <v>30</v>
      </c>
      <c r="D100" s="5"/>
      <c r="E100" s="5"/>
      <c r="F100" s="5"/>
      <c r="G100" s="5"/>
      <c r="H100" s="5"/>
      <c r="I100" s="5"/>
      <c r="J100" s="3" t="str">
        <f t="shared" si="6"/>
        <v>No</v>
      </c>
      <c r="K100" s="5"/>
      <c r="L100" s="5"/>
    </row>
    <row r="101" spans="1:12">
      <c r="A101" s="6" t="str">
        <f>IF(AND(Sufficient_data="Yes",Include_study?="Yes"),COUNT(A$2:A100)+1,"")</f>
        <v/>
      </c>
      <c r="B101" s="12"/>
      <c r="C101" s="5" t="s">
        <v>30</v>
      </c>
      <c r="D101" s="5"/>
      <c r="E101" s="5"/>
      <c r="F101" s="5"/>
      <c r="G101" s="5"/>
      <c r="H101" s="5"/>
      <c r="I101" s="5"/>
      <c r="J101" s="3" t="str">
        <f t="shared" si="6"/>
        <v>No</v>
      </c>
      <c r="K101" s="5"/>
      <c r="L101" s="5"/>
    </row>
    <row r="102" spans="1:12">
      <c r="A102" s="6" t="str">
        <f>IF(AND(Sufficient_data="Yes",Include_study?="Yes"),COUNT(A$2:A101)+1,"")</f>
        <v/>
      </c>
      <c r="B102" s="12"/>
      <c r="C102" s="5" t="s">
        <v>30</v>
      </c>
      <c r="D102" s="5"/>
      <c r="E102" s="5"/>
      <c r="F102" s="5"/>
      <c r="G102" s="5"/>
      <c r="H102" s="5"/>
      <c r="I102" s="5"/>
      <c r="J102" s="3" t="str">
        <f t="shared" si="6"/>
        <v>No</v>
      </c>
      <c r="K102" s="5"/>
      <c r="L102" s="5"/>
    </row>
    <row r="103" spans="1:12">
      <c r="A103" s="6" t="str">
        <f>IF(AND(Sufficient_data="Yes",Include_study?="Yes"),COUNT(A$2:A102)+1,"")</f>
        <v/>
      </c>
      <c r="B103" s="12"/>
      <c r="C103" s="5" t="s">
        <v>30</v>
      </c>
      <c r="D103" s="5"/>
      <c r="E103" s="5"/>
      <c r="F103" s="5"/>
      <c r="G103" s="5"/>
      <c r="H103" s="5"/>
      <c r="I103" s="5"/>
      <c r="J103" s="3" t="str">
        <f t="shared" si="6"/>
        <v>No</v>
      </c>
      <c r="K103" s="5"/>
      <c r="L103" s="5"/>
    </row>
    <row r="104" spans="1:12">
      <c r="A104" s="6" t="str">
        <f>IF(AND(Sufficient_data="Yes",Include_study?="Yes"),COUNT(A$2:A103)+1,"")</f>
        <v/>
      </c>
      <c r="B104" s="12"/>
      <c r="C104" s="5" t="s">
        <v>30</v>
      </c>
      <c r="D104" s="5"/>
      <c r="E104" s="5"/>
      <c r="F104" s="5"/>
      <c r="G104" s="5"/>
      <c r="H104" s="5"/>
      <c r="I104" s="5"/>
      <c r="J104" s="3" t="str">
        <f t="shared" si="6"/>
        <v>No</v>
      </c>
      <c r="K104" s="5"/>
      <c r="L104" s="5"/>
    </row>
    <row r="105" spans="1:12">
      <c r="A105" s="6" t="str">
        <f>IF(AND(Sufficient_data="Yes",Include_study?="Yes"),COUNT(A$2:A104)+1,"")</f>
        <v/>
      </c>
      <c r="B105" s="12"/>
      <c r="C105" s="5" t="s">
        <v>30</v>
      </c>
      <c r="D105" s="5"/>
      <c r="E105" s="5"/>
      <c r="F105" s="5"/>
      <c r="G105" s="5"/>
      <c r="H105" s="5"/>
      <c r="I105" s="5"/>
      <c r="J105" s="3" t="str">
        <f t="shared" si="6"/>
        <v>No</v>
      </c>
      <c r="K105" s="5"/>
      <c r="L105" s="5"/>
    </row>
    <row r="106" spans="1:12">
      <c r="A106" s="6" t="str">
        <f>IF(AND(Sufficient_data="Yes",Include_study?="Yes"),COUNT(A$2:A105)+1,"")</f>
        <v/>
      </c>
      <c r="B106" s="12"/>
      <c r="C106" s="5" t="s">
        <v>30</v>
      </c>
      <c r="D106" s="5"/>
      <c r="E106" s="5"/>
      <c r="F106" s="5"/>
      <c r="G106" s="5"/>
      <c r="H106" s="5"/>
      <c r="I106" s="5"/>
      <c r="J106" s="3" t="str">
        <f t="shared" si="6"/>
        <v>No</v>
      </c>
      <c r="K106" s="5"/>
      <c r="L106" s="5"/>
    </row>
    <row r="107" spans="1:12">
      <c r="A107" s="6" t="str">
        <f>IF(AND(Sufficient_data="Yes",Include_study?="Yes"),COUNT(A$2:A106)+1,"")</f>
        <v/>
      </c>
      <c r="B107" s="12"/>
      <c r="C107" s="5" t="s">
        <v>30</v>
      </c>
      <c r="D107" s="5"/>
      <c r="E107" s="5"/>
      <c r="F107" s="5"/>
      <c r="G107" s="5"/>
      <c r="H107" s="5"/>
      <c r="I107" s="5"/>
      <c r="J107" s="3" t="str">
        <f t="shared" si="6"/>
        <v>No</v>
      </c>
      <c r="K107" s="5"/>
      <c r="L107" s="5"/>
    </row>
    <row r="108" spans="1:12">
      <c r="A108" s="6" t="str">
        <f>IF(AND(Sufficient_data="Yes",Include_study?="Yes"),COUNT(A$2:A107)+1,"")</f>
        <v/>
      </c>
      <c r="B108" s="12"/>
      <c r="C108" s="5" t="s">
        <v>30</v>
      </c>
      <c r="D108" s="5"/>
      <c r="E108" s="5"/>
      <c r="F108" s="5"/>
      <c r="G108" s="5"/>
      <c r="H108" s="5"/>
      <c r="I108" s="5"/>
      <c r="J108" s="3" t="str">
        <f t="shared" si="6"/>
        <v>No</v>
      </c>
      <c r="K108" s="5"/>
      <c r="L108" s="5"/>
    </row>
    <row r="109" spans="1:12">
      <c r="A109" s="6" t="str">
        <f>IF(AND(Sufficient_data="Yes",Include_study?="Yes"),COUNT(A$2:A108)+1,"")</f>
        <v/>
      </c>
      <c r="B109" s="12"/>
      <c r="C109" s="5" t="s">
        <v>30</v>
      </c>
      <c r="D109" s="5"/>
      <c r="E109" s="5"/>
      <c r="F109" s="5"/>
      <c r="G109" s="5"/>
      <c r="H109" s="5"/>
      <c r="I109" s="5"/>
      <c r="J109" s="3" t="str">
        <f t="shared" si="6"/>
        <v>No</v>
      </c>
      <c r="K109" s="5"/>
      <c r="L109" s="5"/>
    </row>
    <row r="110" spans="1:12">
      <c r="A110" s="6" t="str">
        <f>IF(AND(Sufficient_data="Yes",Include_study?="Yes"),COUNT(A$2:A109)+1,"")</f>
        <v/>
      </c>
      <c r="B110" s="12"/>
      <c r="C110" s="5" t="s">
        <v>30</v>
      </c>
      <c r="D110" s="5"/>
      <c r="E110" s="5"/>
      <c r="F110" s="5"/>
      <c r="G110" s="5"/>
      <c r="H110" s="5"/>
      <c r="I110" s="5"/>
      <c r="J110" s="3" t="str">
        <f t="shared" si="6"/>
        <v>No</v>
      </c>
      <c r="K110" s="5"/>
      <c r="L110" s="5"/>
    </row>
    <row r="111" spans="1:12">
      <c r="A111" s="6" t="str">
        <f>IF(AND(Sufficient_data="Yes",Include_study?="Yes"),COUNT(A$2:A110)+1,"")</f>
        <v/>
      </c>
      <c r="B111" s="12"/>
      <c r="C111" s="5" t="s">
        <v>30</v>
      </c>
      <c r="D111" s="5"/>
      <c r="E111" s="5"/>
      <c r="F111" s="5"/>
      <c r="G111" s="5"/>
      <c r="H111" s="5"/>
      <c r="I111" s="5"/>
      <c r="J111" s="3" t="str">
        <f t="shared" si="6"/>
        <v>No</v>
      </c>
      <c r="K111" s="5"/>
      <c r="L111" s="5"/>
    </row>
    <row r="112" spans="1:12">
      <c r="A112" s="6" t="str">
        <f>IF(AND(Sufficient_data="Yes",Include_study?="Yes"),COUNT(A$2:A111)+1,"")</f>
        <v/>
      </c>
      <c r="B112" s="12"/>
      <c r="C112" s="5" t="s">
        <v>30</v>
      </c>
      <c r="D112" s="5"/>
      <c r="E112" s="5"/>
      <c r="F112" s="5"/>
      <c r="G112" s="5"/>
      <c r="H112" s="5"/>
      <c r="I112" s="5"/>
      <c r="J112" s="3" t="str">
        <f t="shared" ref="J112:J143" si="7">IF(AND(OR(AND(a_&lt;&gt;"",b_&lt;&gt;""),AND(OR(a_&lt;&gt;"",b_&lt;&gt;""),n1_&lt;&gt;"")),OR(AND(c_&lt;&gt;"",d_&lt;&gt;""),AND(OR(c_&lt;&gt;"",d_&lt;&gt;""),n2_&lt;&gt;""))),"Yes","No")</f>
        <v>No</v>
      </c>
      <c r="K112" s="5"/>
      <c r="L112" s="5"/>
    </row>
    <row r="113" spans="1:12">
      <c r="A113" s="6" t="str">
        <f>IF(AND(Sufficient_data="Yes",Include_study?="Yes"),COUNT(A$2:A112)+1,"")</f>
        <v/>
      </c>
      <c r="B113" s="12"/>
      <c r="C113" s="5" t="s">
        <v>30</v>
      </c>
      <c r="D113" s="5"/>
      <c r="E113" s="5"/>
      <c r="F113" s="5"/>
      <c r="G113" s="5"/>
      <c r="H113" s="5"/>
      <c r="I113" s="5"/>
      <c r="J113" s="3" t="str">
        <f t="shared" si="7"/>
        <v>No</v>
      </c>
      <c r="K113" s="5"/>
      <c r="L113" s="5"/>
    </row>
    <row r="114" spans="1:12">
      <c r="A114" s="6" t="str">
        <f>IF(AND(Sufficient_data="Yes",Include_study?="Yes"),COUNT(A$2:A113)+1,"")</f>
        <v/>
      </c>
      <c r="B114" s="12"/>
      <c r="C114" s="5" t="s">
        <v>30</v>
      </c>
      <c r="D114" s="5"/>
      <c r="E114" s="5"/>
      <c r="F114" s="5"/>
      <c r="G114" s="5"/>
      <c r="H114" s="5"/>
      <c r="I114" s="5"/>
      <c r="J114" s="3" t="str">
        <f t="shared" si="7"/>
        <v>No</v>
      </c>
      <c r="K114" s="5"/>
      <c r="L114" s="5"/>
    </row>
    <row r="115" spans="1:12">
      <c r="A115" s="6" t="str">
        <f>IF(AND(Sufficient_data="Yes",Include_study?="Yes"),COUNT(A$2:A114)+1,"")</f>
        <v/>
      </c>
      <c r="B115" s="12"/>
      <c r="C115" s="5" t="s">
        <v>30</v>
      </c>
      <c r="D115" s="5"/>
      <c r="E115" s="5"/>
      <c r="F115" s="5"/>
      <c r="G115" s="5"/>
      <c r="H115" s="5"/>
      <c r="I115" s="5"/>
      <c r="J115" s="3" t="str">
        <f t="shared" si="7"/>
        <v>No</v>
      </c>
      <c r="K115" s="5"/>
      <c r="L115" s="5"/>
    </row>
    <row r="116" spans="1:12">
      <c r="A116" s="6" t="str">
        <f>IF(AND(Sufficient_data="Yes",Include_study?="Yes"),COUNT(A$2:A115)+1,"")</f>
        <v/>
      </c>
      <c r="B116" s="12"/>
      <c r="C116" s="5" t="s">
        <v>20</v>
      </c>
      <c r="D116" s="5"/>
      <c r="E116" s="5"/>
      <c r="F116" s="5"/>
      <c r="G116" s="5"/>
      <c r="H116" s="5"/>
      <c r="I116" s="5"/>
      <c r="J116" s="3" t="str">
        <f t="shared" si="7"/>
        <v>No</v>
      </c>
      <c r="K116" s="5"/>
      <c r="L116" s="5"/>
    </row>
    <row r="117" spans="1:12">
      <c r="A117" s="6" t="str">
        <f>IF(AND(Sufficient_data="Yes",Include_study?="Yes"),COUNT(A$2:A116)+1,"")</f>
        <v/>
      </c>
      <c r="B117" s="12"/>
      <c r="C117" s="5" t="s">
        <v>20</v>
      </c>
      <c r="D117" s="5"/>
      <c r="E117" s="5"/>
      <c r="F117" s="5"/>
      <c r="G117" s="5"/>
      <c r="H117" s="5"/>
      <c r="I117" s="5"/>
      <c r="J117" s="3" t="str">
        <f t="shared" si="7"/>
        <v>No</v>
      </c>
      <c r="K117" s="5"/>
      <c r="L117" s="5"/>
    </row>
    <row r="118" spans="1:12">
      <c r="A118" s="6" t="str">
        <f>IF(AND(Sufficient_data="Yes",Include_study?="Yes"),COUNT(A$2:A117)+1,"")</f>
        <v/>
      </c>
      <c r="B118" s="12"/>
      <c r="C118" s="5" t="s">
        <v>20</v>
      </c>
      <c r="D118" s="5"/>
      <c r="E118" s="5"/>
      <c r="F118" s="5"/>
      <c r="G118" s="5"/>
      <c r="H118" s="5"/>
      <c r="I118" s="5"/>
      <c r="J118" s="3" t="str">
        <f t="shared" si="7"/>
        <v>No</v>
      </c>
      <c r="K118" s="5"/>
      <c r="L118" s="5"/>
    </row>
    <row r="119" spans="1:12">
      <c r="A119" s="6" t="str">
        <f>IF(AND(Sufficient_data="Yes",Include_study?="Yes"),COUNT(A$2:A118)+1,"")</f>
        <v/>
      </c>
      <c r="B119" s="12"/>
      <c r="C119" s="5" t="s">
        <v>20</v>
      </c>
      <c r="D119" s="5"/>
      <c r="E119" s="5"/>
      <c r="F119" s="5"/>
      <c r="G119" s="5"/>
      <c r="H119" s="5"/>
      <c r="I119" s="5"/>
      <c r="J119" s="3" t="str">
        <f t="shared" si="7"/>
        <v>No</v>
      </c>
      <c r="K119" s="5"/>
      <c r="L119" s="5"/>
    </row>
    <row r="120" spans="1:12">
      <c r="A120" s="6" t="str">
        <f>IF(AND(Sufficient_data="Yes",Include_study?="Yes"),COUNT(A$2:A119)+1,"")</f>
        <v/>
      </c>
      <c r="B120" s="12"/>
      <c r="C120" s="5" t="s">
        <v>20</v>
      </c>
      <c r="D120" s="5"/>
      <c r="E120" s="5"/>
      <c r="F120" s="5"/>
      <c r="G120" s="5"/>
      <c r="H120" s="5"/>
      <c r="I120" s="5"/>
      <c r="J120" s="3" t="str">
        <f t="shared" si="7"/>
        <v>No</v>
      </c>
      <c r="K120" s="5"/>
      <c r="L120" s="5"/>
    </row>
    <row r="121" spans="1:12">
      <c r="A121" s="6" t="str">
        <f>IF(AND(Sufficient_data="Yes",Include_study?="Yes"),COUNT(A$2:A120)+1,"")</f>
        <v/>
      </c>
      <c r="B121" s="12"/>
      <c r="C121" s="5" t="s">
        <v>20</v>
      </c>
      <c r="D121" s="5"/>
      <c r="E121" s="5"/>
      <c r="F121" s="5"/>
      <c r="G121" s="5"/>
      <c r="H121" s="5"/>
      <c r="I121" s="5"/>
      <c r="J121" s="3" t="str">
        <f t="shared" si="7"/>
        <v>No</v>
      </c>
      <c r="K121" s="5"/>
      <c r="L121" s="5"/>
    </row>
    <row r="122" spans="1:12">
      <c r="A122" s="6" t="str">
        <f>IF(AND(Sufficient_data="Yes",Include_study?="Yes"),COUNT(A$2:A121)+1,"")</f>
        <v/>
      </c>
      <c r="B122" s="12"/>
      <c r="C122" s="5" t="s">
        <v>20</v>
      </c>
      <c r="D122" s="5"/>
      <c r="E122" s="5"/>
      <c r="F122" s="5"/>
      <c r="G122" s="5"/>
      <c r="H122" s="5"/>
      <c r="I122" s="5"/>
      <c r="J122" s="3" t="str">
        <f t="shared" si="7"/>
        <v>No</v>
      </c>
      <c r="K122" s="5"/>
      <c r="L122" s="5"/>
    </row>
    <row r="123" spans="1:12">
      <c r="A123" s="6" t="str">
        <f>IF(AND(Sufficient_data="Yes",Include_study?="Yes"),COUNT(A$2:A122)+1,"")</f>
        <v/>
      </c>
      <c r="B123" s="12"/>
      <c r="C123" s="5" t="s">
        <v>20</v>
      </c>
      <c r="D123" s="5"/>
      <c r="E123" s="5"/>
      <c r="F123" s="5"/>
      <c r="G123" s="5"/>
      <c r="H123" s="5"/>
      <c r="I123" s="5"/>
      <c r="J123" s="3" t="str">
        <f t="shared" si="7"/>
        <v>No</v>
      </c>
      <c r="K123" s="5"/>
      <c r="L123" s="5"/>
    </row>
    <row r="124" spans="1:12">
      <c r="A124" s="6" t="str">
        <f>IF(AND(Sufficient_data="Yes",Include_study?="Yes"),COUNT(A$2:A123)+1,"")</f>
        <v/>
      </c>
      <c r="B124" s="12"/>
      <c r="C124" s="5" t="s">
        <v>20</v>
      </c>
      <c r="D124" s="5"/>
      <c r="E124" s="5"/>
      <c r="F124" s="5"/>
      <c r="G124" s="5"/>
      <c r="H124" s="5"/>
      <c r="I124" s="5"/>
      <c r="J124" s="3" t="str">
        <f t="shared" si="7"/>
        <v>No</v>
      </c>
      <c r="K124" s="5"/>
      <c r="L124" s="5"/>
    </row>
    <row r="125" spans="1:12">
      <c r="A125" s="6" t="str">
        <f>IF(AND(Sufficient_data="Yes",Include_study?="Yes"),COUNT(A$2:A124)+1,"")</f>
        <v/>
      </c>
      <c r="B125" s="12"/>
      <c r="C125" s="5" t="s">
        <v>20</v>
      </c>
      <c r="D125" s="5"/>
      <c r="E125" s="5"/>
      <c r="F125" s="5"/>
      <c r="G125" s="5"/>
      <c r="H125" s="5"/>
      <c r="I125" s="5"/>
      <c r="J125" s="3" t="str">
        <f t="shared" si="7"/>
        <v>No</v>
      </c>
      <c r="K125" s="5"/>
      <c r="L125" s="5"/>
    </row>
    <row r="126" spans="1:12">
      <c r="A126" s="6" t="str">
        <f>IF(AND(Sufficient_data="Yes",Include_study?="Yes"),COUNT(A$2:A125)+1,"")</f>
        <v/>
      </c>
      <c r="B126" s="12"/>
      <c r="C126" s="5" t="s">
        <v>20</v>
      </c>
      <c r="D126" s="5"/>
      <c r="E126" s="5"/>
      <c r="F126" s="5"/>
      <c r="G126" s="5"/>
      <c r="H126" s="5"/>
      <c r="I126" s="5"/>
      <c r="J126" s="3" t="str">
        <f t="shared" si="7"/>
        <v>No</v>
      </c>
      <c r="K126" s="5"/>
      <c r="L126" s="5"/>
    </row>
    <row r="127" spans="1:12">
      <c r="A127" s="6" t="str">
        <f>IF(AND(Sufficient_data="Yes",Include_study?="Yes"),COUNT(A$2:A126)+1,"")</f>
        <v/>
      </c>
      <c r="B127" s="12"/>
      <c r="C127" s="5" t="s">
        <v>20</v>
      </c>
      <c r="D127" s="5"/>
      <c r="E127" s="5"/>
      <c r="F127" s="5"/>
      <c r="G127" s="5"/>
      <c r="H127" s="5"/>
      <c r="I127" s="5"/>
      <c r="J127" s="3" t="str">
        <f t="shared" si="7"/>
        <v>No</v>
      </c>
      <c r="K127" s="5"/>
      <c r="L127" s="5"/>
    </row>
    <row r="128" spans="1:12">
      <c r="A128" s="6" t="str">
        <f>IF(AND(Sufficient_data="Yes",Include_study?="Yes"),COUNT(A$2:A127)+1,"")</f>
        <v/>
      </c>
      <c r="B128" s="12"/>
      <c r="C128" s="5" t="s">
        <v>20</v>
      </c>
      <c r="D128" s="5"/>
      <c r="E128" s="5"/>
      <c r="F128" s="5"/>
      <c r="G128" s="5"/>
      <c r="H128" s="5"/>
      <c r="I128" s="5"/>
      <c r="J128" s="3" t="str">
        <f t="shared" si="7"/>
        <v>No</v>
      </c>
      <c r="K128" s="5"/>
      <c r="L128" s="5"/>
    </row>
    <row r="129" spans="1:12">
      <c r="A129" s="6" t="str">
        <f>IF(AND(Sufficient_data="Yes",Include_study?="Yes"),COUNT(A$2:A128)+1,"")</f>
        <v/>
      </c>
      <c r="B129" s="12"/>
      <c r="C129" s="5" t="s">
        <v>20</v>
      </c>
      <c r="D129" s="5"/>
      <c r="E129" s="5"/>
      <c r="F129" s="5"/>
      <c r="G129" s="5"/>
      <c r="H129" s="5"/>
      <c r="I129" s="5"/>
      <c r="J129" s="3" t="str">
        <f t="shared" si="7"/>
        <v>No</v>
      </c>
      <c r="K129" s="5"/>
      <c r="L129" s="5"/>
    </row>
    <row r="130" spans="1:12">
      <c r="A130" s="6" t="str">
        <f>IF(AND(Sufficient_data="Yes",Include_study?="Yes"),COUNT(A$2:A129)+1,"")</f>
        <v/>
      </c>
      <c r="B130" s="12"/>
      <c r="C130" s="5" t="s">
        <v>20</v>
      </c>
      <c r="D130" s="5"/>
      <c r="E130" s="5"/>
      <c r="F130" s="5"/>
      <c r="G130" s="5"/>
      <c r="H130" s="5"/>
      <c r="I130" s="5"/>
      <c r="J130" s="3" t="str">
        <f t="shared" si="7"/>
        <v>No</v>
      </c>
      <c r="K130" s="5"/>
      <c r="L130" s="5"/>
    </row>
    <row r="131" spans="1:12">
      <c r="A131" s="6" t="str">
        <f>IF(AND(Sufficient_data="Yes",Include_study?="Yes"),COUNT(A$2:A130)+1,"")</f>
        <v/>
      </c>
      <c r="B131" s="12"/>
      <c r="C131" s="5" t="s">
        <v>20</v>
      </c>
      <c r="D131" s="5"/>
      <c r="E131" s="5"/>
      <c r="F131" s="5"/>
      <c r="G131" s="5"/>
      <c r="H131" s="5"/>
      <c r="I131" s="5"/>
      <c r="J131" s="3" t="str">
        <f t="shared" si="7"/>
        <v>No</v>
      </c>
      <c r="K131" s="5"/>
      <c r="L131" s="5"/>
    </row>
    <row r="132" spans="1:12">
      <c r="A132" s="6" t="str">
        <f>IF(AND(Sufficient_data="Yes",Include_study?="Yes"),COUNT(A$2:A131)+1,"")</f>
        <v/>
      </c>
      <c r="B132" s="12"/>
      <c r="C132" s="5" t="s">
        <v>20</v>
      </c>
      <c r="D132" s="5"/>
      <c r="E132" s="5"/>
      <c r="F132" s="5"/>
      <c r="G132" s="5"/>
      <c r="H132" s="5"/>
      <c r="I132" s="5"/>
      <c r="J132" s="3" t="str">
        <f t="shared" si="7"/>
        <v>No</v>
      </c>
      <c r="K132" s="5"/>
      <c r="L132" s="5"/>
    </row>
    <row r="133" spans="1:12">
      <c r="A133" s="6" t="str">
        <f>IF(AND(Sufficient_data="Yes",Include_study?="Yes"),COUNT(A$2:A132)+1,"")</f>
        <v/>
      </c>
      <c r="B133" s="12"/>
      <c r="C133" s="5" t="s">
        <v>20</v>
      </c>
      <c r="D133" s="5"/>
      <c r="E133" s="5"/>
      <c r="F133" s="5"/>
      <c r="G133" s="5"/>
      <c r="H133" s="5"/>
      <c r="I133" s="5"/>
      <c r="J133" s="3" t="str">
        <f t="shared" si="7"/>
        <v>No</v>
      </c>
      <c r="K133" s="5"/>
      <c r="L133" s="5"/>
    </row>
    <row r="134" spans="1:12">
      <c r="A134" s="6" t="str">
        <f>IF(AND(Sufficient_data="Yes",Include_study?="Yes"),COUNT(A$2:A133)+1,"")</f>
        <v/>
      </c>
      <c r="B134" s="12"/>
      <c r="C134" s="5" t="s">
        <v>20</v>
      </c>
      <c r="D134" s="5"/>
      <c r="E134" s="5"/>
      <c r="F134" s="5"/>
      <c r="G134" s="5"/>
      <c r="H134" s="5"/>
      <c r="I134" s="5"/>
      <c r="J134" s="3" t="str">
        <f t="shared" si="7"/>
        <v>No</v>
      </c>
      <c r="K134" s="5"/>
      <c r="L134" s="5"/>
    </row>
    <row r="135" spans="1:12">
      <c r="A135" s="6" t="str">
        <f>IF(AND(Sufficient_data="Yes",Include_study?="Yes"),COUNT(A$2:A134)+1,"")</f>
        <v/>
      </c>
      <c r="B135" s="12"/>
      <c r="C135" s="5" t="s">
        <v>20</v>
      </c>
      <c r="D135" s="5"/>
      <c r="E135" s="5"/>
      <c r="F135" s="5"/>
      <c r="G135" s="5"/>
      <c r="H135" s="5"/>
      <c r="I135" s="5"/>
      <c r="J135" s="3" t="str">
        <f t="shared" si="7"/>
        <v>No</v>
      </c>
      <c r="K135" s="5"/>
      <c r="L135" s="5"/>
    </row>
    <row r="136" spans="1:12">
      <c r="A136" s="6" t="str">
        <f>IF(AND(Sufficient_data="Yes",Include_study?="Yes"),COUNT(A$2:A135)+1,"")</f>
        <v/>
      </c>
      <c r="B136" s="12"/>
      <c r="C136" s="5" t="s">
        <v>20</v>
      </c>
      <c r="D136" s="5"/>
      <c r="E136" s="5"/>
      <c r="F136" s="5"/>
      <c r="G136" s="5"/>
      <c r="H136" s="5"/>
      <c r="I136" s="5"/>
      <c r="J136" s="3" t="str">
        <f t="shared" si="7"/>
        <v>No</v>
      </c>
      <c r="K136" s="5"/>
      <c r="L136" s="5"/>
    </row>
    <row r="137" spans="1:12">
      <c r="A137" s="6" t="str">
        <f>IF(AND(Sufficient_data="Yes",Include_study?="Yes"),COUNT(A$2:A136)+1,"")</f>
        <v/>
      </c>
      <c r="B137" s="12"/>
      <c r="C137" s="5" t="s">
        <v>20</v>
      </c>
      <c r="D137" s="5"/>
      <c r="E137" s="5"/>
      <c r="F137" s="5"/>
      <c r="G137" s="5"/>
      <c r="H137" s="5"/>
      <c r="I137" s="5"/>
      <c r="J137" s="3" t="str">
        <f t="shared" si="7"/>
        <v>No</v>
      </c>
      <c r="K137" s="5"/>
      <c r="L137" s="5"/>
    </row>
    <row r="138" spans="1:12">
      <c r="A138" s="6" t="str">
        <f>IF(AND(Sufficient_data="Yes",Include_study?="Yes"),COUNT(A$2:A137)+1,"")</f>
        <v/>
      </c>
      <c r="B138" s="12"/>
      <c r="C138" s="5" t="s">
        <v>20</v>
      </c>
      <c r="D138" s="5"/>
      <c r="E138" s="5"/>
      <c r="F138" s="5"/>
      <c r="G138" s="5"/>
      <c r="H138" s="5"/>
      <c r="I138" s="5"/>
      <c r="J138" s="3" t="str">
        <f t="shared" si="7"/>
        <v>No</v>
      </c>
      <c r="K138" s="5"/>
      <c r="L138" s="5"/>
    </row>
    <row r="139" spans="1:12">
      <c r="A139" s="6" t="str">
        <f>IF(AND(Sufficient_data="Yes",Include_study?="Yes"),COUNT(A$2:A138)+1,"")</f>
        <v/>
      </c>
      <c r="B139" s="12"/>
      <c r="C139" s="5" t="s">
        <v>20</v>
      </c>
      <c r="D139" s="5"/>
      <c r="E139" s="5"/>
      <c r="F139" s="5"/>
      <c r="G139" s="5"/>
      <c r="H139" s="5"/>
      <c r="I139" s="5"/>
      <c r="J139" s="3" t="str">
        <f t="shared" si="7"/>
        <v>No</v>
      </c>
      <c r="K139" s="5"/>
      <c r="L139" s="5"/>
    </row>
    <row r="140" spans="1:12">
      <c r="A140" s="6" t="str">
        <f>IF(AND(Sufficient_data="Yes",Include_study?="Yes"),COUNT(A$2:A139)+1,"")</f>
        <v/>
      </c>
      <c r="B140" s="12"/>
      <c r="C140" s="5" t="s">
        <v>20</v>
      </c>
      <c r="D140" s="5"/>
      <c r="E140" s="5"/>
      <c r="F140" s="5"/>
      <c r="G140" s="5"/>
      <c r="H140" s="5"/>
      <c r="I140" s="5"/>
      <c r="J140" s="3" t="str">
        <f t="shared" si="7"/>
        <v>No</v>
      </c>
      <c r="K140" s="5"/>
      <c r="L140" s="5"/>
    </row>
    <row r="141" spans="1:12">
      <c r="A141" s="6" t="str">
        <f>IF(AND(Sufficient_data="Yes",Include_study?="Yes"),COUNT(A$2:A140)+1,"")</f>
        <v/>
      </c>
      <c r="B141" s="12"/>
      <c r="C141" s="5" t="s">
        <v>20</v>
      </c>
      <c r="D141" s="5"/>
      <c r="E141" s="5"/>
      <c r="F141" s="5"/>
      <c r="G141" s="5"/>
      <c r="H141" s="5"/>
      <c r="I141" s="5"/>
      <c r="J141" s="3" t="str">
        <f t="shared" si="7"/>
        <v>No</v>
      </c>
      <c r="K141" s="5"/>
      <c r="L141" s="5"/>
    </row>
    <row r="142" spans="1:12">
      <c r="A142" s="6" t="str">
        <f>IF(AND(Sufficient_data="Yes",Include_study?="Yes"),COUNT(A$2:A141)+1,"")</f>
        <v/>
      </c>
      <c r="B142" s="12"/>
      <c r="C142" s="5" t="s">
        <v>20</v>
      </c>
      <c r="D142" s="5"/>
      <c r="E142" s="5"/>
      <c r="F142" s="5"/>
      <c r="G142" s="5"/>
      <c r="H142" s="5"/>
      <c r="I142" s="5"/>
      <c r="J142" s="3" t="str">
        <f t="shared" si="7"/>
        <v>No</v>
      </c>
      <c r="K142" s="5"/>
      <c r="L142" s="5"/>
    </row>
    <row r="143" spans="1:12">
      <c r="A143" s="6" t="str">
        <f>IF(AND(Sufficient_data="Yes",Include_study?="Yes"),COUNT(A$2:A142)+1,"")</f>
        <v/>
      </c>
      <c r="B143" s="12"/>
      <c r="C143" s="5" t="s">
        <v>20</v>
      </c>
      <c r="D143" s="5"/>
      <c r="E143" s="5"/>
      <c r="F143" s="5"/>
      <c r="G143" s="5"/>
      <c r="H143" s="5"/>
      <c r="I143" s="5"/>
      <c r="J143" s="3" t="str">
        <f t="shared" si="7"/>
        <v>No</v>
      </c>
      <c r="K143" s="5"/>
      <c r="L143" s="5"/>
    </row>
    <row r="144" spans="1:12">
      <c r="A144" s="6" t="str">
        <f>IF(AND(Sufficient_data="Yes",Include_study?="Yes"),COUNT(A$2:A143)+1,"")</f>
        <v/>
      </c>
      <c r="B144" s="12"/>
      <c r="C144" s="5" t="s">
        <v>20</v>
      </c>
      <c r="D144" s="5"/>
      <c r="E144" s="5"/>
      <c r="F144" s="5"/>
      <c r="G144" s="5"/>
      <c r="H144" s="5"/>
      <c r="I144" s="5"/>
      <c r="J144" s="3" t="str">
        <f t="shared" ref="J144:J175" si="8">IF(AND(OR(AND(a_&lt;&gt;"",b_&lt;&gt;""),AND(OR(a_&lt;&gt;"",b_&lt;&gt;""),n1_&lt;&gt;"")),OR(AND(c_&lt;&gt;"",d_&lt;&gt;""),AND(OR(c_&lt;&gt;"",d_&lt;&gt;""),n2_&lt;&gt;""))),"Yes","No")</f>
        <v>No</v>
      </c>
      <c r="K144" s="5"/>
      <c r="L144" s="5"/>
    </row>
    <row r="145" spans="1:12">
      <c r="A145" s="6" t="str">
        <f>IF(AND(Sufficient_data="Yes",Include_study?="Yes"),COUNT(A$2:A144)+1,"")</f>
        <v/>
      </c>
      <c r="B145" s="12"/>
      <c r="C145" s="5" t="s">
        <v>20</v>
      </c>
      <c r="D145" s="5"/>
      <c r="E145" s="5"/>
      <c r="F145" s="5"/>
      <c r="G145" s="5"/>
      <c r="H145" s="5"/>
      <c r="I145" s="5"/>
      <c r="J145" s="3" t="str">
        <f t="shared" si="8"/>
        <v>No</v>
      </c>
      <c r="K145" s="5"/>
      <c r="L145" s="5"/>
    </row>
    <row r="146" spans="1:12">
      <c r="A146" s="6" t="str">
        <f>IF(AND(Sufficient_data="Yes",Include_study?="Yes"),COUNT(A$2:A145)+1,"")</f>
        <v/>
      </c>
      <c r="B146" s="12"/>
      <c r="C146" s="5" t="s">
        <v>20</v>
      </c>
      <c r="D146" s="5"/>
      <c r="E146" s="5"/>
      <c r="F146" s="5"/>
      <c r="G146" s="5"/>
      <c r="H146" s="5"/>
      <c r="I146" s="5"/>
      <c r="J146" s="3" t="str">
        <f t="shared" si="8"/>
        <v>No</v>
      </c>
      <c r="K146" s="5"/>
      <c r="L146" s="5"/>
    </row>
    <row r="147" spans="1:12">
      <c r="A147" s="6" t="str">
        <f>IF(AND(Sufficient_data="Yes",Include_study?="Yes"),COUNT(A$2:A146)+1,"")</f>
        <v/>
      </c>
      <c r="B147" s="12"/>
      <c r="C147" s="5" t="s">
        <v>20</v>
      </c>
      <c r="D147" s="5"/>
      <c r="E147" s="5"/>
      <c r="F147" s="5"/>
      <c r="G147" s="5"/>
      <c r="H147" s="5"/>
      <c r="I147" s="5"/>
      <c r="J147" s="3" t="str">
        <f t="shared" si="8"/>
        <v>No</v>
      </c>
      <c r="K147" s="5"/>
      <c r="L147" s="5"/>
    </row>
    <row r="148" spans="1:12">
      <c r="A148" s="6" t="str">
        <f>IF(AND(Sufficient_data="Yes",Include_study?="Yes"),COUNT(A$2:A147)+1,"")</f>
        <v/>
      </c>
      <c r="B148" s="12"/>
      <c r="C148" s="5" t="s">
        <v>20</v>
      </c>
      <c r="D148" s="5"/>
      <c r="E148" s="5"/>
      <c r="F148" s="5"/>
      <c r="G148" s="5"/>
      <c r="H148" s="5"/>
      <c r="I148" s="5"/>
      <c r="J148" s="3" t="str">
        <f t="shared" si="8"/>
        <v>No</v>
      </c>
      <c r="K148" s="5"/>
      <c r="L148" s="5"/>
    </row>
    <row r="149" spans="1:12">
      <c r="A149" s="6" t="str">
        <f>IF(AND(Sufficient_data="Yes",Include_study?="Yes"),COUNT(A$2:A148)+1,"")</f>
        <v/>
      </c>
      <c r="B149" s="12"/>
      <c r="C149" s="5" t="s">
        <v>20</v>
      </c>
      <c r="D149" s="5"/>
      <c r="E149" s="5"/>
      <c r="F149" s="5"/>
      <c r="G149" s="5"/>
      <c r="H149" s="5"/>
      <c r="I149" s="5"/>
      <c r="J149" s="3" t="str">
        <f t="shared" si="8"/>
        <v>No</v>
      </c>
      <c r="K149" s="5"/>
      <c r="L149" s="5"/>
    </row>
    <row r="150" spans="1:12">
      <c r="A150" s="6" t="str">
        <f>IF(AND(Sufficient_data="Yes",Include_study?="Yes"),COUNT(A$2:A149)+1,"")</f>
        <v/>
      </c>
      <c r="B150" s="12"/>
      <c r="C150" s="5" t="s">
        <v>20</v>
      </c>
      <c r="D150" s="5"/>
      <c r="E150" s="5"/>
      <c r="F150" s="5"/>
      <c r="G150" s="5"/>
      <c r="H150" s="5"/>
      <c r="I150" s="5"/>
      <c r="J150" s="3" t="str">
        <f t="shared" si="8"/>
        <v>No</v>
      </c>
      <c r="K150" s="5"/>
      <c r="L150" s="5"/>
    </row>
    <row r="151" spans="1:12">
      <c r="A151" s="6" t="str">
        <f>IF(AND(Sufficient_data="Yes",Include_study?="Yes"),COUNT(A$2:A150)+1,"")</f>
        <v/>
      </c>
      <c r="B151" s="12"/>
      <c r="C151" s="5" t="s">
        <v>20</v>
      </c>
      <c r="D151" s="5"/>
      <c r="E151" s="5"/>
      <c r="F151" s="5"/>
      <c r="G151" s="5"/>
      <c r="H151" s="5"/>
      <c r="I151" s="5"/>
      <c r="J151" s="3" t="str">
        <f t="shared" si="8"/>
        <v>No</v>
      </c>
      <c r="K151" s="5"/>
      <c r="L151" s="5"/>
    </row>
    <row r="152" spans="1:12">
      <c r="A152" s="6" t="str">
        <f>IF(AND(Sufficient_data="Yes",Include_study?="Yes"),COUNT(A$2:A151)+1,"")</f>
        <v/>
      </c>
      <c r="B152" s="12"/>
      <c r="C152" s="5" t="s">
        <v>20</v>
      </c>
      <c r="D152" s="5"/>
      <c r="E152" s="5"/>
      <c r="F152" s="5"/>
      <c r="G152" s="5"/>
      <c r="H152" s="5"/>
      <c r="I152" s="5"/>
      <c r="J152" s="3" t="str">
        <f t="shared" si="8"/>
        <v>No</v>
      </c>
      <c r="K152" s="5"/>
      <c r="L152" s="5"/>
    </row>
    <row r="153" spans="1:12">
      <c r="A153" s="6" t="str">
        <f>IF(AND(Sufficient_data="Yes",Include_study?="Yes"),COUNT(A$2:A152)+1,"")</f>
        <v/>
      </c>
      <c r="B153" s="12"/>
      <c r="C153" s="5" t="s">
        <v>20</v>
      </c>
      <c r="D153" s="5"/>
      <c r="E153" s="5"/>
      <c r="F153" s="5"/>
      <c r="G153" s="5"/>
      <c r="H153" s="5"/>
      <c r="I153" s="5"/>
      <c r="J153" s="3" t="str">
        <f t="shared" si="8"/>
        <v>No</v>
      </c>
      <c r="K153" s="5"/>
      <c r="L153" s="5"/>
    </row>
    <row r="154" spans="1:12">
      <c r="A154" s="6" t="str">
        <f>IF(AND(Sufficient_data="Yes",Include_study?="Yes"),COUNT(A$2:A153)+1,"")</f>
        <v/>
      </c>
      <c r="B154" s="12"/>
      <c r="C154" s="5" t="s">
        <v>20</v>
      </c>
      <c r="D154" s="5"/>
      <c r="E154" s="5"/>
      <c r="F154" s="5"/>
      <c r="G154" s="5"/>
      <c r="H154" s="5"/>
      <c r="I154" s="5"/>
      <c r="J154" s="3" t="str">
        <f t="shared" si="8"/>
        <v>No</v>
      </c>
      <c r="K154" s="5"/>
      <c r="L154" s="5"/>
    </row>
    <row r="155" spans="1:12">
      <c r="A155" s="6" t="str">
        <f>IF(AND(Sufficient_data="Yes",Include_study?="Yes"),COUNT(A$2:A154)+1,"")</f>
        <v/>
      </c>
      <c r="B155" s="12"/>
      <c r="C155" s="5" t="s">
        <v>20</v>
      </c>
      <c r="D155" s="5"/>
      <c r="E155" s="5"/>
      <c r="F155" s="5"/>
      <c r="G155" s="5"/>
      <c r="H155" s="5"/>
      <c r="I155" s="5"/>
      <c r="J155" s="3" t="str">
        <f t="shared" si="8"/>
        <v>No</v>
      </c>
      <c r="K155" s="5"/>
      <c r="L155" s="5"/>
    </row>
    <row r="156" spans="1:12">
      <c r="A156" s="6" t="str">
        <f>IF(AND(Sufficient_data="Yes",Include_study?="Yes"),COUNT(A$2:A155)+1,"")</f>
        <v/>
      </c>
      <c r="B156" s="12"/>
      <c r="C156" s="5" t="s">
        <v>20</v>
      </c>
      <c r="D156" s="5"/>
      <c r="E156" s="5"/>
      <c r="F156" s="5"/>
      <c r="G156" s="5"/>
      <c r="H156" s="5"/>
      <c r="I156" s="5"/>
      <c r="J156" s="3" t="str">
        <f t="shared" si="8"/>
        <v>No</v>
      </c>
      <c r="K156" s="5"/>
      <c r="L156" s="5"/>
    </row>
    <row r="157" spans="1:12">
      <c r="A157" s="6" t="str">
        <f>IF(AND(Sufficient_data="Yes",Include_study?="Yes"),COUNT(A$2:A156)+1,"")</f>
        <v/>
      </c>
      <c r="B157" s="12"/>
      <c r="C157" s="5" t="s">
        <v>20</v>
      </c>
      <c r="D157" s="5"/>
      <c r="E157" s="5"/>
      <c r="F157" s="5"/>
      <c r="G157" s="5"/>
      <c r="H157" s="5"/>
      <c r="I157" s="5"/>
      <c r="J157" s="3" t="str">
        <f t="shared" si="8"/>
        <v>No</v>
      </c>
      <c r="K157" s="5"/>
      <c r="L157" s="5"/>
    </row>
    <row r="158" spans="1:12">
      <c r="A158" s="6" t="str">
        <f>IF(AND(Sufficient_data="Yes",Include_study?="Yes"),COUNT(A$2:A157)+1,"")</f>
        <v/>
      </c>
      <c r="B158" s="12"/>
      <c r="C158" s="5" t="s">
        <v>20</v>
      </c>
      <c r="D158" s="5"/>
      <c r="E158" s="5"/>
      <c r="F158" s="5"/>
      <c r="G158" s="5"/>
      <c r="H158" s="5"/>
      <c r="I158" s="5"/>
      <c r="J158" s="3" t="str">
        <f t="shared" si="8"/>
        <v>No</v>
      </c>
      <c r="K158" s="5"/>
      <c r="L158" s="5"/>
    </row>
    <row r="159" spans="1:12">
      <c r="A159" s="6" t="str">
        <f>IF(AND(Sufficient_data="Yes",Include_study?="Yes"),COUNT(A$2:A158)+1,"")</f>
        <v/>
      </c>
      <c r="B159" s="12"/>
      <c r="C159" s="5" t="s">
        <v>20</v>
      </c>
      <c r="D159" s="5"/>
      <c r="E159" s="5"/>
      <c r="F159" s="5"/>
      <c r="G159" s="5"/>
      <c r="H159" s="5"/>
      <c r="I159" s="5"/>
      <c r="J159" s="3" t="str">
        <f t="shared" si="8"/>
        <v>No</v>
      </c>
      <c r="K159" s="5"/>
      <c r="L159" s="5"/>
    </row>
    <row r="160" spans="1:12">
      <c r="A160" s="6" t="str">
        <f>IF(AND(Sufficient_data="Yes",Include_study?="Yes"),COUNT(A$2:A159)+1,"")</f>
        <v/>
      </c>
      <c r="B160" s="12"/>
      <c r="C160" s="5" t="s">
        <v>20</v>
      </c>
      <c r="D160" s="5"/>
      <c r="E160" s="5"/>
      <c r="F160" s="5"/>
      <c r="G160" s="5"/>
      <c r="H160" s="5"/>
      <c r="I160" s="5"/>
      <c r="J160" s="3" t="str">
        <f t="shared" si="8"/>
        <v>No</v>
      </c>
      <c r="K160" s="5"/>
      <c r="L160" s="5"/>
    </row>
    <row r="161" spans="1:12">
      <c r="A161" s="6" t="str">
        <f>IF(AND(Sufficient_data="Yes",Include_study?="Yes"),COUNT(A$2:A160)+1,"")</f>
        <v/>
      </c>
      <c r="B161" s="12"/>
      <c r="C161" s="5" t="s">
        <v>20</v>
      </c>
      <c r="D161" s="5"/>
      <c r="E161" s="5"/>
      <c r="F161" s="5"/>
      <c r="G161" s="5"/>
      <c r="H161" s="5"/>
      <c r="I161" s="5"/>
      <c r="J161" s="3" t="str">
        <f t="shared" si="8"/>
        <v>No</v>
      </c>
      <c r="K161" s="5"/>
      <c r="L161" s="5"/>
    </row>
    <row r="162" spans="1:12">
      <c r="A162" s="6" t="str">
        <f>IF(AND(Sufficient_data="Yes",Include_study?="Yes"),COUNT(A$2:A161)+1,"")</f>
        <v/>
      </c>
      <c r="B162" s="12"/>
      <c r="C162" s="5" t="s">
        <v>20</v>
      </c>
      <c r="D162" s="5"/>
      <c r="E162" s="5"/>
      <c r="F162" s="5"/>
      <c r="G162" s="5"/>
      <c r="H162" s="5"/>
      <c r="I162" s="5"/>
      <c r="J162" s="3" t="str">
        <f t="shared" si="8"/>
        <v>No</v>
      </c>
      <c r="K162" s="5"/>
      <c r="L162" s="5"/>
    </row>
    <row r="163" spans="1:12">
      <c r="A163" s="6" t="str">
        <f>IF(AND(Sufficient_data="Yes",Include_study?="Yes"),COUNT(A$2:A162)+1,"")</f>
        <v/>
      </c>
      <c r="B163" s="12"/>
      <c r="C163" s="5" t="s">
        <v>20</v>
      </c>
      <c r="D163" s="5"/>
      <c r="E163" s="5"/>
      <c r="F163" s="5"/>
      <c r="G163" s="5"/>
      <c r="H163" s="5"/>
      <c r="I163" s="5"/>
      <c r="J163" s="3" t="str">
        <f t="shared" si="8"/>
        <v>No</v>
      </c>
      <c r="K163" s="5"/>
      <c r="L163" s="5"/>
    </row>
    <row r="164" spans="1:12">
      <c r="A164" s="6" t="str">
        <f>IF(AND(Sufficient_data="Yes",Include_study?="Yes"),COUNT(A$2:A163)+1,"")</f>
        <v/>
      </c>
      <c r="B164" s="12"/>
      <c r="C164" s="5" t="s">
        <v>20</v>
      </c>
      <c r="D164" s="5"/>
      <c r="E164" s="5"/>
      <c r="F164" s="5"/>
      <c r="G164" s="5"/>
      <c r="H164" s="5"/>
      <c r="I164" s="5"/>
      <c r="J164" s="3" t="str">
        <f t="shared" si="8"/>
        <v>No</v>
      </c>
      <c r="K164" s="5"/>
      <c r="L164" s="5"/>
    </row>
    <row r="165" spans="1:12">
      <c r="A165" s="6" t="str">
        <f>IF(AND(Sufficient_data="Yes",Include_study?="Yes"),COUNT(A$2:A164)+1,"")</f>
        <v/>
      </c>
      <c r="B165" s="12"/>
      <c r="C165" s="5" t="s">
        <v>20</v>
      </c>
      <c r="D165" s="5"/>
      <c r="E165" s="5"/>
      <c r="F165" s="5"/>
      <c r="G165" s="5"/>
      <c r="H165" s="5"/>
      <c r="I165" s="5"/>
      <c r="J165" s="3" t="str">
        <f t="shared" si="8"/>
        <v>No</v>
      </c>
      <c r="K165" s="5"/>
      <c r="L165" s="5"/>
    </row>
    <row r="166" spans="1:12">
      <c r="A166" s="6" t="str">
        <f>IF(AND(Sufficient_data="Yes",Include_study?="Yes"),COUNT(A$2:A165)+1,"")</f>
        <v/>
      </c>
      <c r="B166" s="12"/>
      <c r="C166" s="5" t="s">
        <v>20</v>
      </c>
      <c r="D166" s="5"/>
      <c r="E166" s="5"/>
      <c r="F166" s="5"/>
      <c r="G166" s="5"/>
      <c r="H166" s="5"/>
      <c r="I166" s="5"/>
      <c r="J166" s="3" t="str">
        <f t="shared" si="8"/>
        <v>No</v>
      </c>
      <c r="K166" s="5"/>
      <c r="L166" s="5"/>
    </row>
    <row r="167" spans="1:12">
      <c r="A167" s="6" t="str">
        <f>IF(AND(Sufficient_data="Yes",Include_study?="Yes"),COUNT(A$2:A166)+1,"")</f>
        <v/>
      </c>
      <c r="B167" s="12"/>
      <c r="C167" s="5" t="s">
        <v>20</v>
      </c>
      <c r="D167" s="5"/>
      <c r="E167" s="5"/>
      <c r="F167" s="5"/>
      <c r="G167" s="5"/>
      <c r="H167" s="5"/>
      <c r="I167" s="5"/>
      <c r="J167" s="3" t="str">
        <f t="shared" si="8"/>
        <v>No</v>
      </c>
      <c r="K167" s="5"/>
      <c r="L167" s="5"/>
    </row>
    <row r="168" spans="1:12">
      <c r="A168" s="6" t="str">
        <f>IF(AND(Sufficient_data="Yes",Include_study?="Yes"),COUNT(A$2:A167)+1,"")</f>
        <v/>
      </c>
      <c r="B168" s="12"/>
      <c r="C168" s="5" t="s">
        <v>20</v>
      </c>
      <c r="D168" s="5"/>
      <c r="E168" s="5"/>
      <c r="F168" s="5"/>
      <c r="G168" s="5"/>
      <c r="H168" s="5"/>
      <c r="I168" s="5"/>
      <c r="J168" s="3" t="str">
        <f t="shared" si="8"/>
        <v>No</v>
      </c>
      <c r="K168" s="5"/>
      <c r="L168" s="5"/>
    </row>
    <row r="169" spans="1:12">
      <c r="A169" s="6" t="str">
        <f>IF(AND(Sufficient_data="Yes",Include_study?="Yes"),COUNT(A$2:A168)+1,"")</f>
        <v/>
      </c>
      <c r="B169" s="12"/>
      <c r="C169" s="5" t="s">
        <v>20</v>
      </c>
      <c r="D169" s="5"/>
      <c r="E169" s="5"/>
      <c r="F169" s="5"/>
      <c r="G169" s="5"/>
      <c r="H169" s="5"/>
      <c r="I169" s="5"/>
      <c r="J169" s="3" t="str">
        <f t="shared" si="8"/>
        <v>No</v>
      </c>
      <c r="K169" s="5"/>
      <c r="L169" s="5"/>
    </row>
    <row r="170" spans="1:12">
      <c r="A170" s="6" t="str">
        <f>IF(AND(Sufficient_data="Yes",Include_study?="Yes"),COUNT(A$2:A169)+1,"")</f>
        <v/>
      </c>
      <c r="B170" s="12"/>
      <c r="C170" s="5" t="s">
        <v>20</v>
      </c>
      <c r="D170" s="5"/>
      <c r="E170" s="5"/>
      <c r="F170" s="5"/>
      <c r="G170" s="5"/>
      <c r="H170" s="5"/>
      <c r="I170" s="5"/>
      <c r="J170" s="3" t="str">
        <f t="shared" si="8"/>
        <v>No</v>
      </c>
      <c r="K170" s="5"/>
      <c r="L170" s="5"/>
    </row>
    <row r="171" spans="1:12">
      <c r="A171" s="6" t="str">
        <f>IF(AND(Sufficient_data="Yes",Include_study?="Yes"),COUNT(A$2:A170)+1,"")</f>
        <v/>
      </c>
      <c r="B171" s="12"/>
      <c r="C171" s="5" t="s">
        <v>20</v>
      </c>
      <c r="D171" s="5"/>
      <c r="E171" s="5"/>
      <c r="F171" s="5"/>
      <c r="G171" s="5"/>
      <c r="H171" s="5"/>
      <c r="I171" s="5"/>
      <c r="J171" s="3" t="str">
        <f t="shared" si="8"/>
        <v>No</v>
      </c>
      <c r="K171" s="5"/>
      <c r="L171" s="5"/>
    </row>
    <row r="172" spans="1:12">
      <c r="A172" s="6" t="str">
        <f>IF(AND(Sufficient_data="Yes",Include_study?="Yes"),COUNT(A$2:A171)+1,"")</f>
        <v/>
      </c>
      <c r="B172" s="12"/>
      <c r="C172" s="5" t="s">
        <v>20</v>
      </c>
      <c r="D172" s="5"/>
      <c r="E172" s="5"/>
      <c r="F172" s="5"/>
      <c r="G172" s="5"/>
      <c r="H172" s="5"/>
      <c r="I172" s="5"/>
      <c r="J172" s="3" t="str">
        <f t="shared" si="8"/>
        <v>No</v>
      </c>
      <c r="K172" s="5"/>
      <c r="L172" s="5"/>
    </row>
    <row r="173" spans="1:12">
      <c r="A173" s="6" t="str">
        <f>IF(AND(Sufficient_data="Yes",Include_study?="Yes"),COUNT(A$2:A172)+1,"")</f>
        <v/>
      </c>
      <c r="B173" s="12"/>
      <c r="C173" s="5" t="s">
        <v>20</v>
      </c>
      <c r="D173" s="5"/>
      <c r="E173" s="5"/>
      <c r="F173" s="5"/>
      <c r="G173" s="5"/>
      <c r="H173" s="5"/>
      <c r="I173" s="5"/>
      <c r="J173" s="3" t="str">
        <f t="shared" si="8"/>
        <v>No</v>
      </c>
      <c r="K173" s="5"/>
      <c r="L173" s="5"/>
    </row>
    <row r="174" spans="1:12">
      <c r="A174" s="6" t="str">
        <f>IF(AND(Sufficient_data="Yes",Include_study?="Yes"),COUNT(A$2:A173)+1,"")</f>
        <v/>
      </c>
      <c r="B174" s="12"/>
      <c r="C174" s="5" t="s">
        <v>20</v>
      </c>
      <c r="D174" s="5"/>
      <c r="E174" s="5"/>
      <c r="F174" s="5"/>
      <c r="G174" s="5"/>
      <c r="H174" s="5"/>
      <c r="I174" s="5"/>
      <c r="J174" s="3" t="str">
        <f t="shared" si="8"/>
        <v>No</v>
      </c>
      <c r="K174" s="5"/>
      <c r="L174" s="5"/>
    </row>
    <row r="175" spans="1:12">
      <c r="A175" s="6" t="str">
        <f>IF(AND(Sufficient_data="Yes",Include_study?="Yes"),COUNT(A$2:A174)+1,"")</f>
        <v/>
      </c>
      <c r="B175" s="12"/>
      <c r="C175" s="5" t="s">
        <v>20</v>
      </c>
      <c r="D175" s="5"/>
      <c r="E175" s="5"/>
      <c r="F175" s="5"/>
      <c r="G175" s="5"/>
      <c r="H175" s="5"/>
      <c r="I175" s="5"/>
      <c r="J175" s="3" t="str">
        <f t="shared" si="8"/>
        <v>No</v>
      </c>
      <c r="K175" s="5"/>
      <c r="L175" s="5"/>
    </row>
    <row r="176" spans="1:12">
      <c r="A176" s="6" t="str">
        <f>IF(AND(Sufficient_data="Yes",Include_study?="Yes"),COUNT(A$2:A175)+1,"")</f>
        <v/>
      </c>
      <c r="B176" s="12"/>
      <c r="C176" s="5" t="s">
        <v>20</v>
      </c>
      <c r="D176" s="5"/>
      <c r="E176" s="5"/>
      <c r="F176" s="5"/>
      <c r="G176" s="5"/>
      <c r="H176" s="5"/>
      <c r="I176" s="5"/>
      <c r="J176" s="3" t="str">
        <f t="shared" ref="J176:J183" si="9">IF(AND(OR(AND(a_&lt;&gt;"",b_&lt;&gt;""),AND(OR(a_&lt;&gt;"",b_&lt;&gt;""),n1_&lt;&gt;"")),OR(AND(c_&lt;&gt;"",d_&lt;&gt;""),AND(OR(c_&lt;&gt;"",d_&lt;&gt;""),n2_&lt;&gt;""))),"Yes","No")</f>
        <v>No</v>
      </c>
      <c r="K176" s="5"/>
      <c r="L176" s="5"/>
    </row>
    <row r="177" spans="1:12">
      <c r="A177" s="6" t="str">
        <f>IF(AND(Sufficient_data="Yes",Include_study?="Yes"),COUNT(A$2:A176)+1,"")</f>
        <v/>
      </c>
      <c r="B177" s="12"/>
      <c r="C177" s="5" t="s">
        <v>20</v>
      </c>
      <c r="D177" s="5"/>
      <c r="E177" s="5"/>
      <c r="F177" s="5"/>
      <c r="G177" s="5"/>
      <c r="H177" s="5"/>
      <c r="I177" s="5"/>
      <c r="J177" s="3" t="str">
        <f t="shared" si="9"/>
        <v>No</v>
      </c>
      <c r="K177" s="5"/>
      <c r="L177" s="5"/>
    </row>
    <row r="178" spans="1:12">
      <c r="A178" s="6" t="str">
        <f>IF(AND(Sufficient_data="Yes",Include_study?="Yes"),COUNT(A$2:A177)+1,"")</f>
        <v/>
      </c>
      <c r="B178" s="12"/>
      <c r="C178" s="5" t="s">
        <v>20</v>
      </c>
      <c r="D178" s="5"/>
      <c r="E178" s="5"/>
      <c r="F178" s="5"/>
      <c r="G178" s="5"/>
      <c r="H178" s="5"/>
      <c r="I178" s="5"/>
      <c r="J178" s="3" t="str">
        <f t="shared" si="9"/>
        <v>No</v>
      </c>
      <c r="K178" s="5"/>
      <c r="L178" s="5"/>
    </row>
    <row r="179" spans="1:12">
      <c r="A179" s="6" t="str">
        <f>IF(AND(Sufficient_data="Yes",Include_study?="Yes"),COUNT(A$2:A178)+1,"")</f>
        <v/>
      </c>
      <c r="B179" s="12"/>
      <c r="C179" s="5" t="s">
        <v>20</v>
      </c>
      <c r="D179" s="5"/>
      <c r="E179" s="5"/>
      <c r="F179" s="5"/>
      <c r="G179" s="5"/>
      <c r="H179" s="5"/>
      <c r="I179" s="5"/>
      <c r="J179" s="3" t="str">
        <f t="shared" si="9"/>
        <v>No</v>
      </c>
      <c r="K179" s="5"/>
      <c r="L179" s="5"/>
    </row>
    <row r="180" spans="1:12">
      <c r="A180" s="6" t="str">
        <f>IF(AND(Sufficient_data="Yes",Include_study?="Yes"),COUNT(A$2:A179)+1,"")</f>
        <v/>
      </c>
      <c r="B180" s="12"/>
      <c r="C180" s="5" t="s">
        <v>20</v>
      </c>
      <c r="D180" s="5"/>
      <c r="E180" s="5"/>
      <c r="F180" s="5"/>
      <c r="G180" s="5"/>
      <c r="H180" s="5"/>
      <c r="I180" s="5"/>
      <c r="J180" s="3" t="str">
        <f t="shared" si="9"/>
        <v>No</v>
      </c>
      <c r="K180" s="5"/>
      <c r="L180" s="5"/>
    </row>
    <row r="181" spans="1:12">
      <c r="A181" s="6" t="str">
        <f>IF(AND(Sufficient_data="Yes",Include_study?="Yes"),COUNT(A$2:A180)+1,"")</f>
        <v/>
      </c>
      <c r="B181" s="12"/>
      <c r="C181" s="5" t="s">
        <v>20</v>
      </c>
      <c r="D181" s="5"/>
      <c r="E181" s="5"/>
      <c r="F181" s="5"/>
      <c r="G181" s="5"/>
      <c r="H181" s="5"/>
      <c r="I181" s="5"/>
      <c r="J181" s="3" t="str">
        <f t="shared" si="9"/>
        <v>No</v>
      </c>
      <c r="K181" s="5"/>
      <c r="L181" s="5"/>
    </row>
    <row r="182" spans="1:12">
      <c r="A182" s="6" t="str">
        <f>IF(AND(Sufficient_data="Yes",Include_study?="Yes"),COUNT(A$2:A181)+1,"")</f>
        <v/>
      </c>
      <c r="B182" s="12"/>
      <c r="C182" s="5" t="s">
        <v>20</v>
      </c>
      <c r="D182" s="5"/>
      <c r="E182" s="5"/>
      <c r="F182" s="5"/>
      <c r="G182" s="5"/>
      <c r="H182" s="5"/>
      <c r="I182" s="5"/>
      <c r="J182" s="3" t="str">
        <f t="shared" si="9"/>
        <v>No</v>
      </c>
      <c r="K182" s="5"/>
      <c r="L182" s="5"/>
    </row>
    <row r="183" spans="1:12">
      <c r="A183" s="6" t="str">
        <f>IF(AND(Sufficient_data="Yes",Include_study?="Yes"),COUNT(A$2:A182)+1,"")</f>
        <v/>
      </c>
      <c r="B183" s="72"/>
      <c r="C183" s="73" t="s">
        <v>20</v>
      </c>
      <c r="D183" s="73"/>
      <c r="E183" s="73"/>
      <c r="F183" s="73"/>
      <c r="G183" s="73"/>
      <c r="H183" s="73"/>
      <c r="I183" s="73"/>
      <c r="J183" s="3" t="str">
        <f t="shared" si="9"/>
        <v>No</v>
      </c>
      <c r="K183" s="73"/>
      <c r="L183" s="73"/>
    </row>
  </sheetData>
  <phoneticPr fontId="24" type="noConversion"/>
  <dataValidations count="1">
    <dataValidation type="list" allowBlank="1" showInputMessage="1" showErrorMessage="1" sqref="C2:C183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zoomScaleNormal="100" workbookViewId="0">
      <pane ySplit="1" topLeftCell="E2" activePane="bottomLeft" state="frozen"/>
      <selection pane="bottomLeft" activeCell="E15" sqref="E15"/>
    </sheetView>
  </sheetViews>
  <sheetFormatPr defaultColWidth="39.1640625" defaultRowHeight="12" outlineLevelCol="1"/>
  <cols>
    <col min="1" max="1" width="31.83203125" bestFit="1" customWidth="1"/>
    <col min="2" max="2" width="22.1640625" bestFit="1" customWidth="1"/>
    <col min="3" max="3" width="3.33203125" customWidth="1"/>
    <col min="4" max="4" width="4.1640625" bestFit="1" customWidth="1"/>
    <col min="5" max="5" width="25.5" customWidth="1"/>
    <col min="6" max="6" width="9.5" bestFit="1" customWidth="1"/>
    <col min="7" max="8" width="12.5" bestFit="1" customWidth="1"/>
    <col min="9" max="9" width="7.1640625" bestFit="1" customWidth="1"/>
    <col min="10" max="10" width="10.1640625" bestFit="1" customWidth="1"/>
    <col min="11" max="11" width="24.1640625" bestFit="1" customWidth="1"/>
    <col min="12" max="12" width="100" customWidth="1" outlineLevel="1"/>
    <col min="13" max="13" width="5.5" bestFit="1" customWidth="1"/>
    <col min="14" max="14" width="100" customWidth="1" outlineLevel="1"/>
    <col min="15" max="15" width="5.5" bestFit="1" customWidth="1"/>
  </cols>
  <sheetData>
    <row r="1" spans="1:15" ht="36" customHeight="1">
      <c r="A1" s="107" t="s">
        <v>31</v>
      </c>
      <c r="B1" s="107"/>
      <c r="D1" s="1" t="s">
        <v>32</v>
      </c>
      <c r="E1" s="1" t="s">
        <v>1</v>
      </c>
      <c r="F1" s="1" t="str">
        <f>IF(Present_Effect_size_measure&lt;&gt;"",Present_Effect_size_measure,"")</f>
        <v>Odds Ratio</v>
      </c>
      <c r="G1" s="1" t="s">
        <v>33</v>
      </c>
      <c r="H1" s="1" t="s">
        <v>34</v>
      </c>
      <c r="I1" s="1" t="s">
        <v>35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>
      <c r="A2" s="3" t="s">
        <v>36</v>
      </c>
      <c r="B2" s="5" t="s">
        <v>37</v>
      </c>
      <c r="D2" s="47">
        <v>1</v>
      </c>
      <c r="E2" s="16" t="str">
        <f>IF(Number&lt;=COUNT(Entry_number),INDEX(Lookup_table,MATCH(Number,Calculations!AK:AK,0),3),"")</f>
        <v>Law et al.</v>
      </c>
      <c r="F2" s="4">
        <f>IF(Ranked_number&lt;=COUNT(Entry_number),INDEX(Lookup_table,MATCH(Number,Calculations!AK:AK,0),5),"")</f>
        <v>0.82321869216533006</v>
      </c>
      <c r="G2" s="4">
        <f>IF(Ranked_number&lt;=COUNT(Entry_number),INDEX(Lookup_table,MATCH(Number,Calculations!AK:AK,0),9),"")</f>
        <v>0.59315721541009148</v>
      </c>
      <c r="H2" s="4">
        <f>IF(Ranked_number&lt;=COUNT(Entry_number),INDEX(Lookup_table,MATCH(Number,Calculations!AK:AK,0),10),"")</f>
        <v>1.142511626806836</v>
      </c>
      <c r="I2" s="8">
        <f>IF(D2&lt;=COUNT(Entry_number),INDEX(Lookup_table,MATCH(Number,Calculations!AK:AK,0),11),"")</f>
        <v>9.8051786231727417E-2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38</v>
      </c>
      <c r="M2" s="122" t="s">
        <v>39</v>
      </c>
      <c r="O2" s="123" t="s">
        <v>40</v>
      </c>
    </row>
    <row r="3" spans="1:15">
      <c r="A3" s="3" t="s">
        <v>41</v>
      </c>
      <c r="B3" s="29">
        <v>0.95</v>
      </c>
      <c r="D3" s="48">
        <v>2</v>
      </c>
      <c r="E3" s="16" t="str">
        <f>IF(Number&lt;=COUNT(Entry_number),INDEX(Lookup_table,MATCH(Number,Calculations!AK:AK,0),3),"")</f>
        <v>Zou et al.</v>
      </c>
      <c r="F3" s="4">
        <f>IF(Ranked_number&lt;=COUNT(Entry_number),INDEX(Lookup_table,MATCH(Number,Calculations!AK:AK,0),5),"")</f>
        <v>0.74971007428821135</v>
      </c>
      <c r="G3" s="4">
        <f>IF(Ranked_number&lt;=COUNT(Entry_number),INDEX(Lookup_table,MATCH(Number,Calculations!AK:AK,0),9),"")</f>
        <v>0.5145776958373327</v>
      </c>
      <c r="H3" s="4">
        <f>IF(Ranked_number&lt;=COUNT(Entry_number),INDEX(Lookup_table,MATCH(Number,Calculations!AK:AK,0),10),"")</f>
        <v>1.0922844111512255</v>
      </c>
      <c r="I3" s="8">
        <f>IF(D3&lt;=COUNT(Entry_number),INDEX(Lookup_table,MATCH(Number,Calculations!AK:AK,0),11),"")</f>
        <v>8.6332721527605752E-2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22"/>
      <c r="O3" s="123"/>
    </row>
    <row r="4" spans="1:15">
      <c r="D4" s="48">
        <v>3</v>
      </c>
      <c r="E4" s="16" t="str">
        <f>IF(Number&lt;=COUNT(Entry_number),INDEX(Lookup_table,MATCH(Number,Calculations!AK:AK,0),3),"")</f>
        <v xml:space="preserve">Wang et al. </v>
      </c>
      <c r="F4" s="4">
        <f>IF(Ranked_number&lt;=COUNT(Entry_number),INDEX(Lookup_table,MATCH(Number,Calculations!AK:AK,0),5),"")</f>
        <v>0.80957489074294797</v>
      </c>
      <c r="G4" s="4">
        <f>IF(Ranked_number&lt;=COUNT(Entry_number),INDEX(Lookup_table,MATCH(Number,Calculations!AK:AK,0),9),"")</f>
        <v>0.54275480084701</v>
      </c>
      <c r="H4" s="4">
        <f>IF(Ranked_number&lt;=COUNT(Entry_number),INDEX(Lookup_table,MATCH(Number,Calculations!AK:AK,0),10),"")</f>
        <v>1.2075646363673556</v>
      </c>
      <c r="I4" s="8">
        <f>IF(D4&lt;=COUNT(Entry_number),INDEX(Lookup_table,MATCH(Number,Calculations!AK:AK,0),11),"")</f>
        <v>8.1155156602206471E-2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42</v>
      </c>
      <c r="M4" s="122"/>
      <c r="O4" s="123"/>
    </row>
    <row r="5" spans="1:15">
      <c r="A5" s="107" t="s">
        <v>43</v>
      </c>
      <c r="B5" s="107"/>
      <c r="D5" s="48">
        <v>4</v>
      </c>
      <c r="E5" s="16" t="str">
        <f>IF(Number&lt;=COUNT(Entry_number),INDEX(Lookup_table,MATCH(Number,Calculations!AK:AK,0),3),"")</f>
        <v>Liu et al.</v>
      </c>
      <c r="F5" s="4">
        <f>IF(Ranked_number&lt;=COUNT(Entry_number),INDEX(Lookup_table,MATCH(Number,Calculations!AK:AK,0),5),"")</f>
        <v>0.42815308087291398</v>
      </c>
      <c r="G5" s="4">
        <f>IF(Ranked_number&lt;=COUNT(Entry_number),INDEX(Lookup_table,MATCH(Number,Calculations!AK:AK,0),9),"")</f>
        <v>0.30893057951447267</v>
      </c>
      <c r="H5" s="4">
        <f>IF(Ranked_number&lt;=COUNT(Entry_number),INDEX(Lookup_table,MATCH(Number,Calculations!AK:AK,0),10),"")</f>
        <v>0.59338593462995182</v>
      </c>
      <c r="I5" s="8">
        <f>IF(D5&lt;=COUNT(Entry_number),INDEX(Lookup_table,MATCH(Number,Calculations!AK:AK,0),11),"")</f>
        <v>9.8435865517442531E-2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22"/>
      <c r="O5" s="123"/>
    </row>
    <row r="6" spans="1:15">
      <c r="A6" s="3" t="s">
        <v>44</v>
      </c>
      <c r="B6" s="5" t="s">
        <v>45</v>
      </c>
      <c r="D6" s="48">
        <v>5</v>
      </c>
      <c r="E6" s="16" t="str">
        <f>IF(Number&lt;=COUNT(Entry_number),INDEX(Lookup_table,MATCH(Number,Calculations!AK:AK,0),3),"")</f>
        <v>Liu et al.</v>
      </c>
      <c r="F6" s="4">
        <f>IF(Ranked_number&lt;=COUNT(Entry_number),INDEX(Lookup_table,MATCH(Number,Calculations!AK:AK,0),5),"")</f>
        <v>0.84931960447937316</v>
      </c>
      <c r="G6" s="4">
        <f>IF(Ranked_number&lt;=COUNT(Entry_number),INDEX(Lookup_table,MATCH(Number,Calculations!AK:AK,0),9),"")</f>
        <v>0.58106436849312681</v>
      </c>
      <c r="H6" s="4">
        <f>IF(Ranked_number&lt;=COUNT(Entry_number),INDEX(Lookup_table,MATCH(Number,Calculations!AK:AK,0),10),"")</f>
        <v>1.2414180419006906</v>
      </c>
      <c r="I6" s="8">
        <f>IF(D6&lt;=COUNT(Entry_number),INDEX(Lookup_table,MATCH(Number,Calculations!AK:AK,0),11),"")</f>
        <v>8.5610876881058132E-2</v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46</v>
      </c>
      <c r="M6" s="122"/>
      <c r="O6" s="123"/>
    </row>
    <row r="7" spans="1:15">
      <c r="A7" s="3" t="s">
        <v>47</v>
      </c>
      <c r="B7" s="5" t="s">
        <v>48</v>
      </c>
      <c r="D7" s="48">
        <v>6</v>
      </c>
      <c r="E7" s="16" t="str">
        <f>IF(Number&lt;=COUNT(Entry_number),INDEX(Lookup_table,MATCH(Number,Calculations!AK:AK,0),3),"")</f>
        <v>Liu et al.</v>
      </c>
      <c r="F7" s="4">
        <f>IF(Ranked_number&lt;=COUNT(Entry_number),INDEX(Lookup_table,MATCH(Number,Calculations!AK:AK,0),5),"")</f>
        <v>0.79948943368507008</v>
      </c>
      <c r="G7" s="4">
        <f>IF(Ranked_number&lt;=COUNT(Entry_number),INDEX(Lookup_table,MATCH(Number,Calculations!AK:AK,0),9),"")</f>
        <v>0.50292464658483527</v>
      </c>
      <c r="H7" s="4">
        <f>IF(Ranked_number&lt;=COUNT(Entry_number),INDEX(Lookup_table,MATCH(Number,Calculations!AK:AK,0),10),"")</f>
        <v>1.2709326514707886</v>
      </c>
      <c r="I7" s="8">
        <f>IF(D7&lt;=COUNT(Entry_number),INDEX(Lookup_table,MATCH(Number,Calculations!AK:AK,0),11),"")</f>
        <v>6.8736511690953545E-2</v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49</v>
      </c>
      <c r="M7" s="122"/>
      <c r="O7" s="123"/>
    </row>
    <row r="8" spans="1:15">
      <c r="A8" s="3" t="s">
        <v>50</v>
      </c>
      <c r="B8" s="5" t="s">
        <v>48</v>
      </c>
      <c r="D8" s="48">
        <v>7</v>
      </c>
      <c r="E8" s="16" t="str">
        <f>IF(Number&lt;=COUNT(Entry_number),INDEX(Lookup_table,MATCH(Number,Calculations!AK:AK,0),3),"")</f>
        <v>Mustaqeem et al. (A)</v>
      </c>
      <c r="F8" s="4">
        <f>IF(Ranked_number&lt;=COUNT(Entry_number),INDEX(Lookup_table,MATCH(Number,Calculations!AK:AK,0),5),"")</f>
        <v>0.51058930465081054</v>
      </c>
      <c r="G8" s="4">
        <f>IF(Ranked_number&lt;=COUNT(Entry_number),INDEX(Lookup_table,MATCH(Number,Calculations!AK:AK,0),9),"")</f>
        <v>0.36603177010706317</v>
      </c>
      <c r="H8" s="4">
        <f>IF(Ranked_number&lt;=COUNT(Entry_number),INDEX(Lookup_table,MATCH(Number,Calculations!AK:AK,0),10),"")</f>
        <v>0.71223718626266752</v>
      </c>
      <c r="I8" s="8">
        <f>IF(D8&lt;=COUNT(Entry_number),INDEX(Lookup_table,MATCH(Number,Calculations!AK:AK,0),11),"")</f>
        <v>9.6772185682032497E-2</v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22"/>
      <c r="O8" s="123"/>
    </row>
    <row r="9" spans="1:15">
      <c r="A9" s="3" t="s">
        <v>51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>Mustaqeem et al. (B)</v>
      </c>
      <c r="F9" s="4">
        <f>IF(Ranked_number&lt;=COUNT(Entry_number),INDEX(Lookup_table,MATCH(Number,Calculations!AK:AK,0),5),"")</f>
        <v>0.76024349654024703</v>
      </c>
      <c r="G9" s="4">
        <f>IF(Ranked_number&lt;=COUNT(Entry_number),INDEX(Lookup_table,MATCH(Number,Calculations!AK:AK,0),9),"")</f>
        <v>0.55002704889284826</v>
      </c>
      <c r="H9" s="4">
        <f>IF(Ranked_number&lt;=COUNT(Entry_number),INDEX(Lookup_table,MATCH(Number,Calculations!AK:AK,0),10),"")</f>
        <v>1.0508031835800424</v>
      </c>
      <c r="I9" s="8">
        <f>IF(D9&lt;=COUNT(Entry_number),INDEX(Lookup_table,MATCH(Number,Calculations!AK:AK,0),11),"")</f>
        <v>9.9111111233457075E-2</v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22"/>
      <c r="O9" s="123"/>
    </row>
    <row r="10" spans="1:15">
      <c r="D10" s="48">
        <v>9</v>
      </c>
      <c r="E10" s="16" t="str">
        <f>IF(Number&lt;=COUNT(Entry_number),INDEX(Lookup_table,MATCH(Number,Calculations!AK:AK,0),3),"")</f>
        <v>Hazarika et al. (A)</v>
      </c>
      <c r="F10" s="4">
        <f>IF(Ranked_number&lt;=COUNT(Entry_number),INDEX(Lookup_table,MATCH(Number,Calculations!AK:AK,0),5),"")</f>
        <v>0.58024677732650543</v>
      </c>
      <c r="G10" s="4">
        <f>IF(Ranked_number&lt;=COUNT(Entry_number),INDEX(Lookup_table,MATCH(Number,Calculations!AK:AK,0),9),"")</f>
        <v>0.42293209949873695</v>
      </c>
      <c r="H10" s="4">
        <f>IF(Ranked_number&lt;=COUNT(Entry_number),INDEX(Lookup_table,MATCH(Number,Calculations!AK:AK,0),10),"")</f>
        <v>0.7960765404111888</v>
      </c>
      <c r="I10" s="8">
        <f>IF(D10&lt;=COUNT(Entry_number),INDEX(Lookup_table,MATCH(Number,Calculations!AK:AK,0),11),"")</f>
        <v>0.10103884629307694</v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22"/>
      <c r="O10" s="123"/>
    </row>
    <row r="11" spans="1:15">
      <c r="A11" s="107" t="s">
        <v>52</v>
      </c>
      <c r="B11" s="107"/>
      <c r="D11" s="48">
        <v>10</v>
      </c>
      <c r="E11" s="16" t="str">
        <f>IF(Number&lt;=COUNT(Entry_number),INDEX(Lookup_table,MATCH(Number,Calculations!AK:AK,0),3),"")</f>
        <v>Fan et al.</v>
      </c>
      <c r="F11" s="4">
        <f>IF(Ranked_number&lt;=COUNT(Entry_number),INDEX(Lookup_table,MATCH(Number,Calculations!AK:AK,0),5),"")</f>
        <v>0.6246112838738338</v>
      </c>
      <c r="G11" s="4">
        <f>IF(Ranked_number&lt;=COUNT(Entry_number),INDEX(Lookup_table,MATCH(Number,Calculations!AK:AK,0),9),"")</f>
        <v>0.43753291227103142</v>
      </c>
      <c r="H11" s="4">
        <f>IF(Ranked_number&lt;=COUNT(Entry_number),INDEX(Lookup_table,MATCH(Number,Calculations!AK:AK,0),10),"")</f>
        <v>0.89167979139554598</v>
      </c>
      <c r="I11" s="8">
        <f>IF(D11&lt;=COUNT(Entry_number),INDEX(Lookup_table,MATCH(Number,Calculations!AK:AK,0),11),"")</f>
        <v>9.1089847507293362E-2</v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22"/>
      <c r="O11" s="123"/>
    </row>
    <row r="12" spans="1:15">
      <c r="A12" s="3" t="s">
        <v>53</v>
      </c>
      <c r="B12" s="5" t="s">
        <v>38</v>
      </c>
      <c r="D12" s="48">
        <v>11</v>
      </c>
      <c r="E12" s="16" t="str">
        <f>IF(Number&lt;=COUNT(Entry_number),INDEX(Lookup_table,MATCH(Number,Calculations!AK:AK,0),3),"")</f>
        <v>Zou et al.</v>
      </c>
      <c r="F12" s="4">
        <f>IF(Ranked_number&lt;=COUNT(Entry_number),INDEX(Lookup_table,MATCH(Number,Calculations!AK:AK,0),5),"")</f>
        <v>1.0211478704360455</v>
      </c>
      <c r="G12" s="4">
        <f>IF(Ranked_number&lt;=COUNT(Entry_number),INDEX(Lookup_table,MATCH(Number,Calculations!AK:AK,0),9),"")</f>
        <v>0.72297355850091849</v>
      </c>
      <c r="H12" s="4">
        <f>IF(Ranked_number&lt;=COUNT(Entry_number),INDEX(Lookup_table,MATCH(Number,Calculations!AK:AK,0),10),"")</f>
        <v>1.4422975239346127</v>
      </c>
      <c r="I12" s="8">
        <f>IF(D12&lt;=COUNT(Entry_number),INDEX(Lookup_table,MATCH(Number,Calculations!AK:AK,0),11),"")</f>
        <v>9.3665090833146308E-2</v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22"/>
      <c r="O12" s="123"/>
    </row>
    <row r="13" spans="1:15">
      <c r="A13" s="3" t="s">
        <v>54</v>
      </c>
      <c r="B13" s="5" t="s">
        <v>55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22"/>
      <c r="O13" s="123"/>
    </row>
    <row r="14" spans="1:15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22"/>
      <c r="O14" s="123"/>
    </row>
    <row r="15" spans="1:15">
      <c r="A15" s="107" t="s">
        <v>56</v>
      </c>
      <c r="B15" s="107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22"/>
      <c r="O15" s="123"/>
    </row>
    <row r="16" spans="1:15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0.69623061934059816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22"/>
      <c r="O16" s="123"/>
    </row>
    <row r="17" spans="1:15">
      <c r="A17" s="3" t="s">
        <v>33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0.58479437356825836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22"/>
      <c r="O17" s="123"/>
    </row>
    <row r="18" spans="1:15">
      <c r="A18" s="3" t="s">
        <v>34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0.82890174258971971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22"/>
      <c r="O18" s="123"/>
    </row>
    <row r="19" spans="1:15">
      <c r="A19" s="3" t="s">
        <v>57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0.43696092529861341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22"/>
      <c r="O19" s="123"/>
    </row>
    <row r="20" spans="1:15">
      <c r="A20" s="3" t="s">
        <v>58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1.1093373508766942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22"/>
      <c r="O20" s="123"/>
    </row>
    <row r="21" spans="1:15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22"/>
      <c r="O21" s="123"/>
    </row>
    <row r="22" spans="1:15">
      <c r="A22" s="3" t="s">
        <v>59</v>
      </c>
      <c r="B22" s="4">
        <f>IF(B16&lt;&gt;"",IF(Weighting_method="Inverse variance",Z_value,IF(Weighting_method="Mantel-Haenszel",Z_value_MH,IF(Weighting_method="Peto",Z_value_Peto,""))),"")</f>
        <v>-4.6253226669172287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22"/>
      <c r="O22" s="123"/>
    </row>
    <row r="23" spans="1:15">
      <c r="A23" s="3" t="s">
        <v>60</v>
      </c>
      <c r="B23" s="26">
        <f>IF(Valid_options="Yes",IF(B22&lt;&gt;"",1-NORMSDIST(ABS(B22)),""),"")</f>
        <v>1.8700784367720047E-6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22"/>
      <c r="O23" s="123"/>
    </row>
    <row r="24" spans="1:15">
      <c r="A24" s="3" t="s">
        <v>61</v>
      </c>
      <c r="B24" s="26">
        <f>IF(Valid_options="Yes",IF(B22&lt;&gt;"",2*(1-NORMSDIST(ABS(B22))),""),"")</f>
        <v>3.7401568735440094E-6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22"/>
      <c r="O24" s="123"/>
    </row>
    <row r="25" spans="1:15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22"/>
      <c r="O25" s="123"/>
    </row>
    <row r="26" spans="1:15" ht="12" customHeight="1">
      <c r="A26" s="3" t="s">
        <v>62</v>
      </c>
      <c r="B26" s="7">
        <f>SUMIF(Sufficient_data,"Yes",Number_of_subjects)</f>
        <v>70842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22"/>
      <c r="O26" s="123"/>
    </row>
    <row r="27" spans="1:15">
      <c r="A27" s="3" t="s">
        <v>63</v>
      </c>
      <c r="B27" s="7">
        <f>COUNT(Weightf)</f>
        <v>11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22"/>
      <c r="O27" s="123"/>
    </row>
    <row r="28" spans="1:15" ht="12" customHeight="1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22"/>
      <c r="O28" s="123"/>
    </row>
    <row r="29" spans="1:15">
      <c r="A29" s="107" t="s">
        <v>64</v>
      </c>
      <c r="B29" s="107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22"/>
      <c r="O29" s="123"/>
    </row>
    <row r="30" spans="1:15">
      <c r="A30" s="3" t="s">
        <v>65</v>
      </c>
      <c r="B30" s="4">
        <f>IF(Valid_options="Yes",IF(Weighting_method="Inverse variance",Q_,IF(Weighting_method="Mantel-Haenszel",Q_MH,IF(Weighting_method="Peto",Q_Peto,""))),NA())</f>
        <v>21.569761009679056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22"/>
      <c r="O30" s="123"/>
    </row>
    <row r="31" spans="1:15" ht="12.95">
      <c r="A31" s="3" t="s">
        <v>66</v>
      </c>
      <c r="B31" s="26">
        <f>IF(Valid_options="Yes",IF(B30&lt;&gt;"",CHIDIST(B30,k_-1),""),"")</f>
        <v>1.7452878952010503E-2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22"/>
      <c r="O31" s="123"/>
    </row>
    <row r="32" spans="1:15" ht="13.5">
      <c r="A32" s="3" t="s">
        <v>67</v>
      </c>
      <c r="B32" s="8">
        <f>IF(Valid_options="Yes",IF(B30&lt;&gt;"",MAX(0,(B30-(k_-1))/B30),""),"")</f>
        <v>0.53638800191097746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22"/>
      <c r="O32" s="123"/>
    </row>
    <row r="33" spans="1:15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3.7582404540789441E-2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22"/>
      <c r="O33" s="123"/>
    </row>
    <row r="34" spans="1:15">
      <c r="A34" s="3" t="str">
        <f>CONCATENATE("T ","(",Model_effect_size_measure,")")</f>
        <v>T (Odds Ratio)</v>
      </c>
      <c r="B34" s="4">
        <f>IF(Valid_options="Yes",IF(B33&lt;&gt;"",SQRT(B33),""),"")</f>
        <v>0.19386181816126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22"/>
      <c r="O34" s="123"/>
    </row>
    <row r="35" spans="1:15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22"/>
      <c r="O35" s="123"/>
    </row>
    <row r="36" spans="1:15">
      <c r="A36" s="107" t="s">
        <v>68</v>
      </c>
      <c r="B36" s="108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22"/>
      <c r="O36" s="123"/>
    </row>
    <row r="37" spans="1:15">
      <c r="A37" s="109" t="s">
        <v>45</v>
      </c>
      <c r="B37" s="109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22"/>
      <c r="O37" s="123"/>
    </row>
    <row r="38" spans="1:15">
      <c r="A38" s="110" t="s">
        <v>69</v>
      </c>
      <c r="B38" s="110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22"/>
      <c r="O38" s="123"/>
    </row>
    <row r="39" spans="1:15">
      <c r="A39" s="110" t="s">
        <v>70</v>
      </c>
      <c r="B39" s="110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22"/>
      <c r="O39" s="123"/>
    </row>
    <row r="40" spans="1:15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22"/>
      <c r="O40" s="123"/>
    </row>
    <row r="41" spans="1:15">
      <c r="A41" s="107" t="s">
        <v>71</v>
      </c>
      <c r="B41" s="108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22"/>
      <c r="O41" s="123"/>
    </row>
    <row r="42" spans="1:15">
      <c r="A42" s="109" t="str">
        <f>IF(Weighting_method="Peto","Peto Odds Ratio","Odds Ratio")</f>
        <v>Odds Ratio</v>
      </c>
      <c r="B42" s="109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22"/>
      <c r="O42" s="123"/>
    </row>
    <row r="43" spans="1:15">
      <c r="A43" s="110" t="str">
        <f>IF(Weighting_method="Inverse variance","Risk Ratio","")</f>
        <v>Risk Ratio</v>
      </c>
      <c r="B43" s="110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22"/>
      <c r="O43" s="123"/>
    </row>
    <row r="44" spans="1:15">
      <c r="A44" s="110" t="str">
        <f>IF(Weighting_method="Inverse variance","Risk Difference","")</f>
        <v>Risk Difference</v>
      </c>
      <c r="B44" s="110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22"/>
      <c r="O44" s="123"/>
    </row>
    <row r="45" spans="1:15" ht="12" customHeight="1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22"/>
      <c r="O45" s="123"/>
    </row>
    <row r="46" spans="1:15">
      <c r="A46" s="107" t="s">
        <v>72</v>
      </c>
      <c r="B46" s="108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22"/>
      <c r="O46" s="123"/>
    </row>
    <row r="47" spans="1:15">
      <c r="A47" s="109" t="str">
        <f>IF(Model_effect_size_measure&lt;&gt;"",Model_effect_size_measure,"")</f>
        <v>Odds Ratio</v>
      </c>
      <c r="B47" s="109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22"/>
      <c r="O47" s="123"/>
    </row>
    <row r="48" spans="1:15">
      <c r="A48" s="110" t="str">
        <f>IF(OR(Model_effect_size_measure="Odds Ratio",Model_effect_size_measure="Peto Odds Ratio"),"Risk Ratio",IF(Model_effect_size_measure="Risk Ratio","Risk Difference",""))</f>
        <v>Risk Ratio</v>
      </c>
      <c r="B48" s="110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22"/>
      <c r="O48" s="123"/>
    </row>
    <row r="49" spans="1:15">
      <c r="A49" s="110" t="str">
        <f>IF(OR(Model_effect_size_measure="Odds Ratio",Model_effect_size_measure="Peto Odds Ratio"),"Risk Difference","")</f>
        <v>Risk Difference</v>
      </c>
      <c r="B49" s="110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22"/>
      <c r="O49" s="123"/>
    </row>
    <row r="50" spans="1:15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22"/>
      <c r="O50" s="123"/>
    </row>
    <row r="51" spans="1:15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22"/>
      <c r="O51" s="123"/>
    </row>
    <row r="52" spans="1:15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22"/>
      <c r="O52" s="123"/>
    </row>
    <row r="53" spans="1:15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22"/>
      <c r="O53" s="123"/>
    </row>
    <row r="54" spans="1:15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22"/>
      <c r="O54" s="123"/>
    </row>
    <row r="55" spans="1:15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22"/>
      <c r="O55" s="123"/>
    </row>
    <row r="56" spans="1:15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22"/>
      <c r="O56" s="123"/>
    </row>
    <row r="57" spans="1:15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22"/>
      <c r="O57" s="123"/>
    </row>
    <row r="58" spans="1:15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22"/>
      <c r="O58" s="123"/>
    </row>
    <row r="59" spans="1:15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22"/>
      <c r="O59" s="123"/>
    </row>
    <row r="60" spans="1:15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22"/>
      <c r="O60" s="123"/>
    </row>
    <row r="61" spans="1:15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22"/>
      <c r="O61" s="123"/>
    </row>
    <row r="62" spans="1:15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22"/>
      <c r="O62" s="123"/>
    </row>
    <row r="63" spans="1:15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22"/>
      <c r="O63" s="123"/>
    </row>
    <row r="64" spans="1:15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22"/>
      <c r="O64" s="123"/>
    </row>
    <row r="65" spans="4:15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22"/>
      <c r="O65" s="123"/>
    </row>
    <row r="66" spans="4:15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22"/>
      <c r="O66" s="123"/>
    </row>
    <row r="67" spans="4:15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22"/>
      <c r="O67" s="123"/>
    </row>
    <row r="68" spans="4:15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22"/>
      <c r="O68" s="123"/>
    </row>
    <row r="69" spans="4:15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22"/>
      <c r="O69" s="123"/>
    </row>
    <row r="70" spans="4:15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22"/>
      <c r="O70" s="123"/>
    </row>
    <row r="71" spans="4:15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22"/>
      <c r="O71" s="123"/>
    </row>
    <row r="72" spans="4:15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22"/>
      <c r="O72" s="123"/>
    </row>
    <row r="73" spans="4:15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22"/>
      <c r="O73" s="123"/>
    </row>
    <row r="74" spans="4:15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22"/>
      <c r="O74" s="123"/>
    </row>
    <row r="75" spans="4:15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22"/>
      <c r="O75" s="123"/>
    </row>
    <row r="76" spans="4:15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22"/>
      <c r="O76" s="123"/>
    </row>
    <row r="77" spans="4:15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22"/>
      <c r="O77" s="123"/>
    </row>
    <row r="78" spans="4:15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22"/>
      <c r="O78" s="123"/>
    </row>
    <row r="79" spans="4:15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22"/>
      <c r="O79" s="123"/>
    </row>
    <row r="80" spans="4:15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22"/>
      <c r="O80" s="123"/>
    </row>
    <row r="81" spans="4:15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22"/>
      <c r="O81" s="123"/>
    </row>
    <row r="82" spans="4:15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22"/>
      <c r="O82" s="123"/>
    </row>
    <row r="83" spans="4:15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22"/>
      <c r="O83" s="123"/>
    </row>
    <row r="84" spans="4:15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22"/>
      <c r="O84" s="123"/>
    </row>
    <row r="85" spans="4:15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22"/>
      <c r="O85" s="123"/>
    </row>
    <row r="86" spans="4:15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22"/>
      <c r="O86" s="123"/>
    </row>
    <row r="87" spans="4:15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22"/>
      <c r="O87" s="123"/>
    </row>
    <row r="88" spans="4:15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22"/>
      <c r="O88" s="123"/>
    </row>
    <row r="89" spans="4:15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22"/>
      <c r="O89" s="123"/>
    </row>
    <row r="90" spans="4:15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22"/>
      <c r="O90" s="123"/>
    </row>
    <row r="91" spans="4:15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22"/>
      <c r="O91" s="123"/>
    </row>
    <row r="92" spans="4:15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22"/>
      <c r="O92" s="123"/>
    </row>
    <row r="93" spans="4:15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22"/>
      <c r="O93" s="123"/>
    </row>
    <row r="94" spans="4:15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22"/>
      <c r="O94" s="123"/>
    </row>
    <row r="95" spans="4:15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22"/>
      <c r="O95" s="123"/>
    </row>
    <row r="96" spans="4:15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22"/>
      <c r="O96" s="123"/>
    </row>
    <row r="97" spans="4:15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22"/>
      <c r="O97" s="123"/>
    </row>
    <row r="98" spans="4:15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22"/>
      <c r="O98" s="123"/>
    </row>
    <row r="99" spans="4:15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22"/>
      <c r="O99" s="123"/>
    </row>
    <row r="100" spans="4:15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22"/>
      <c r="O100" s="123"/>
    </row>
    <row r="101" spans="4:15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22"/>
      <c r="O101" s="123"/>
    </row>
    <row r="102" spans="4:15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22"/>
      <c r="O102" s="123"/>
    </row>
    <row r="103" spans="4:15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22"/>
      <c r="O103" s="123"/>
    </row>
    <row r="104" spans="4:15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22"/>
      <c r="O104" s="123"/>
    </row>
    <row r="105" spans="4:15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22"/>
      <c r="O105" s="123"/>
    </row>
    <row r="106" spans="4:15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22"/>
      <c r="O106" s="123"/>
    </row>
    <row r="107" spans="4:15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22"/>
      <c r="O107" s="123"/>
    </row>
    <row r="108" spans="4:15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22"/>
      <c r="O108" s="123"/>
    </row>
    <row r="109" spans="4:15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22"/>
      <c r="O109" s="123"/>
    </row>
    <row r="110" spans="4:15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22"/>
      <c r="O110" s="123"/>
    </row>
    <row r="111" spans="4:15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22"/>
      <c r="O111" s="123"/>
    </row>
    <row r="112" spans="4:15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22"/>
      <c r="O112" s="123"/>
    </row>
    <row r="113" spans="4:15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22"/>
      <c r="O113" s="123"/>
    </row>
    <row r="114" spans="4:15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22"/>
      <c r="O114" s="123"/>
    </row>
    <row r="115" spans="4:15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22"/>
      <c r="O115" s="123"/>
    </row>
    <row r="116" spans="4:15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22"/>
      <c r="O116" s="123"/>
    </row>
    <row r="117" spans="4:15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22"/>
      <c r="O117" s="123"/>
    </row>
    <row r="118" spans="4:15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22"/>
      <c r="O118" s="123"/>
    </row>
    <row r="119" spans="4:15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22"/>
      <c r="O119" s="123"/>
    </row>
    <row r="120" spans="4:15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22"/>
      <c r="O120" s="123"/>
    </row>
    <row r="121" spans="4:15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22"/>
      <c r="O121" s="123"/>
    </row>
    <row r="122" spans="4:15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22"/>
      <c r="O122" s="123"/>
    </row>
    <row r="123" spans="4:15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22"/>
      <c r="O123" s="123"/>
    </row>
    <row r="124" spans="4:15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22"/>
      <c r="O124" s="123"/>
    </row>
    <row r="125" spans="4:15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22"/>
      <c r="O125" s="123"/>
    </row>
    <row r="126" spans="4:15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22"/>
      <c r="O126" s="123"/>
    </row>
    <row r="127" spans="4:15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22"/>
      <c r="O127" s="123"/>
    </row>
    <row r="128" spans="4:15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22"/>
      <c r="O128" s="123"/>
    </row>
    <row r="129" spans="4:15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22"/>
      <c r="O129" s="123"/>
    </row>
    <row r="130" spans="4:15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22"/>
      <c r="O130" s="123"/>
    </row>
    <row r="131" spans="4:15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22"/>
      <c r="O131" s="123"/>
    </row>
    <row r="132" spans="4:15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22"/>
      <c r="O132" s="123"/>
    </row>
    <row r="133" spans="4:15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22"/>
      <c r="O133" s="123"/>
    </row>
    <row r="134" spans="4:15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22"/>
      <c r="O134" s="123"/>
    </row>
    <row r="135" spans="4:15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22"/>
      <c r="O135" s="123"/>
    </row>
    <row r="136" spans="4:15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22"/>
      <c r="O136" s="123"/>
    </row>
    <row r="137" spans="4:15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22"/>
      <c r="O137" s="123"/>
    </row>
    <row r="138" spans="4:15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22"/>
      <c r="O138" s="123"/>
    </row>
    <row r="139" spans="4:15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22"/>
      <c r="O139" s="123"/>
    </row>
    <row r="140" spans="4:15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22"/>
      <c r="O140" s="123"/>
    </row>
    <row r="141" spans="4:15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22"/>
      <c r="O141" s="123"/>
    </row>
    <row r="142" spans="4:15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22"/>
      <c r="O142" s="123"/>
    </row>
    <row r="143" spans="4:15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22"/>
      <c r="O143" s="123"/>
    </row>
    <row r="144" spans="4:15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22"/>
      <c r="O144" s="123"/>
    </row>
    <row r="145" spans="4:15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22"/>
      <c r="O145" s="123"/>
    </row>
    <row r="146" spans="4:15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22"/>
      <c r="O146" s="123"/>
    </row>
    <row r="147" spans="4:15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22"/>
      <c r="O147" s="123"/>
    </row>
    <row r="148" spans="4:15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22"/>
      <c r="O148" s="123"/>
    </row>
    <row r="149" spans="4:15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22"/>
      <c r="O149" s="123"/>
    </row>
    <row r="150" spans="4:15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22"/>
      <c r="O150" s="123"/>
    </row>
    <row r="151" spans="4:15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22"/>
      <c r="O151" s="123"/>
    </row>
    <row r="152" spans="4:15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22"/>
      <c r="O152" s="123"/>
    </row>
    <row r="153" spans="4:15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22"/>
      <c r="O153" s="123"/>
    </row>
    <row r="154" spans="4:15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22"/>
      <c r="O154" s="123"/>
    </row>
    <row r="155" spans="4:15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22"/>
      <c r="O155" s="123"/>
    </row>
    <row r="156" spans="4:15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22"/>
      <c r="O156" s="123"/>
    </row>
    <row r="157" spans="4:15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22"/>
      <c r="O157" s="123"/>
    </row>
    <row r="158" spans="4:15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22"/>
      <c r="O158" s="123"/>
    </row>
    <row r="159" spans="4:15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22"/>
      <c r="O159" s="123"/>
    </row>
    <row r="160" spans="4:15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22"/>
      <c r="O160" s="123"/>
    </row>
    <row r="161" spans="4:15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22"/>
      <c r="O161" s="123"/>
    </row>
    <row r="162" spans="4:15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22"/>
      <c r="O162" s="123"/>
    </row>
    <row r="163" spans="4:15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22"/>
      <c r="O163" s="123"/>
    </row>
    <row r="164" spans="4:15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22"/>
      <c r="O164" s="123"/>
    </row>
    <row r="165" spans="4:15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22"/>
      <c r="O165" s="123"/>
    </row>
    <row r="166" spans="4:15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22"/>
      <c r="O166" s="123"/>
    </row>
    <row r="167" spans="4:15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22"/>
      <c r="O167" s="123"/>
    </row>
    <row r="168" spans="4:15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22"/>
      <c r="O168" s="123"/>
    </row>
    <row r="169" spans="4:15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22"/>
      <c r="O169" s="123"/>
    </row>
    <row r="170" spans="4:15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22"/>
      <c r="O170" s="123"/>
    </row>
    <row r="171" spans="4:15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22"/>
      <c r="O171" s="123"/>
    </row>
    <row r="172" spans="4:15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22"/>
      <c r="O172" s="123"/>
    </row>
    <row r="173" spans="4:15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22"/>
      <c r="O173" s="123"/>
    </row>
    <row r="174" spans="4:15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22"/>
      <c r="O174" s="123"/>
    </row>
    <row r="175" spans="4:15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22"/>
      <c r="O175" s="123"/>
    </row>
    <row r="176" spans="4:15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22"/>
      <c r="O176" s="123"/>
    </row>
    <row r="177" spans="4:15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22"/>
      <c r="O177" s="123"/>
    </row>
    <row r="178" spans="4:15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22"/>
      <c r="O178" s="123"/>
    </row>
    <row r="179" spans="4:15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22"/>
      <c r="O179" s="123"/>
    </row>
    <row r="180" spans="4:15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22"/>
      <c r="O180" s="123"/>
    </row>
    <row r="181" spans="4:15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22"/>
      <c r="O181" s="123"/>
    </row>
    <row r="182" spans="4:15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22"/>
      <c r="O182" s="123"/>
    </row>
    <row r="183" spans="4:15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22"/>
      <c r="O183" s="123"/>
    </row>
    <row r="184" spans="4:15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22"/>
      <c r="O184" s="123"/>
    </row>
    <row r="185" spans="4:15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22"/>
      <c r="O185" s="123"/>
    </row>
    <row r="186" spans="4:15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22"/>
      <c r="O186" s="123"/>
    </row>
    <row r="187" spans="4:15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22"/>
      <c r="O187" s="123"/>
    </row>
    <row r="188" spans="4:15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22"/>
      <c r="O188" s="123"/>
    </row>
    <row r="189" spans="4:15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22"/>
      <c r="O189" s="123"/>
    </row>
    <row r="190" spans="4:15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22"/>
      <c r="O190" s="123"/>
    </row>
    <row r="191" spans="4:15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22"/>
      <c r="O191" s="123"/>
    </row>
    <row r="192" spans="4:15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22"/>
      <c r="O192" s="123"/>
    </row>
    <row r="193" spans="4:15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22"/>
      <c r="O193" s="123"/>
    </row>
    <row r="194" spans="4:15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22"/>
      <c r="O194" s="123"/>
    </row>
    <row r="195" spans="4:15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22"/>
      <c r="O195" s="123"/>
    </row>
    <row r="196" spans="4:15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22"/>
      <c r="O196" s="123"/>
    </row>
    <row r="197" spans="4:15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22"/>
      <c r="O197" s="123"/>
    </row>
    <row r="198" spans="4:15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22"/>
      <c r="O198" s="123"/>
    </row>
    <row r="199" spans="4:15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22"/>
      <c r="O199" s="123"/>
    </row>
    <row r="200" spans="4:15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22"/>
      <c r="O200" s="123"/>
    </row>
    <row r="201" spans="4:15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22"/>
      <c r="O201" s="124"/>
    </row>
  </sheetData>
  <mergeCells count="19"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workbookViewId="0">
      <pane ySplit="1" topLeftCell="A14" activePane="bottomLeft" state="frozen"/>
      <selection pane="bottomLeft" activeCell="G7" sqref="G7"/>
    </sheetView>
  </sheetViews>
  <sheetFormatPr defaultColWidth="9.33203125" defaultRowHeight="12" outlineLevelCol="1"/>
  <cols>
    <col min="1" max="1" width="28.33203125" bestFit="1" customWidth="1"/>
    <col min="2" max="2" width="18.33203125" bestFit="1" customWidth="1"/>
    <col min="3" max="4" width="12.5" customWidth="1"/>
    <col min="5" max="5" width="3.33203125" customWidth="1"/>
    <col min="6" max="6" width="4.1640625" customWidth="1" outlineLevel="1"/>
    <col min="7" max="7" width="26.33203125" bestFit="1" customWidth="1" outlineLevel="1"/>
    <col min="8" max="8" width="10.1640625" bestFit="1" customWidth="1" outlineLevel="1"/>
    <col min="9" max="10" width="12.5" bestFit="1" customWidth="1" outlineLevel="1"/>
    <col min="11" max="11" width="7.1640625" bestFit="1" customWidth="1" outlineLevel="1"/>
    <col min="12" max="13" width="5.6640625" bestFit="1" customWidth="1" outlineLevel="1"/>
    <col min="14" max="14" width="7.1640625" bestFit="1" customWidth="1" outlineLevel="1"/>
    <col min="15" max="16" width="4.6640625" bestFit="1" customWidth="1" outlineLevel="1"/>
    <col min="17" max="18" width="8.83203125" customWidth="1" outlineLevel="1"/>
    <col min="19" max="19" width="5.5" bestFit="1" customWidth="1"/>
    <col min="20" max="20" width="100.83203125" customWidth="1" outlineLevel="1"/>
    <col min="21" max="21" width="5.5" bestFit="1" customWidth="1"/>
    <col min="22" max="22" width="100.83203125" customWidth="1" outlineLevel="1"/>
    <col min="23" max="23" width="5.5" bestFit="1" customWidth="1"/>
    <col min="24" max="24" width="100.83203125" hidden="1" customWidth="1" outlineLevel="1"/>
    <col min="25" max="25" width="5.5" bestFit="1" customWidth="1" collapsed="1"/>
    <col min="26" max="26" width="101" hidden="1" customWidth="1" outlineLevel="1"/>
    <col min="27" max="27" width="5.5" bestFit="1" customWidth="1" collapsed="1"/>
  </cols>
  <sheetData>
    <row r="1" spans="1:27" ht="32.25" customHeight="1">
      <c r="A1" s="107" t="s">
        <v>31</v>
      </c>
      <c r="B1" s="107"/>
      <c r="C1" s="107"/>
      <c r="D1" s="107"/>
      <c r="F1" s="1" t="s">
        <v>32</v>
      </c>
      <c r="G1" s="1" t="s">
        <v>73</v>
      </c>
      <c r="H1" s="1" t="str">
        <f>Subgroup_effect_size_measure</f>
        <v>Odds Ratio</v>
      </c>
      <c r="I1" s="1" t="s">
        <v>33</v>
      </c>
      <c r="J1" s="1" t="s">
        <v>34</v>
      </c>
      <c r="K1" s="1" t="s">
        <v>35</v>
      </c>
      <c r="L1" s="1" t="s">
        <v>65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57</v>
      </c>
      <c r="R1" s="1" t="s">
        <v>58</v>
      </c>
      <c r="S1" s="86"/>
      <c r="U1" s="85"/>
      <c r="W1" s="85"/>
      <c r="Y1" s="85"/>
      <c r="AA1" s="85"/>
    </row>
    <row r="2" spans="1:27">
      <c r="A2" s="3" t="s">
        <v>78</v>
      </c>
      <c r="B2" s="111" t="s">
        <v>79</v>
      </c>
      <c r="C2" s="111"/>
      <c r="D2" s="111"/>
      <c r="F2" s="47">
        <v>1</v>
      </c>
      <c r="G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2" s="4" t="e">
        <f>IF(COUNTIF(Calculations!DP:DP,Subgroup_number)=1,INDEX(Calculations!DP:EU,MATCH(Subgroup_number,Calculations!DP:DP,0),5),IF(Subgroup_number=Calculations!EY$25,Calculations!EY$17,""))</f>
        <v>#VALUE!</v>
      </c>
      <c r="M2" s="26" t="e">
        <f>IF(COUNTIF(Calculations!DP:DP,Subgroup_number)=1,INDEX(Calculations!DP:EU,MATCH(Subgroup_number,Calculations!DP:DP,0),6),IF(Subgroup_number=Calculations!EY$25,Calculations!EY$18,""))</f>
        <v>#VALUE!</v>
      </c>
      <c r="N2" s="8" t="e">
        <f>IF(COUNTIF(Calculations!DP:DP,Subgroup_number)=1,INDEX(Calculations!DP:EU,MATCH(Subgroup_number,Calculations!DP:DP,0),7),IF(Subgroup_number=Calculations!EY$25,Calculations!EY$19,""))</f>
        <v>#VALUE!</v>
      </c>
      <c r="O2" s="4" t="e">
        <f>IF(COUNTIF(Calculations!DP:DP,Subgroup_number)=1,INDEX(Calculations!DP:EU,MATCH(Subgroup_number,Calculations!DP:DP,0),9),IF(Subgroup_number=Calculations!EY$25,Calculations!EY$20,""))</f>
        <v>#VALUE!</v>
      </c>
      <c r="P2" s="4" t="e">
        <f>IF(COUNTIF(Calculations!DP:DP,Subgroup_number)=1,INDEX(Calculations!DP:EU,MATCH(Subgroup_number,Calculations!DP:DP,0),10),IF(Subgroup_number=Calculations!EY$25,Calculations!EY$21,""))</f>
        <v>#VALUE!</v>
      </c>
      <c r="Q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2" s="63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2" s="125" t="s">
        <v>80</v>
      </c>
      <c r="U2" s="123" t="s">
        <v>81</v>
      </c>
      <c r="W2" s="123" t="s">
        <v>82</v>
      </c>
      <c r="Y2" s="123" t="s">
        <v>83</v>
      </c>
      <c r="AA2" s="123" t="s">
        <v>84</v>
      </c>
    </row>
    <row r="3" spans="1:27">
      <c r="A3" s="3" t="s">
        <v>85</v>
      </c>
      <c r="B3" s="112" t="s">
        <v>48</v>
      </c>
      <c r="C3" s="112"/>
      <c r="D3" s="112"/>
      <c r="F3" s="48">
        <v>2</v>
      </c>
      <c r="G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3" s="4" t="e">
        <f>IF(COUNTIF(Calculations!DP:DP,Subgroup_number)=1,INDEX(Calculations!DP:EU,MATCH(Subgroup_number,Calculations!DP:DP,0),5),IF(Subgroup_number=Calculations!EY$25,Calculations!EY$17,""))</f>
        <v>#VALUE!</v>
      </c>
      <c r="M3" s="26" t="e">
        <f>IF(COUNTIF(Calculations!DP:DP,Subgroup_number)=1,INDEX(Calculations!DP:EU,MATCH(Subgroup_number,Calculations!DP:DP,0),6),IF(Subgroup_number=Calculations!EY$25,Calculations!EY$18,""))</f>
        <v>#VALUE!</v>
      </c>
      <c r="N3" s="8" t="e">
        <f>IF(COUNTIF(Calculations!DP:DP,Subgroup_number)=1,INDEX(Calculations!DP:EU,MATCH(Subgroup_number,Calculations!DP:DP,0),7),IF(Subgroup_number=Calculations!EY$25,Calculations!EY$19,""))</f>
        <v>#VALUE!</v>
      </c>
      <c r="O3" s="4" t="e">
        <f>IF(COUNTIF(Calculations!DP:DP,Subgroup_number)=1,INDEX(Calculations!DP:EU,MATCH(Subgroup_number,Calculations!DP:DP,0),9),IF(Subgroup_number=Calculations!EY$25,Calculations!EY$20,""))</f>
        <v>#VALUE!</v>
      </c>
      <c r="P3" s="4" t="e">
        <f>IF(COUNTIF(Calculations!DP:DP,Subgroup_number)=1,INDEX(Calculations!DP:EU,MATCH(Subgroup_number,Calculations!DP:DP,0),10),IF(Subgroup_number=Calculations!EY$25,Calculations!EY$21,""))</f>
        <v>#VALUE!</v>
      </c>
      <c r="Q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3" s="125"/>
      <c r="U3" s="123"/>
      <c r="W3" s="123"/>
      <c r="Y3" s="123"/>
      <c r="AA3" s="123"/>
    </row>
    <row r="4" spans="1:27" ht="11.25" customHeight="1">
      <c r="A4" s="3" t="s">
        <v>51</v>
      </c>
      <c r="B4" s="113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13"/>
      <c r="D4" s="113"/>
      <c r="F4" s="48">
        <v>3</v>
      </c>
      <c r="G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4" s="4" t="e">
        <f>IF(COUNTIF(Calculations!DP:DP,Subgroup_number)=1,INDEX(Calculations!DP:EU,MATCH(Subgroup_number,Calculations!DP:DP,0),5),IF(Subgroup_number=Calculations!EY$25,Calculations!EY$17,""))</f>
        <v>#VALUE!</v>
      </c>
      <c r="M4" s="26" t="e">
        <f>IF(COUNTIF(Calculations!DP:DP,Subgroup_number)=1,INDEX(Calculations!DP:EU,MATCH(Subgroup_number,Calculations!DP:DP,0),6),IF(Subgroup_number=Calculations!EY$25,Calculations!EY$18,""))</f>
        <v>#VALUE!</v>
      </c>
      <c r="N4" s="8" t="e">
        <f>IF(COUNTIF(Calculations!DP:DP,Subgroup_number)=1,INDEX(Calculations!DP:EU,MATCH(Subgroup_number,Calculations!DP:DP,0),7),IF(Subgroup_number=Calculations!EY$25,Calculations!EY$19,""))</f>
        <v>#VALUE!</v>
      </c>
      <c r="O4" s="4" t="e">
        <f>IF(COUNTIF(Calculations!DP:DP,Subgroup_number)=1,INDEX(Calculations!DP:EU,MATCH(Subgroup_number,Calculations!DP:DP,0),9),IF(Subgroup_number=Calculations!EY$25,Calculations!EY$20,""))</f>
        <v>#VALUE!</v>
      </c>
      <c r="P4" s="4" t="e">
        <f>IF(COUNTIF(Calculations!DP:DP,Subgroup_number)=1,INDEX(Calculations!DP:EU,MATCH(Subgroup_number,Calculations!DP:DP,0),10),IF(Subgroup_number=Calculations!EY$25,Calculations!EY$21,""))</f>
        <v>#VALUE!</v>
      </c>
      <c r="Q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4" s="125"/>
      <c r="U4" s="123"/>
      <c r="W4" s="123"/>
      <c r="Y4" s="123"/>
      <c r="AA4" s="123"/>
    </row>
    <row r="5" spans="1:27">
      <c r="F5" s="48">
        <v>4</v>
      </c>
      <c r="G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5" s="4" t="e">
        <f>IF(COUNTIF(Calculations!DP:DP,Subgroup_number)=1,INDEX(Calculations!DP:EU,MATCH(Subgroup_number,Calculations!DP:DP,0),5),IF(Subgroup_number=Calculations!EY$25,Calculations!EY$17,""))</f>
        <v>#VALUE!</v>
      </c>
      <c r="M5" s="26" t="e">
        <f>IF(COUNTIF(Calculations!DP:DP,Subgroup_number)=1,INDEX(Calculations!DP:EU,MATCH(Subgroup_number,Calculations!DP:DP,0),6),IF(Subgroup_number=Calculations!EY$25,Calculations!EY$18,""))</f>
        <v>#VALUE!</v>
      </c>
      <c r="N5" s="8" t="e">
        <f>IF(COUNTIF(Calculations!DP:DP,Subgroup_number)=1,INDEX(Calculations!DP:EU,MATCH(Subgroup_number,Calculations!DP:DP,0),7),IF(Subgroup_number=Calculations!EY$25,Calculations!EY$19,""))</f>
        <v>#VALUE!</v>
      </c>
      <c r="O5" s="4" t="e">
        <f>IF(COUNTIF(Calculations!DP:DP,Subgroup_number)=1,INDEX(Calculations!DP:EU,MATCH(Subgroup_number,Calculations!DP:DP,0),9),IF(Subgroup_number=Calculations!EY$25,Calculations!EY$20,""))</f>
        <v>#VALUE!</v>
      </c>
      <c r="P5" s="4" t="e">
        <f>IF(COUNTIF(Calculations!DP:DP,Subgroup_number)=1,INDEX(Calculations!DP:EU,MATCH(Subgroup_number,Calculations!DP:DP,0),10),IF(Subgroup_number=Calculations!EY$25,Calculations!EY$21,""))</f>
        <v>#VALUE!</v>
      </c>
      <c r="Q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5" s="125"/>
      <c r="U5" s="123"/>
      <c r="W5" s="123"/>
      <c r="Y5" s="123"/>
      <c r="AA5" s="123"/>
    </row>
    <row r="6" spans="1:27">
      <c r="A6" s="3" t="s">
        <v>86</v>
      </c>
      <c r="B6" s="112" t="s">
        <v>87</v>
      </c>
      <c r="C6" s="112"/>
      <c r="D6" s="112"/>
      <c r="F6" s="48">
        <v>5</v>
      </c>
      <c r="G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6" s="4" t="e">
        <f>IF(COUNTIF(Calculations!DP:DP,Subgroup_number)=1,INDEX(Calculations!DP:EU,MATCH(Subgroup_number,Calculations!DP:DP,0),5),IF(Subgroup_number=Calculations!EY$25,Calculations!EY$17,""))</f>
        <v>#VALUE!</v>
      </c>
      <c r="M6" s="26" t="e">
        <f>IF(COUNTIF(Calculations!DP:DP,Subgroup_number)=1,INDEX(Calculations!DP:EU,MATCH(Subgroup_number,Calculations!DP:DP,0),6),IF(Subgroup_number=Calculations!EY$25,Calculations!EY$18,""))</f>
        <v>#VALUE!</v>
      </c>
      <c r="N6" s="8" t="e">
        <f>IF(COUNTIF(Calculations!DP:DP,Subgroup_number)=1,INDEX(Calculations!DP:EU,MATCH(Subgroup_number,Calculations!DP:DP,0),7),IF(Subgroup_number=Calculations!EY$25,Calculations!EY$19,""))</f>
        <v>#VALUE!</v>
      </c>
      <c r="O6" s="4" t="e">
        <f>IF(COUNTIF(Calculations!DP:DP,Subgroup_number)=1,INDEX(Calculations!DP:EU,MATCH(Subgroup_number,Calculations!DP:DP,0),9),IF(Subgroup_number=Calculations!EY$25,Calculations!EY$20,""))</f>
        <v>#VALUE!</v>
      </c>
      <c r="P6" s="4" t="e">
        <f>IF(COUNTIF(Calculations!DP:DP,Subgroup_number)=1,INDEX(Calculations!DP:EU,MATCH(Subgroup_number,Calculations!DP:DP,0),10),IF(Subgroup_number=Calculations!EY$25,Calculations!EY$21,""))</f>
        <v>#VALUE!</v>
      </c>
      <c r="Q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6" s="125"/>
      <c r="U6" s="123"/>
      <c r="W6" s="123"/>
      <c r="Y6" s="123"/>
      <c r="AA6" s="123"/>
    </row>
    <row r="7" spans="1:27">
      <c r="A7" s="3" t="s">
        <v>88</v>
      </c>
      <c r="B7" s="112" t="s">
        <v>89</v>
      </c>
      <c r="C7" s="112"/>
      <c r="D7" s="112"/>
      <c r="F7" s="48">
        <v>6</v>
      </c>
      <c r="G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7" s="4" t="e">
        <f>IF(COUNTIF(Calculations!DP:DP,Subgroup_number)=1,INDEX(Calculations!DP:EU,MATCH(Subgroup_number,Calculations!DP:DP,0),5),IF(Subgroup_number=Calculations!EY$25,Calculations!EY$17,""))</f>
        <v>#VALUE!</v>
      </c>
      <c r="M7" s="26" t="e">
        <f>IF(COUNTIF(Calculations!DP:DP,Subgroup_number)=1,INDEX(Calculations!DP:EU,MATCH(Subgroup_number,Calculations!DP:DP,0),6),IF(Subgroup_number=Calculations!EY$25,Calculations!EY$18,""))</f>
        <v>#VALUE!</v>
      </c>
      <c r="N7" s="8" t="e">
        <f>IF(COUNTIF(Calculations!DP:DP,Subgroup_number)=1,INDEX(Calculations!DP:EU,MATCH(Subgroup_number,Calculations!DP:DP,0),7),IF(Subgroup_number=Calculations!EY$25,Calculations!EY$19,""))</f>
        <v>#VALUE!</v>
      </c>
      <c r="O7" s="4" t="e">
        <f>IF(COUNTIF(Calculations!DP:DP,Subgroup_number)=1,INDEX(Calculations!DP:EU,MATCH(Subgroup_number,Calculations!DP:DP,0),9),IF(Subgroup_number=Calculations!EY$25,Calculations!EY$20,""))</f>
        <v>#VALUE!</v>
      </c>
      <c r="P7" s="4" t="e">
        <f>IF(COUNTIF(Calculations!DP:DP,Subgroup_number)=1,INDEX(Calculations!DP:EU,MATCH(Subgroup_number,Calculations!DP:DP,0),10),IF(Subgroup_number=Calculations!EY$25,Calculations!EY$21,""))</f>
        <v>#VALUE!</v>
      </c>
      <c r="Q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7" s="125"/>
      <c r="U7" s="123"/>
      <c r="W7" s="123"/>
      <c r="Y7" s="123"/>
      <c r="AA7" s="123"/>
    </row>
    <row r="8" spans="1:27">
      <c r="A8" s="3" t="s">
        <v>41</v>
      </c>
      <c r="B8" s="114">
        <v>0.95</v>
      </c>
      <c r="C8" s="114"/>
      <c r="D8" s="114"/>
      <c r="F8" s="48">
        <v>7</v>
      </c>
      <c r="G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8" s="4" t="e">
        <f>IF(COUNTIF(Calculations!DP:DP,Subgroup_number)=1,INDEX(Calculations!DP:EU,MATCH(Subgroup_number,Calculations!DP:DP,0),5),IF(Subgroup_number=Calculations!EY$25,Calculations!EY$17,""))</f>
        <v>#VALUE!</v>
      </c>
      <c r="M8" s="26" t="e">
        <f>IF(COUNTIF(Calculations!DP:DP,Subgroup_number)=1,INDEX(Calculations!DP:EU,MATCH(Subgroup_number,Calculations!DP:DP,0),6),IF(Subgroup_number=Calculations!EY$25,Calculations!EY$18,""))</f>
        <v>#VALUE!</v>
      </c>
      <c r="N8" s="8" t="e">
        <f>IF(COUNTIF(Calculations!DP:DP,Subgroup_number)=1,INDEX(Calculations!DP:EU,MATCH(Subgroup_number,Calculations!DP:DP,0),7),IF(Subgroup_number=Calculations!EY$25,Calculations!EY$19,""))</f>
        <v>#VALUE!</v>
      </c>
      <c r="O8" s="4" t="e">
        <f>IF(COUNTIF(Calculations!DP:DP,Subgroup_number)=1,INDEX(Calculations!DP:EU,MATCH(Subgroup_number,Calculations!DP:DP,0),9),IF(Subgroup_number=Calculations!EY$25,Calculations!EY$20,""))</f>
        <v>#VALUE!</v>
      </c>
      <c r="P8" s="4" t="e">
        <f>IF(COUNTIF(Calculations!DP:DP,Subgroup_number)=1,INDEX(Calculations!DP:EU,MATCH(Subgroup_number,Calculations!DP:DP,0),10),IF(Subgroup_number=Calculations!EY$25,Calculations!EY$21,""))</f>
        <v>#VALUE!</v>
      </c>
      <c r="Q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8" s="125"/>
      <c r="U8" s="123"/>
      <c r="W8" s="123"/>
      <c r="Y8" s="123"/>
      <c r="AA8" s="123"/>
    </row>
    <row r="9" spans="1:27">
      <c r="F9" s="48">
        <v>8</v>
      </c>
      <c r="G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9" s="4" t="e">
        <f>IF(COUNTIF(Calculations!DP:DP,Subgroup_number)=1,INDEX(Calculations!DP:EU,MATCH(Subgroup_number,Calculations!DP:DP,0),5),IF(Subgroup_number=Calculations!EY$25,Calculations!EY$17,""))</f>
        <v>#VALUE!</v>
      </c>
      <c r="M9" s="26" t="e">
        <f>IF(COUNTIF(Calculations!DP:DP,Subgroup_number)=1,INDEX(Calculations!DP:EU,MATCH(Subgroup_number,Calculations!DP:DP,0),6),IF(Subgroup_number=Calculations!EY$25,Calculations!EY$18,""))</f>
        <v>#VALUE!</v>
      </c>
      <c r="N9" s="8" t="e">
        <f>IF(COUNTIF(Calculations!DP:DP,Subgroup_number)=1,INDEX(Calculations!DP:EU,MATCH(Subgroup_number,Calculations!DP:DP,0),7),IF(Subgroup_number=Calculations!EY$25,Calculations!EY$19,""))</f>
        <v>#VALUE!</v>
      </c>
      <c r="O9" s="4" t="e">
        <f>IF(COUNTIF(Calculations!DP:DP,Subgroup_number)=1,INDEX(Calculations!DP:EU,MATCH(Subgroup_number,Calculations!DP:DP,0),9),IF(Subgroup_number=Calculations!EY$25,Calculations!EY$20,""))</f>
        <v>#VALUE!</v>
      </c>
      <c r="P9" s="4" t="e">
        <f>IF(COUNTIF(Calculations!DP:DP,Subgroup_number)=1,INDEX(Calculations!DP:EU,MATCH(Subgroup_number,Calculations!DP:DP,0),10),IF(Subgroup_number=Calculations!EY$25,Calculations!EY$21,""))</f>
        <v>#VALUE!</v>
      </c>
      <c r="Q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9" s="125"/>
      <c r="U9" s="123"/>
      <c r="W9" s="123"/>
      <c r="Y9" s="123"/>
      <c r="AA9" s="123"/>
    </row>
    <row r="10" spans="1:27">
      <c r="A10" s="107" t="s">
        <v>56</v>
      </c>
      <c r="B10" s="107"/>
      <c r="C10" s="107"/>
      <c r="D10" s="107"/>
      <c r="F10" s="48">
        <v>9</v>
      </c>
      <c r="G1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0" s="4">
        <f>IF(COUNTIF(Calculations!DP:DP,Subgroup_number)=1,INDEX(Calculations!DP:EU,MATCH(Subgroup_number,Calculations!DP:DP,0),5),IF(Subgroup_number=Calculations!EY$25,Calculations!EY$17,""))</f>
        <v>15.112699834882655</v>
      </c>
      <c r="M10" s="26">
        <f>IF(COUNTIF(Calculations!DP:DP,Subgroup_number)=1,INDEX(Calculations!DP:EU,MATCH(Subgroup_number,Calculations!DP:DP,0),6),IF(Subgroup_number=Calculations!EY$25,Calculations!EY$18,""))</f>
        <v>3.4581589688572438E-2</v>
      </c>
      <c r="N10" s="8">
        <f>IF(COUNTIF(Calculations!DP:DP,Subgroup_number)=1,INDEX(Calculations!DP:EU,MATCH(Subgroup_number,Calculations!DP:DP,0),7),IF(Subgroup_number=Calculations!EY$25,Calculations!EY$19,""))</f>
        <v>0.53681340352947249</v>
      </c>
      <c r="O10" s="4">
        <f>IF(COUNTIF(Calculations!DP:DP,Subgroup_number)=1,INDEX(Calculations!DP:EU,MATCH(Subgroup_number,Calculations!DP:DP,0),9),IF(Subgroup_number=Calculations!EY$25,Calculations!EY$20,""))</f>
        <v>3.9064301282517609E-2</v>
      </c>
      <c r="P10" s="4">
        <f>IF(COUNTIF(Calculations!DP:DP,Subgroup_number)=1,INDEX(Calculations!DP:EU,MATCH(Subgroup_number,Calculations!DP:DP,0),10),IF(Subgroup_number=Calculations!EY$25,Calculations!EY$21,""))</f>
        <v>0.19764691063236381</v>
      </c>
      <c r="Q10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0.41120439164666811</v>
      </c>
      <c r="R10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1.1546692022027576</v>
      </c>
      <c r="S10" s="125"/>
      <c r="U10" s="123"/>
      <c r="W10" s="123"/>
      <c r="Y10" s="123"/>
      <c r="AA10" s="123"/>
    </row>
    <row r="11" spans="1:27">
      <c r="A11" s="3" t="str">
        <f>Subgroup_effect_size_measure</f>
        <v>Odds Ratio</v>
      </c>
      <c r="B11" s="126" t="e">
        <f>Calculations!EY9</f>
        <v>#VALUE!</v>
      </c>
      <c r="C11" s="126"/>
      <c r="D11" s="126"/>
      <c r="F11" s="48">
        <v>10</v>
      </c>
      <c r="G1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1" s="4" t="e">
        <f>IF(COUNTIF(Calculations!DP:DP,Subgroup_number)=1,INDEX(Calculations!DP:EU,MATCH(Subgroup_number,Calculations!DP:DP,0),5),IF(Subgroup_number=Calculations!EY$25,Calculations!EY$17,""))</f>
        <v>#VALUE!</v>
      </c>
      <c r="M11" s="26" t="e">
        <f>IF(COUNTIF(Calculations!DP:DP,Subgroup_number)=1,INDEX(Calculations!DP:EU,MATCH(Subgroup_number,Calculations!DP:DP,0),6),IF(Subgroup_number=Calculations!EY$25,Calculations!EY$18,""))</f>
        <v>#VALUE!</v>
      </c>
      <c r="N11" s="8" t="e">
        <f>IF(COUNTIF(Calculations!DP:DP,Subgroup_number)=1,INDEX(Calculations!DP:EU,MATCH(Subgroup_number,Calculations!DP:DP,0),7),IF(Subgroup_number=Calculations!EY$25,Calculations!EY$19,""))</f>
        <v>#VALUE!</v>
      </c>
      <c r="O11" s="4" t="e">
        <f>IF(COUNTIF(Calculations!DP:DP,Subgroup_number)=1,INDEX(Calculations!DP:EU,MATCH(Subgroup_number,Calculations!DP:DP,0),9),IF(Subgroup_number=Calculations!EY$25,Calculations!EY$20,""))</f>
        <v>#VALUE!</v>
      </c>
      <c r="P11" s="4" t="e">
        <f>IF(COUNTIF(Calculations!DP:DP,Subgroup_number)=1,INDEX(Calculations!DP:EU,MATCH(Subgroup_number,Calculations!DP:DP,0),10),IF(Subgroup_number=Calculations!EY$25,Calculations!EY$21,""))</f>
        <v>#VALUE!</v>
      </c>
      <c r="Q1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1" s="125"/>
      <c r="U11" s="123"/>
      <c r="W11" s="123"/>
      <c r="Y11" s="123"/>
      <c r="AA11" s="123"/>
    </row>
    <row r="12" spans="1:27">
      <c r="A12" s="3" t="s">
        <v>33</v>
      </c>
      <c r="B12" s="127" t="e">
        <f>Calculations!EY11</f>
        <v>#VALUE!</v>
      </c>
      <c r="C12" s="127"/>
      <c r="D12" s="127"/>
      <c r="F12" s="48">
        <v>11</v>
      </c>
      <c r="G1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2" s="4" t="e">
        <f>IF(COUNTIF(Calculations!DP:DP,Subgroup_number)=1,INDEX(Calculations!DP:EU,MATCH(Subgroup_number,Calculations!DP:DP,0),5),IF(Subgroup_number=Calculations!EY$25,Calculations!EY$17,""))</f>
        <v>#VALUE!</v>
      </c>
      <c r="M12" s="26" t="e">
        <f>IF(COUNTIF(Calculations!DP:DP,Subgroup_number)=1,INDEX(Calculations!DP:EU,MATCH(Subgroup_number,Calculations!DP:DP,0),6),IF(Subgroup_number=Calculations!EY$25,Calculations!EY$18,""))</f>
        <v>#VALUE!</v>
      </c>
      <c r="N12" s="8" t="e">
        <f>IF(COUNTIF(Calculations!DP:DP,Subgroup_number)=1,INDEX(Calculations!DP:EU,MATCH(Subgroup_number,Calculations!DP:DP,0),7),IF(Subgroup_number=Calculations!EY$25,Calculations!EY$19,""))</f>
        <v>#VALUE!</v>
      </c>
      <c r="O12" s="4" t="e">
        <f>IF(COUNTIF(Calculations!DP:DP,Subgroup_number)=1,INDEX(Calculations!DP:EU,MATCH(Subgroup_number,Calculations!DP:DP,0),9),IF(Subgroup_number=Calculations!EY$25,Calculations!EY$20,""))</f>
        <v>#VALUE!</v>
      </c>
      <c r="P12" s="4" t="e">
        <f>IF(COUNTIF(Calculations!DP:DP,Subgroup_number)=1,INDEX(Calculations!DP:EU,MATCH(Subgroup_number,Calculations!DP:DP,0),10),IF(Subgroup_number=Calculations!EY$25,Calculations!EY$21,""))</f>
        <v>#VALUE!</v>
      </c>
      <c r="Q1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2" s="125"/>
      <c r="U12" s="123"/>
      <c r="W12" s="123"/>
      <c r="Y12" s="123"/>
      <c r="AA12" s="123"/>
    </row>
    <row r="13" spans="1:27">
      <c r="A13" s="3" t="s">
        <v>34</v>
      </c>
      <c r="B13" s="127" t="e">
        <f>Calculations!EY12</f>
        <v>#VALUE!</v>
      </c>
      <c r="C13" s="127"/>
      <c r="D13" s="127"/>
      <c r="F13" s="48">
        <v>12</v>
      </c>
      <c r="G1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3" s="4" t="e">
        <f>IF(COUNTIF(Calculations!DP:DP,Subgroup_number)=1,INDEX(Calculations!DP:EU,MATCH(Subgroup_number,Calculations!DP:DP,0),5),IF(Subgroup_number=Calculations!EY$25,Calculations!EY$17,""))</f>
        <v>#VALUE!</v>
      </c>
      <c r="M13" s="26" t="e">
        <f>IF(COUNTIF(Calculations!DP:DP,Subgroup_number)=1,INDEX(Calculations!DP:EU,MATCH(Subgroup_number,Calculations!DP:DP,0),6),IF(Subgroup_number=Calculations!EY$25,Calculations!EY$18,""))</f>
        <v>#VALUE!</v>
      </c>
      <c r="N13" s="8" t="e">
        <f>IF(COUNTIF(Calculations!DP:DP,Subgroup_number)=1,INDEX(Calculations!DP:EU,MATCH(Subgroup_number,Calculations!DP:DP,0),7),IF(Subgroup_number=Calculations!EY$25,Calculations!EY$19,""))</f>
        <v>#VALUE!</v>
      </c>
      <c r="O13" s="4" t="e">
        <f>IF(COUNTIF(Calculations!DP:DP,Subgroup_number)=1,INDEX(Calculations!DP:EU,MATCH(Subgroup_number,Calculations!DP:DP,0),9),IF(Subgroup_number=Calculations!EY$25,Calculations!EY$20,""))</f>
        <v>#VALUE!</v>
      </c>
      <c r="P13" s="4" t="e">
        <f>IF(COUNTIF(Calculations!DP:DP,Subgroup_number)=1,INDEX(Calculations!DP:EU,MATCH(Subgroup_number,Calculations!DP:DP,0),10),IF(Subgroup_number=Calculations!EY$25,Calculations!EY$21,""))</f>
        <v>#VALUE!</v>
      </c>
      <c r="Q1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3" s="125"/>
      <c r="U13" s="123"/>
      <c r="W13" s="123"/>
      <c r="Y13" s="123"/>
      <c r="AA13" s="123"/>
    </row>
    <row r="14" spans="1:27">
      <c r="A14" s="3" t="s">
        <v>57</v>
      </c>
      <c r="B14" s="127" t="e">
        <f>Calculations!EY13</f>
        <v>#VALUE!</v>
      </c>
      <c r="C14" s="127"/>
      <c r="D14" s="127"/>
      <c r="F14" s="48">
        <v>13</v>
      </c>
      <c r="G1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4" s="4" t="e">
        <f>IF(COUNTIF(Calculations!DP:DP,Subgroup_number)=1,INDEX(Calculations!DP:EU,MATCH(Subgroup_number,Calculations!DP:DP,0),5),IF(Subgroup_number=Calculations!EY$25,Calculations!EY$17,""))</f>
        <v>#VALUE!</v>
      </c>
      <c r="M14" s="26" t="e">
        <f>IF(COUNTIF(Calculations!DP:DP,Subgroup_number)=1,INDEX(Calculations!DP:EU,MATCH(Subgroup_number,Calculations!DP:DP,0),6),IF(Subgroup_number=Calculations!EY$25,Calculations!EY$18,""))</f>
        <v>#VALUE!</v>
      </c>
      <c r="N14" s="8" t="e">
        <f>IF(COUNTIF(Calculations!DP:DP,Subgroup_number)=1,INDEX(Calculations!DP:EU,MATCH(Subgroup_number,Calculations!DP:DP,0),7),IF(Subgroup_number=Calculations!EY$25,Calculations!EY$19,""))</f>
        <v>#VALUE!</v>
      </c>
      <c r="O14" s="4" t="e">
        <f>IF(COUNTIF(Calculations!DP:DP,Subgroup_number)=1,INDEX(Calculations!DP:EU,MATCH(Subgroup_number,Calculations!DP:DP,0),9),IF(Subgroup_number=Calculations!EY$25,Calculations!EY$20,""))</f>
        <v>#VALUE!</v>
      </c>
      <c r="P14" s="4" t="e">
        <f>IF(COUNTIF(Calculations!DP:DP,Subgroup_number)=1,INDEX(Calculations!DP:EU,MATCH(Subgroup_number,Calculations!DP:DP,0),10),IF(Subgroup_number=Calculations!EY$25,Calculations!EY$21,""))</f>
        <v>#VALUE!</v>
      </c>
      <c r="Q1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4" s="125"/>
      <c r="U14" s="123"/>
      <c r="W14" s="123"/>
      <c r="Y14" s="123"/>
      <c r="AA14" s="123"/>
    </row>
    <row r="15" spans="1:27">
      <c r="A15" s="3" t="s">
        <v>58</v>
      </c>
      <c r="B15" s="127" t="e">
        <f>Calculations!EY14</f>
        <v>#VALUE!</v>
      </c>
      <c r="C15" s="127"/>
      <c r="D15" s="127"/>
      <c r="F15" s="48">
        <v>14</v>
      </c>
      <c r="G1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5" s="4" t="e">
        <f>IF(COUNTIF(Calculations!DP:DP,Subgroup_number)=1,INDEX(Calculations!DP:EU,MATCH(Subgroup_number,Calculations!DP:DP,0),5),IF(Subgroup_number=Calculations!EY$25,Calculations!EY$17,""))</f>
        <v>#VALUE!</v>
      </c>
      <c r="M15" s="26" t="e">
        <f>IF(COUNTIF(Calculations!DP:DP,Subgroup_number)=1,INDEX(Calculations!DP:EU,MATCH(Subgroup_number,Calculations!DP:DP,0),6),IF(Subgroup_number=Calculations!EY$25,Calculations!EY$18,""))</f>
        <v>#VALUE!</v>
      </c>
      <c r="N15" s="8" t="e">
        <f>IF(COUNTIF(Calculations!DP:DP,Subgroup_number)=1,INDEX(Calculations!DP:EU,MATCH(Subgroup_number,Calculations!DP:DP,0),7),IF(Subgroup_number=Calculations!EY$25,Calculations!EY$19,""))</f>
        <v>#VALUE!</v>
      </c>
      <c r="O15" s="4" t="e">
        <f>IF(COUNTIF(Calculations!DP:DP,Subgroup_number)=1,INDEX(Calculations!DP:EU,MATCH(Subgroup_number,Calculations!DP:DP,0),9),IF(Subgroup_number=Calculations!EY$25,Calculations!EY$20,""))</f>
        <v>#VALUE!</v>
      </c>
      <c r="P15" s="4" t="e">
        <f>IF(COUNTIF(Calculations!DP:DP,Subgroup_number)=1,INDEX(Calculations!DP:EU,MATCH(Subgroup_number,Calculations!DP:DP,0),10),IF(Subgroup_number=Calculations!EY$25,Calculations!EY$21,""))</f>
        <v>#VALUE!</v>
      </c>
      <c r="Q1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5" s="125"/>
      <c r="U15" s="123"/>
      <c r="W15" s="123"/>
      <c r="Y15" s="123"/>
      <c r="AA15" s="123"/>
    </row>
    <row r="16" spans="1:27">
      <c r="F16" s="48">
        <v>15</v>
      </c>
      <c r="G1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6" s="4" t="e">
        <f>IF(COUNTIF(Calculations!DP:DP,Subgroup_number)=1,INDEX(Calculations!DP:EU,MATCH(Subgroup_number,Calculations!DP:DP,0),5),IF(Subgroup_number=Calculations!EY$25,Calculations!EY$17,""))</f>
        <v>#VALUE!</v>
      </c>
      <c r="M16" s="26" t="e">
        <f>IF(COUNTIF(Calculations!DP:DP,Subgroup_number)=1,INDEX(Calculations!DP:EU,MATCH(Subgroup_number,Calculations!DP:DP,0),6),IF(Subgroup_number=Calculations!EY$25,Calculations!EY$18,""))</f>
        <v>#VALUE!</v>
      </c>
      <c r="N16" s="8" t="e">
        <f>IF(COUNTIF(Calculations!DP:DP,Subgroup_number)=1,INDEX(Calculations!DP:EU,MATCH(Subgroup_number,Calculations!DP:DP,0),7),IF(Subgroup_number=Calculations!EY$25,Calculations!EY$19,""))</f>
        <v>#VALUE!</v>
      </c>
      <c r="O16" s="4" t="e">
        <f>IF(COUNTIF(Calculations!DP:DP,Subgroup_number)=1,INDEX(Calculations!DP:EU,MATCH(Subgroup_number,Calculations!DP:DP,0),9),IF(Subgroup_number=Calculations!EY$25,Calculations!EY$20,""))</f>
        <v>#VALUE!</v>
      </c>
      <c r="P16" s="4" t="e">
        <f>IF(COUNTIF(Calculations!DP:DP,Subgroup_number)=1,INDEX(Calculations!DP:EU,MATCH(Subgroup_number,Calculations!DP:DP,0),10),IF(Subgroup_number=Calculations!EY$25,Calculations!EY$21,""))</f>
        <v>#VALUE!</v>
      </c>
      <c r="Q1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6" s="125"/>
      <c r="U16" s="123"/>
      <c r="W16" s="123"/>
      <c r="Y16" s="123"/>
      <c r="AA16" s="123"/>
    </row>
    <row r="17" spans="1:27">
      <c r="A17" s="3" t="s">
        <v>62</v>
      </c>
      <c r="B17" s="128">
        <f>SUMIF(Sufficient_data,"Yes",Number_of_subjects)</f>
        <v>70842</v>
      </c>
      <c r="C17" s="128"/>
      <c r="D17" s="128"/>
      <c r="F17" s="48">
        <v>16</v>
      </c>
      <c r="G1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7" s="4" t="e">
        <f>IF(COUNTIF(Calculations!DP:DP,Subgroup_number)=1,INDEX(Calculations!DP:EU,MATCH(Subgroup_number,Calculations!DP:DP,0),5),IF(Subgroup_number=Calculations!EY$25,Calculations!EY$17,""))</f>
        <v>#VALUE!</v>
      </c>
      <c r="M17" s="26" t="e">
        <f>IF(COUNTIF(Calculations!DP:DP,Subgroup_number)=1,INDEX(Calculations!DP:EU,MATCH(Subgroup_number,Calculations!DP:DP,0),6),IF(Subgroup_number=Calculations!EY$25,Calculations!EY$18,""))</f>
        <v>#VALUE!</v>
      </c>
      <c r="N17" s="8" t="e">
        <f>IF(COUNTIF(Calculations!DP:DP,Subgroup_number)=1,INDEX(Calculations!DP:EU,MATCH(Subgroup_number,Calculations!DP:DP,0),7),IF(Subgroup_number=Calculations!EY$25,Calculations!EY$19,""))</f>
        <v>#VALUE!</v>
      </c>
      <c r="O17" s="4" t="e">
        <f>IF(COUNTIF(Calculations!DP:DP,Subgroup_number)=1,INDEX(Calculations!DP:EU,MATCH(Subgroup_number,Calculations!DP:DP,0),9),IF(Subgroup_number=Calculations!EY$25,Calculations!EY$20,""))</f>
        <v>#VALUE!</v>
      </c>
      <c r="P17" s="4" t="e">
        <f>IF(COUNTIF(Calculations!DP:DP,Subgroup_number)=1,INDEX(Calculations!DP:EU,MATCH(Subgroup_number,Calculations!DP:DP,0),10),IF(Subgroup_number=Calculations!EY$25,Calculations!EY$21,""))</f>
        <v>#VALUE!</v>
      </c>
      <c r="Q1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7" s="125"/>
      <c r="U17" s="123"/>
      <c r="W17" s="123"/>
      <c r="Y17" s="123"/>
      <c r="AA17" s="123"/>
    </row>
    <row r="18" spans="1:27">
      <c r="A18" s="3" t="s">
        <v>63</v>
      </c>
      <c r="B18" s="128">
        <f>COUNT(Subgroup_weightf)</f>
        <v>11</v>
      </c>
      <c r="C18" s="128"/>
      <c r="D18" s="128"/>
      <c r="F18" s="48">
        <v>17</v>
      </c>
      <c r="G1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8" s="4" t="e">
        <f>IF(COUNTIF(Calculations!DP:DP,Subgroup_number)=1,INDEX(Calculations!DP:EU,MATCH(Subgroup_number,Calculations!DP:DP,0),5),IF(Subgroup_number=Calculations!EY$25,Calculations!EY$17,""))</f>
        <v>#VALUE!</v>
      </c>
      <c r="M18" s="26" t="e">
        <f>IF(COUNTIF(Calculations!DP:DP,Subgroup_number)=1,INDEX(Calculations!DP:EU,MATCH(Subgroup_number,Calculations!DP:DP,0),6),IF(Subgroup_number=Calculations!EY$25,Calculations!EY$18,""))</f>
        <v>#VALUE!</v>
      </c>
      <c r="N18" s="8" t="e">
        <f>IF(COUNTIF(Calculations!DP:DP,Subgroup_number)=1,INDEX(Calculations!DP:EU,MATCH(Subgroup_number,Calculations!DP:DP,0),7),IF(Subgroup_number=Calculations!EY$25,Calculations!EY$19,""))</f>
        <v>#VALUE!</v>
      </c>
      <c r="O18" s="4" t="e">
        <f>IF(COUNTIF(Calculations!DP:DP,Subgroup_number)=1,INDEX(Calculations!DP:EU,MATCH(Subgroup_number,Calculations!DP:DP,0),9),IF(Subgroup_number=Calculations!EY$25,Calculations!EY$20,""))</f>
        <v>#VALUE!</v>
      </c>
      <c r="P18" s="4" t="e">
        <f>IF(COUNTIF(Calculations!DP:DP,Subgroup_number)=1,INDEX(Calculations!DP:EU,MATCH(Subgroup_number,Calculations!DP:DP,0),10),IF(Subgroup_number=Calculations!EY$25,Calculations!EY$21,""))</f>
        <v>#VALUE!</v>
      </c>
      <c r="Q1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8" s="125"/>
      <c r="U18" s="123"/>
      <c r="W18" s="123"/>
      <c r="Y18" s="123"/>
      <c r="AA18" s="123"/>
    </row>
    <row r="19" spans="1:27">
      <c r="A19" s="3" t="s">
        <v>90</v>
      </c>
      <c r="B19" s="128">
        <f>COUNT(Calculations!DZ:DZ)</f>
        <v>4</v>
      </c>
      <c r="C19" s="128"/>
      <c r="D19" s="128"/>
      <c r="F19" s="48">
        <v>18</v>
      </c>
      <c r="G1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9" s="4" t="e">
        <f>IF(COUNTIF(Calculations!DP:DP,Subgroup_number)=1,INDEX(Calculations!DP:EU,MATCH(Subgroup_number,Calculations!DP:DP,0),5),IF(Subgroup_number=Calculations!EY$25,Calculations!EY$17,""))</f>
        <v>#VALUE!</v>
      </c>
      <c r="M19" s="26" t="e">
        <f>IF(COUNTIF(Calculations!DP:DP,Subgroup_number)=1,INDEX(Calculations!DP:EU,MATCH(Subgroup_number,Calculations!DP:DP,0),6),IF(Subgroup_number=Calculations!EY$25,Calculations!EY$18,""))</f>
        <v>#VALUE!</v>
      </c>
      <c r="N19" s="8" t="e">
        <f>IF(COUNTIF(Calculations!DP:DP,Subgroup_number)=1,INDEX(Calculations!DP:EU,MATCH(Subgroup_number,Calculations!DP:DP,0),7),IF(Subgroup_number=Calculations!EY$25,Calculations!EY$19,""))</f>
        <v>#VALUE!</v>
      </c>
      <c r="O19" s="4" t="e">
        <f>IF(COUNTIF(Calculations!DP:DP,Subgroup_number)=1,INDEX(Calculations!DP:EU,MATCH(Subgroup_number,Calculations!DP:DP,0),9),IF(Subgroup_number=Calculations!EY$25,Calculations!EY$20,""))</f>
        <v>#VALUE!</v>
      </c>
      <c r="P19" s="4" t="e">
        <f>IF(COUNTIF(Calculations!DP:DP,Subgroup_number)=1,INDEX(Calculations!DP:EU,MATCH(Subgroup_number,Calculations!DP:DP,0),10),IF(Subgroup_number=Calculations!EY$25,Calculations!EY$21,""))</f>
        <v>#VALUE!</v>
      </c>
      <c r="Q1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9" s="125"/>
      <c r="U19" s="123"/>
      <c r="W19" s="123"/>
      <c r="Y19" s="123"/>
      <c r="AA19" s="123"/>
    </row>
    <row r="20" spans="1:27">
      <c r="F20" s="48">
        <v>19</v>
      </c>
      <c r="G2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2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2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2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2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20" s="4" t="e">
        <f>IF(COUNTIF(Calculations!DP:DP,Subgroup_number)=1,INDEX(Calculations!DP:EU,MATCH(Subgroup_number,Calculations!DP:DP,0),5),IF(Subgroup_number=Calculations!EY$25,Calculations!EY$17,""))</f>
        <v>#VALUE!</v>
      </c>
      <c r="M20" s="26" t="e">
        <f>IF(COUNTIF(Calculations!DP:DP,Subgroup_number)=1,INDEX(Calculations!DP:EU,MATCH(Subgroup_number,Calculations!DP:DP,0),6),IF(Subgroup_number=Calculations!EY$25,Calculations!EY$18,""))</f>
        <v>#VALUE!</v>
      </c>
      <c r="N20" s="8" t="e">
        <f>IF(COUNTIF(Calculations!DP:DP,Subgroup_number)=1,INDEX(Calculations!DP:EU,MATCH(Subgroup_number,Calculations!DP:DP,0),7),IF(Subgroup_number=Calculations!EY$25,Calculations!EY$19,""))</f>
        <v>#VALUE!</v>
      </c>
      <c r="O20" s="4" t="e">
        <f>IF(COUNTIF(Calculations!DP:DP,Subgroup_number)=1,INDEX(Calculations!DP:EU,MATCH(Subgroup_number,Calculations!DP:DP,0),9),IF(Subgroup_number=Calculations!EY$25,Calculations!EY$20,""))</f>
        <v>#VALUE!</v>
      </c>
      <c r="P20" s="4" t="e">
        <f>IF(COUNTIF(Calculations!DP:DP,Subgroup_number)=1,INDEX(Calculations!DP:EU,MATCH(Subgroup_number,Calculations!DP:DP,0),10),IF(Subgroup_number=Calculations!EY$25,Calculations!EY$21,""))</f>
        <v>#VALUE!</v>
      </c>
      <c r="Q2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2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20" s="125"/>
      <c r="U20" s="123"/>
      <c r="W20" s="123"/>
      <c r="Y20" s="123"/>
      <c r="AA20" s="123"/>
    </row>
    <row r="21" spans="1:27">
      <c r="A21" s="1" t="s">
        <v>91</v>
      </c>
      <c r="B21" s="1" t="str">
        <f>IF(Within_subgroup_weighting=Calculations!EX42,"Sum of squares (Q)","Sum of squares (Q*)")</f>
        <v>Sum of squares (Q*)</v>
      </c>
      <c r="C21" s="1" t="s">
        <v>92</v>
      </c>
      <c r="D21" s="1" t="s">
        <v>93</v>
      </c>
      <c r="F21" s="48">
        <v>20</v>
      </c>
      <c r="G2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2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2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2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2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21" s="4" t="e">
        <f>IF(COUNTIF(Calculations!DP:DP,Subgroup_number)=1,INDEX(Calculations!DP:EU,MATCH(Subgroup_number,Calculations!DP:DP,0),5),IF(Subgroup_number=Calculations!EY$25,Calculations!EY$17,""))</f>
        <v>#VALUE!</v>
      </c>
      <c r="M21" s="26" t="e">
        <f>IF(COUNTIF(Calculations!DP:DP,Subgroup_number)=1,INDEX(Calculations!DP:EU,MATCH(Subgroup_number,Calculations!DP:DP,0),6),IF(Subgroup_number=Calculations!EY$25,Calculations!EY$18,""))</f>
        <v>#VALUE!</v>
      </c>
      <c r="N21" s="8" t="e">
        <f>IF(COUNTIF(Calculations!DP:DP,Subgroup_number)=1,INDEX(Calculations!DP:EU,MATCH(Subgroup_number,Calculations!DP:DP,0),7),IF(Subgroup_number=Calculations!EY$25,Calculations!EY$19,""))</f>
        <v>#VALUE!</v>
      </c>
      <c r="O21" s="4" t="e">
        <f>IF(COUNTIF(Calculations!DP:DP,Subgroup_number)=1,INDEX(Calculations!DP:EU,MATCH(Subgroup_number,Calculations!DP:DP,0),9),IF(Subgroup_number=Calculations!EY$25,Calculations!EY$20,""))</f>
        <v>#VALUE!</v>
      </c>
      <c r="P21" s="4" t="e">
        <f>IF(COUNTIF(Calculations!DP:DP,Subgroup_number)=1,INDEX(Calculations!DP:EU,MATCH(Subgroup_number,Calculations!DP:DP,0),10),IF(Subgroup_number=Calculations!EY$25,Calculations!EY$21,""))</f>
        <v>#VALUE!</v>
      </c>
      <c r="Q2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2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21" s="125"/>
      <c r="U21" s="123"/>
      <c r="W21" s="123"/>
      <c r="Y21" s="123"/>
      <c r="AA21" s="123"/>
    </row>
    <row r="22" spans="1:27">
      <c r="A22" s="3" t="s">
        <v>94</v>
      </c>
      <c r="B22" s="4" t="e">
        <f>B24-B23</f>
        <v>#VALUE!</v>
      </c>
      <c r="C22" s="7">
        <f>Number_of_subgroups-1</f>
        <v>3</v>
      </c>
      <c r="D22" s="26" t="e">
        <f>CHIDIST(B22,C22)</f>
        <v>#VALUE!</v>
      </c>
      <c r="F22" s="48">
        <v>21</v>
      </c>
      <c r="G2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2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2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2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2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22" s="4" t="e">
        <f>IF(COUNTIF(Calculations!DP:DP,Subgroup_number)=1,INDEX(Calculations!DP:EU,MATCH(Subgroup_number,Calculations!DP:DP,0),5),IF(Subgroup_number=Calculations!EY$25,Calculations!EY$17,""))</f>
        <v>#VALUE!</v>
      </c>
      <c r="M22" s="26" t="e">
        <f>IF(COUNTIF(Calculations!DP:DP,Subgroup_number)=1,INDEX(Calculations!DP:EU,MATCH(Subgroup_number,Calculations!DP:DP,0),6),IF(Subgroup_number=Calculations!EY$25,Calculations!EY$18,""))</f>
        <v>#VALUE!</v>
      </c>
      <c r="N22" s="8" t="e">
        <f>IF(COUNTIF(Calculations!DP:DP,Subgroup_number)=1,INDEX(Calculations!DP:EU,MATCH(Subgroup_number,Calculations!DP:DP,0),7),IF(Subgroup_number=Calculations!EY$25,Calculations!EY$19,""))</f>
        <v>#VALUE!</v>
      </c>
      <c r="O22" s="4" t="e">
        <f>IF(COUNTIF(Calculations!DP:DP,Subgroup_number)=1,INDEX(Calculations!DP:EU,MATCH(Subgroup_number,Calculations!DP:DP,0),9),IF(Subgroup_number=Calculations!EY$25,Calculations!EY$20,""))</f>
        <v>#VALUE!</v>
      </c>
      <c r="P22" s="4" t="e">
        <f>IF(COUNTIF(Calculations!DP:DP,Subgroup_number)=1,INDEX(Calculations!DP:EU,MATCH(Subgroup_number,Calculations!DP:DP,0),10),IF(Subgroup_number=Calculations!EY$25,Calculations!EY$21,""))</f>
        <v>#VALUE!</v>
      </c>
      <c r="Q2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2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22" s="125"/>
      <c r="U22" s="123"/>
      <c r="W22" s="123"/>
      <c r="Y22" s="123"/>
      <c r="AA22" s="123"/>
    </row>
    <row r="23" spans="1:27">
      <c r="A23" s="3" t="s">
        <v>95</v>
      </c>
      <c r="B23" s="4" t="e">
        <f>SUM(Calculations!EP:EP)</f>
        <v>#VALUE!</v>
      </c>
      <c r="C23" s="7">
        <f>Subgroup_k-Number_of_subgroups</f>
        <v>7</v>
      </c>
      <c r="D23" s="26" t="e">
        <f>CHIDIST(B23,C23)</f>
        <v>#VALUE!</v>
      </c>
      <c r="F23" s="48">
        <v>22</v>
      </c>
      <c r="G2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2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2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2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2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23" s="4" t="e">
        <f>IF(COUNTIF(Calculations!DP:DP,Subgroup_number)=1,INDEX(Calculations!DP:EU,MATCH(Subgroup_number,Calculations!DP:DP,0),5),IF(Subgroup_number=Calculations!EY$25,Calculations!EY$17,""))</f>
        <v>#VALUE!</v>
      </c>
      <c r="M23" s="26" t="e">
        <f>IF(COUNTIF(Calculations!DP:DP,Subgroup_number)=1,INDEX(Calculations!DP:EU,MATCH(Subgroup_number,Calculations!DP:DP,0),6),IF(Subgroup_number=Calculations!EY$25,Calculations!EY$18,""))</f>
        <v>#VALUE!</v>
      </c>
      <c r="N23" s="8" t="e">
        <f>IF(COUNTIF(Calculations!DP:DP,Subgroup_number)=1,INDEX(Calculations!DP:EU,MATCH(Subgroup_number,Calculations!DP:DP,0),7),IF(Subgroup_number=Calculations!EY$25,Calculations!EY$19,""))</f>
        <v>#VALUE!</v>
      </c>
      <c r="O23" s="4" t="e">
        <f>IF(COUNTIF(Calculations!DP:DP,Subgroup_number)=1,INDEX(Calculations!DP:EU,MATCH(Subgroup_number,Calculations!DP:DP,0),9),IF(Subgroup_number=Calculations!EY$25,Calculations!EY$20,""))</f>
        <v>#VALUE!</v>
      </c>
      <c r="P23" s="4" t="e">
        <f>IF(COUNTIF(Calculations!DP:DP,Subgroup_number)=1,INDEX(Calculations!DP:EU,MATCH(Subgroup_number,Calculations!DP:DP,0),10),IF(Subgroup_number=Calculations!EY$25,Calculations!EY$21,""))</f>
        <v>#VALUE!</v>
      </c>
      <c r="Q2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2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23" s="125"/>
      <c r="U23" s="123"/>
      <c r="W23" s="123"/>
      <c r="Y23" s="123"/>
      <c r="AA23" s="123"/>
    </row>
    <row r="24" spans="1:27">
      <c r="A24" s="3" t="s">
        <v>14</v>
      </c>
      <c r="B24" s="4">
        <f>SUMPRODUCT(Calculations!DE:DE,Subgroup_effect_size,Subgroup_effect_size)-SUMPRODUCT(Calculations!DE:DE,Subgroup_effect_size)^2/SUM(Calculations!DE:DE)</f>
        <v>8.5868797812461075</v>
      </c>
      <c r="C24" s="7">
        <f>Subgroup_k-1</f>
        <v>10</v>
      </c>
      <c r="D24" s="26">
        <f t="shared" ref="D24" si="0">CHIDIST(B24,C24)</f>
        <v>0.57170636099068595</v>
      </c>
      <c r="F24" s="48">
        <v>23</v>
      </c>
      <c r="G2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2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2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2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2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24" s="4" t="e">
        <f>IF(COUNTIF(Calculations!DP:DP,Subgroup_number)=1,INDEX(Calculations!DP:EU,MATCH(Subgroup_number,Calculations!DP:DP,0),5),IF(Subgroup_number=Calculations!EY$25,Calculations!EY$17,""))</f>
        <v>#VALUE!</v>
      </c>
      <c r="M24" s="26" t="e">
        <f>IF(COUNTIF(Calculations!DP:DP,Subgroup_number)=1,INDEX(Calculations!DP:EU,MATCH(Subgroup_number,Calculations!DP:DP,0),6),IF(Subgroup_number=Calculations!EY$25,Calculations!EY$18,""))</f>
        <v>#VALUE!</v>
      </c>
      <c r="N24" s="8" t="e">
        <f>IF(COUNTIF(Calculations!DP:DP,Subgroup_number)=1,INDEX(Calculations!DP:EU,MATCH(Subgroup_number,Calculations!DP:DP,0),7),IF(Subgroup_number=Calculations!EY$25,Calculations!EY$19,""))</f>
        <v>#VALUE!</v>
      </c>
      <c r="O24" s="4" t="e">
        <f>IF(COUNTIF(Calculations!DP:DP,Subgroup_number)=1,INDEX(Calculations!DP:EU,MATCH(Subgroup_number,Calculations!DP:DP,0),9),IF(Subgroup_number=Calculations!EY$25,Calculations!EY$20,""))</f>
        <v>#VALUE!</v>
      </c>
      <c r="P24" s="4" t="e">
        <f>IF(COUNTIF(Calculations!DP:DP,Subgroup_number)=1,INDEX(Calculations!DP:EU,MATCH(Subgroup_number,Calculations!DP:DP,0),10),IF(Subgroup_number=Calculations!EY$25,Calculations!EY$21,""))</f>
        <v>#VALUE!</v>
      </c>
      <c r="Q2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2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24" s="125"/>
      <c r="U24" s="123"/>
      <c r="W24" s="123"/>
      <c r="Y24" s="123"/>
      <c r="AA24" s="123"/>
    </row>
    <row r="25" spans="1:27">
      <c r="F25" s="48">
        <v>24</v>
      </c>
      <c r="G2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2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2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2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2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25" s="4" t="e">
        <f>IF(COUNTIF(Calculations!DP:DP,Subgroup_number)=1,INDEX(Calculations!DP:EU,MATCH(Subgroup_number,Calculations!DP:DP,0),5),IF(Subgroup_number=Calculations!EY$25,Calculations!EY$17,""))</f>
        <v>#VALUE!</v>
      </c>
      <c r="M25" s="26" t="e">
        <f>IF(COUNTIF(Calculations!DP:DP,Subgroup_number)=1,INDEX(Calculations!DP:EU,MATCH(Subgroup_number,Calculations!DP:DP,0),6),IF(Subgroup_number=Calculations!EY$25,Calculations!EY$18,""))</f>
        <v>#VALUE!</v>
      </c>
      <c r="N25" s="8" t="e">
        <f>IF(COUNTIF(Calculations!DP:DP,Subgroup_number)=1,INDEX(Calculations!DP:EU,MATCH(Subgroup_number,Calculations!DP:DP,0),7),IF(Subgroup_number=Calculations!EY$25,Calculations!EY$19,""))</f>
        <v>#VALUE!</v>
      </c>
      <c r="O25" s="4" t="e">
        <f>IF(COUNTIF(Calculations!DP:DP,Subgroup_number)=1,INDEX(Calculations!DP:EU,MATCH(Subgroup_number,Calculations!DP:DP,0),9),IF(Subgroup_number=Calculations!EY$25,Calculations!EY$20,""))</f>
        <v>#VALUE!</v>
      </c>
      <c r="P25" s="4" t="e">
        <f>IF(COUNTIF(Calculations!DP:DP,Subgroup_number)=1,INDEX(Calculations!DP:EU,MATCH(Subgroup_number,Calculations!DP:DP,0),10),IF(Subgroup_number=Calculations!EY$25,Calculations!EY$21,""))</f>
        <v>#VALUE!</v>
      </c>
      <c r="Q2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2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25" s="125"/>
      <c r="U25" s="123"/>
      <c r="W25" s="123"/>
      <c r="Y25" s="123"/>
      <c r="AA25" s="123"/>
    </row>
    <row r="26" spans="1:27" ht="13.5">
      <c r="A26" s="3" t="s">
        <v>96</v>
      </c>
      <c r="B26" s="8" t="e">
        <f>B22/B24</f>
        <v>#VALUE!</v>
      </c>
      <c r="F26" s="48">
        <v>25</v>
      </c>
      <c r="G2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2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2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2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2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26" s="4" t="e">
        <f>IF(COUNTIF(Calculations!DP:DP,Subgroup_number)=1,INDEX(Calculations!DP:EU,MATCH(Subgroup_number,Calculations!DP:DP,0),5),IF(Subgroup_number=Calculations!EY$25,Calculations!EY$17,""))</f>
        <v>#VALUE!</v>
      </c>
      <c r="M26" s="26" t="e">
        <f>IF(COUNTIF(Calculations!DP:DP,Subgroup_number)=1,INDEX(Calculations!DP:EU,MATCH(Subgroup_number,Calculations!DP:DP,0),6),IF(Subgroup_number=Calculations!EY$25,Calculations!EY$18,""))</f>
        <v>#VALUE!</v>
      </c>
      <c r="N26" s="8" t="e">
        <f>IF(COUNTIF(Calculations!DP:DP,Subgroup_number)=1,INDEX(Calculations!DP:EU,MATCH(Subgroup_number,Calculations!DP:DP,0),7),IF(Subgroup_number=Calculations!EY$25,Calculations!EY$19,""))</f>
        <v>#VALUE!</v>
      </c>
      <c r="O26" s="4" t="e">
        <f>IF(COUNTIF(Calculations!DP:DP,Subgroup_number)=1,INDEX(Calculations!DP:EU,MATCH(Subgroup_number,Calculations!DP:DP,0),9),IF(Subgroup_number=Calculations!EY$25,Calculations!EY$20,""))</f>
        <v>#VALUE!</v>
      </c>
      <c r="P26" s="4" t="e">
        <f>IF(COUNTIF(Calculations!DP:DP,Subgroup_number)=1,INDEX(Calculations!DP:EU,MATCH(Subgroup_number,Calculations!DP:DP,0),10),IF(Subgroup_number=Calculations!EY$25,Calculations!EY$21,""))</f>
        <v>#VALUE!</v>
      </c>
      <c r="Q2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2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26" s="125"/>
      <c r="U26" s="123"/>
      <c r="W26" s="123"/>
      <c r="Y26" s="123"/>
      <c r="AA26" s="123"/>
    </row>
    <row r="27" spans="1:27">
      <c r="F27" s="48">
        <v>26</v>
      </c>
      <c r="G2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2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2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2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2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27" s="4" t="e">
        <f>IF(COUNTIF(Calculations!DP:DP,Subgroup_number)=1,INDEX(Calculations!DP:EU,MATCH(Subgroup_number,Calculations!DP:DP,0),5),IF(Subgroup_number=Calculations!EY$25,Calculations!EY$17,""))</f>
        <v>#VALUE!</v>
      </c>
      <c r="M27" s="26" t="e">
        <f>IF(COUNTIF(Calculations!DP:DP,Subgroup_number)=1,INDEX(Calculations!DP:EU,MATCH(Subgroup_number,Calculations!DP:DP,0),6),IF(Subgroup_number=Calculations!EY$25,Calculations!EY$18,""))</f>
        <v>#VALUE!</v>
      </c>
      <c r="N27" s="8" t="e">
        <f>IF(COUNTIF(Calculations!DP:DP,Subgroup_number)=1,INDEX(Calculations!DP:EU,MATCH(Subgroup_number,Calculations!DP:DP,0),7),IF(Subgroup_number=Calculations!EY$25,Calculations!EY$19,""))</f>
        <v>#VALUE!</v>
      </c>
      <c r="O27" s="4" t="e">
        <f>IF(COUNTIF(Calculations!DP:DP,Subgroup_number)=1,INDEX(Calculations!DP:EU,MATCH(Subgroup_number,Calculations!DP:DP,0),9),IF(Subgroup_number=Calculations!EY$25,Calculations!EY$20,""))</f>
        <v>#VALUE!</v>
      </c>
      <c r="P27" s="4" t="e">
        <f>IF(COUNTIF(Calculations!DP:DP,Subgroup_number)=1,INDEX(Calculations!DP:EU,MATCH(Subgroup_number,Calculations!DP:DP,0),10),IF(Subgroup_number=Calculations!EY$25,Calculations!EY$21,""))</f>
        <v>#VALUE!</v>
      </c>
      <c r="Q2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2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27" s="125"/>
      <c r="U27" s="123"/>
      <c r="W27" s="123"/>
      <c r="Y27" s="123"/>
      <c r="AA27" s="123"/>
    </row>
    <row r="28" spans="1:27">
      <c r="A28" s="107" t="s">
        <v>68</v>
      </c>
      <c r="B28" s="107"/>
      <c r="C28" s="107"/>
      <c r="D28" s="107"/>
      <c r="F28" s="48">
        <v>27</v>
      </c>
      <c r="G2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2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2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2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2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28" s="4" t="e">
        <f>IF(COUNTIF(Calculations!DP:DP,Subgroup_number)=1,INDEX(Calculations!DP:EU,MATCH(Subgroup_number,Calculations!DP:DP,0),5),IF(Subgroup_number=Calculations!EY$25,Calculations!EY$17,""))</f>
        <v>#VALUE!</v>
      </c>
      <c r="M28" s="26" t="e">
        <f>IF(COUNTIF(Calculations!DP:DP,Subgroup_number)=1,INDEX(Calculations!DP:EU,MATCH(Subgroup_number,Calculations!DP:DP,0),6),IF(Subgroup_number=Calculations!EY$25,Calculations!EY$18,""))</f>
        <v>#VALUE!</v>
      </c>
      <c r="N28" s="8" t="e">
        <f>IF(COUNTIF(Calculations!DP:DP,Subgroup_number)=1,INDEX(Calculations!DP:EU,MATCH(Subgroup_number,Calculations!DP:DP,0),7),IF(Subgroup_number=Calculations!EY$25,Calculations!EY$19,""))</f>
        <v>#VALUE!</v>
      </c>
      <c r="O28" s="4" t="e">
        <f>IF(COUNTIF(Calculations!DP:DP,Subgroup_number)=1,INDEX(Calculations!DP:EU,MATCH(Subgroup_number,Calculations!DP:DP,0),9),IF(Subgroup_number=Calculations!EY$25,Calculations!EY$20,""))</f>
        <v>#VALUE!</v>
      </c>
      <c r="P28" s="4" t="e">
        <f>IF(COUNTIF(Calculations!DP:DP,Subgroup_number)=1,INDEX(Calculations!DP:EU,MATCH(Subgroup_number,Calculations!DP:DP,0),10),IF(Subgroup_number=Calculations!EY$25,Calculations!EY$21,""))</f>
        <v>#VALUE!</v>
      </c>
      <c r="Q2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2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28" s="125"/>
      <c r="U28" s="123"/>
      <c r="W28" s="123"/>
      <c r="Y28" s="123"/>
      <c r="AA28" s="123"/>
    </row>
    <row r="29" spans="1:27">
      <c r="A29" s="109" t="s">
        <v>79</v>
      </c>
      <c r="B29" s="109"/>
      <c r="C29" s="109"/>
      <c r="D29" s="109"/>
      <c r="F29" s="48">
        <v>28</v>
      </c>
      <c r="G2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2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2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2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2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29" s="4" t="e">
        <f>IF(COUNTIF(Calculations!DP:DP,Subgroup_number)=1,INDEX(Calculations!DP:EU,MATCH(Subgroup_number,Calculations!DP:DP,0),5),IF(Subgroup_number=Calculations!EY$25,Calculations!EY$17,""))</f>
        <v>#VALUE!</v>
      </c>
      <c r="M29" s="26" t="e">
        <f>IF(COUNTIF(Calculations!DP:DP,Subgroup_number)=1,INDEX(Calculations!DP:EU,MATCH(Subgroup_number,Calculations!DP:DP,0),6),IF(Subgroup_number=Calculations!EY$25,Calculations!EY$18,""))</f>
        <v>#VALUE!</v>
      </c>
      <c r="N29" s="8" t="e">
        <f>IF(COUNTIF(Calculations!DP:DP,Subgroup_number)=1,INDEX(Calculations!DP:EU,MATCH(Subgroup_number,Calculations!DP:DP,0),7),IF(Subgroup_number=Calculations!EY$25,Calculations!EY$19,""))</f>
        <v>#VALUE!</v>
      </c>
      <c r="O29" s="4" t="e">
        <f>IF(COUNTIF(Calculations!DP:DP,Subgroup_number)=1,INDEX(Calculations!DP:EU,MATCH(Subgroup_number,Calculations!DP:DP,0),9),IF(Subgroup_number=Calculations!EY$25,Calculations!EY$20,""))</f>
        <v>#VALUE!</v>
      </c>
      <c r="P29" s="4" t="e">
        <f>IF(COUNTIF(Calculations!DP:DP,Subgroup_number)=1,INDEX(Calculations!DP:EU,MATCH(Subgroup_number,Calculations!DP:DP,0),10),IF(Subgroup_number=Calculations!EY$25,Calculations!EY$21,""))</f>
        <v>#VALUE!</v>
      </c>
      <c r="Q2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2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29" s="125"/>
      <c r="U29" s="123"/>
      <c r="W29" s="123"/>
      <c r="Y29" s="123"/>
      <c r="AA29" s="123"/>
    </row>
    <row r="30" spans="1:27">
      <c r="A30" s="110" t="s">
        <v>69</v>
      </c>
      <c r="B30" s="110"/>
      <c r="C30" s="110"/>
      <c r="D30" s="110"/>
      <c r="F30" s="48">
        <v>29</v>
      </c>
      <c r="G3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3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3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3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3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30" s="4" t="e">
        <f>IF(COUNTIF(Calculations!DP:DP,Subgroup_number)=1,INDEX(Calculations!DP:EU,MATCH(Subgroup_number,Calculations!DP:DP,0),5),IF(Subgroup_number=Calculations!EY$25,Calculations!EY$17,""))</f>
        <v>#VALUE!</v>
      </c>
      <c r="M30" s="26" t="e">
        <f>IF(COUNTIF(Calculations!DP:DP,Subgroup_number)=1,INDEX(Calculations!DP:EU,MATCH(Subgroup_number,Calculations!DP:DP,0),6),IF(Subgroup_number=Calculations!EY$25,Calculations!EY$18,""))</f>
        <v>#VALUE!</v>
      </c>
      <c r="N30" s="8" t="e">
        <f>IF(COUNTIF(Calculations!DP:DP,Subgroup_number)=1,INDEX(Calculations!DP:EU,MATCH(Subgroup_number,Calculations!DP:DP,0),7),IF(Subgroup_number=Calculations!EY$25,Calculations!EY$19,""))</f>
        <v>#VALUE!</v>
      </c>
      <c r="O30" s="4" t="e">
        <f>IF(COUNTIF(Calculations!DP:DP,Subgroup_number)=1,INDEX(Calculations!DP:EU,MATCH(Subgroup_number,Calculations!DP:DP,0),9),IF(Subgroup_number=Calculations!EY$25,Calculations!EY$20,""))</f>
        <v>#VALUE!</v>
      </c>
      <c r="P30" s="4" t="e">
        <f>IF(COUNTIF(Calculations!DP:DP,Subgroup_number)=1,INDEX(Calculations!DP:EU,MATCH(Subgroup_number,Calculations!DP:DP,0),10),IF(Subgroup_number=Calculations!EY$25,Calculations!EY$21,""))</f>
        <v>#VALUE!</v>
      </c>
      <c r="Q3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3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30" s="125"/>
      <c r="U30" s="123"/>
      <c r="W30" s="123"/>
      <c r="Y30" s="123"/>
      <c r="AA30" s="123"/>
    </row>
    <row r="31" spans="1:27">
      <c r="A31" s="110" t="s">
        <v>70</v>
      </c>
      <c r="B31" s="110"/>
      <c r="C31" s="110"/>
      <c r="D31" s="110"/>
      <c r="F31" s="48">
        <v>30</v>
      </c>
      <c r="G3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3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3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3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3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31" s="4" t="e">
        <f>IF(COUNTIF(Calculations!DP:DP,Subgroup_number)=1,INDEX(Calculations!DP:EU,MATCH(Subgroup_number,Calculations!DP:DP,0),5),IF(Subgroup_number=Calculations!EY$25,Calculations!EY$17,""))</f>
        <v>#VALUE!</v>
      </c>
      <c r="M31" s="26" t="e">
        <f>IF(COUNTIF(Calculations!DP:DP,Subgroup_number)=1,INDEX(Calculations!DP:EU,MATCH(Subgroup_number,Calculations!DP:DP,0),6),IF(Subgroup_number=Calculations!EY$25,Calculations!EY$18,""))</f>
        <v>#VALUE!</v>
      </c>
      <c r="N31" s="8" t="e">
        <f>IF(COUNTIF(Calculations!DP:DP,Subgroup_number)=1,INDEX(Calculations!DP:EU,MATCH(Subgroup_number,Calculations!DP:DP,0),7),IF(Subgroup_number=Calculations!EY$25,Calculations!EY$19,""))</f>
        <v>#VALUE!</v>
      </c>
      <c r="O31" s="4" t="e">
        <f>IF(COUNTIF(Calculations!DP:DP,Subgroup_number)=1,INDEX(Calculations!DP:EU,MATCH(Subgroup_number,Calculations!DP:DP,0),9),IF(Subgroup_number=Calculations!EY$25,Calculations!EY$20,""))</f>
        <v>#VALUE!</v>
      </c>
      <c r="P31" s="4" t="e">
        <f>IF(COUNTIF(Calculations!DP:DP,Subgroup_number)=1,INDEX(Calculations!DP:EU,MATCH(Subgroup_number,Calculations!DP:DP,0),10),IF(Subgroup_number=Calculations!EY$25,Calculations!EY$21,""))</f>
        <v>#VALUE!</v>
      </c>
      <c r="Q3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3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31" s="125"/>
      <c r="U31" s="123"/>
      <c r="W31" s="123"/>
      <c r="Y31" s="123"/>
      <c r="AA31" s="123"/>
    </row>
    <row r="32" spans="1:27">
      <c r="F32" s="48">
        <v>31</v>
      </c>
      <c r="G3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3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3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3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3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32" s="4" t="e">
        <f>IF(COUNTIF(Calculations!DP:DP,Subgroup_number)=1,INDEX(Calculations!DP:EU,MATCH(Subgroup_number,Calculations!DP:DP,0),5),IF(Subgroup_number=Calculations!EY$25,Calculations!EY$17,""))</f>
        <v>#VALUE!</v>
      </c>
      <c r="M32" s="26" t="e">
        <f>IF(COUNTIF(Calculations!DP:DP,Subgroup_number)=1,INDEX(Calculations!DP:EU,MATCH(Subgroup_number,Calculations!DP:DP,0),6),IF(Subgroup_number=Calculations!EY$25,Calculations!EY$18,""))</f>
        <v>#VALUE!</v>
      </c>
      <c r="N32" s="8" t="e">
        <f>IF(COUNTIF(Calculations!DP:DP,Subgroup_number)=1,INDEX(Calculations!DP:EU,MATCH(Subgroup_number,Calculations!DP:DP,0),7),IF(Subgroup_number=Calculations!EY$25,Calculations!EY$19,""))</f>
        <v>#VALUE!</v>
      </c>
      <c r="O32" s="4" t="e">
        <f>IF(COUNTIF(Calculations!DP:DP,Subgroup_number)=1,INDEX(Calculations!DP:EU,MATCH(Subgroup_number,Calculations!DP:DP,0),9),IF(Subgroup_number=Calculations!EY$25,Calculations!EY$20,""))</f>
        <v>#VALUE!</v>
      </c>
      <c r="P32" s="4" t="e">
        <f>IF(COUNTIF(Calculations!DP:DP,Subgroup_number)=1,INDEX(Calculations!DP:EU,MATCH(Subgroup_number,Calculations!DP:DP,0),10),IF(Subgroup_number=Calculations!EY$25,Calculations!EY$21,""))</f>
        <v>#VALUE!</v>
      </c>
      <c r="Q3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3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32" s="125"/>
      <c r="U32" s="123"/>
      <c r="W32" s="123"/>
      <c r="Y32" s="123"/>
      <c r="AA32" s="123"/>
    </row>
    <row r="33" spans="1:27">
      <c r="A33" s="107" t="s">
        <v>97</v>
      </c>
      <c r="B33" s="107"/>
      <c r="C33" s="107"/>
      <c r="D33" s="107"/>
      <c r="F33" s="48">
        <v>32</v>
      </c>
      <c r="G3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3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3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3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3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33" s="4" t="e">
        <f>IF(COUNTIF(Calculations!DP:DP,Subgroup_number)=1,INDEX(Calculations!DP:EU,MATCH(Subgroup_number,Calculations!DP:DP,0),5),IF(Subgroup_number=Calculations!EY$25,Calculations!EY$17,""))</f>
        <v>#VALUE!</v>
      </c>
      <c r="M33" s="26" t="e">
        <f>IF(COUNTIF(Calculations!DP:DP,Subgroup_number)=1,INDEX(Calculations!DP:EU,MATCH(Subgroup_number,Calculations!DP:DP,0),6),IF(Subgroup_number=Calculations!EY$25,Calculations!EY$18,""))</f>
        <v>#VALUE!</v>
      </c>
      <c r="N33" s="8" t="e">
        <f>IF(COUNTIF(Calculations!DP:DP,Subgroup_number)=1,INDEX(Calculations!DP:EU,MATCH(Subgroup_number,Calculations!DP:DP,0),7),IF(Subgroup_number=Calculations!EY$25,Calculations!EY$19,""))</f>
        <v>#VALUE!</v>
      </c>
      <c r="O33" s="4" t="e">
        <f>IF(COUNTIF(Calculations!DP:DP,Subgroup_number)=1,INDEX(Calculations!DP:EU,MATCH(Subgroup_number,Calculations!DP:DP,0),9),IF(Subgroup_number=Calculations!EY$25,Calculations!EY$20,""))</f>
        <v>#VALUE!</v>
      </c>
      <c r="P33" s="4" t="e">
        <f>IF(COUNTIF(Calculations!DP:DP,Subgroup_number)=1,INDEX(Calculations!DP:EU,MATCH(Subgroup_number,Calculations!DP:DP,0),10),IF(Subgroup_number=Calculations!EY$25,Calculations!EY$21,""))</f>
        <v>#VALUE!</v>
      </c>
      <c r="Q3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3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33" s="125"/>
      <c r="U33" s="123"/>
      <c r="W33" s="123"/>
      <c r="Y33" s="123"/>
      <c r="AA33" s="123"/>
    </row>
    <row r="34" spans="1:27">
      <c r="A34" s="109" t="str">
        <f>IF(Subgroup_weighting_method="Peto","Peto Odds Ratio","Odds Ratio")</f>
        <v>Odds Ratio</v>
      </c>
      <c r="B34" s="109"/>
      <c r="C34" s="109"/>
      <c r="D34" s="109"/>
      <c r="F34" s="48">
        <v>33</v>
      </c>
      <c r="G3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3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3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3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3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34" s="4" t="e">
        <f>IF(COUNTIF(Calculations!DP:DP,Subgroup_number)=1,INDEX(Calculations!DP:EU,MATCH(Subgroup_number,Calculations!DP:DP,0),5),IF(Subgroup_number=Calculations!EY$25,Calculations!EY$17,""))</f>
        <v>#VALUE!</v>
      </c>
      <c r="M34" s="26" t="e">
        <f>IF(COUNTIF(Calculations!DP:DP,Subgroup_number)=1,INDEX(Calculations!DP:EU,MATCH(Subgroup_number,Calculations!DP:DP,0),6),IF(Subgroup_number=Calculations!EY$25,Calculations!EY$18,""))</f>
        <v>#VALUE!</v>
      </c>
      <c r="N34" s="8" t="e">
        <f>IF(COUNTIF(Calculations!DP:DP,Subgroup_number)=1,INDEX(Calculations!DP:EU,MATCH(Subgroup_number,Calculations!DP:DP,0),7),IF(Subgroup_number=Calculations!EY$25,Calculations!EY$19,""))</f>
        <v>#VALUE!</v>
      </c>
      <c r="O34" s="4" t="e">
        <f>IF(COUNTIF(Calculations!DP:DP,Subgroup_number)=1,INDEX(Calculations!DP:EU,MATCH(Subgroup_number,Calculations!DP:DP,0),9),IF(Subgroup_number=Calculations!EY$25,Calculations!EY$20,""))</f>
        <v>#VALUE!</v>
      </c>
      <c r="P34" s="4" t="e">
        <f>IF(COUNTIF(Calculations!DP:DP,Subgroup_number)=1,INDEX(Calculations!DP:EU,MATCH(Subgroup_number,Calculations!DP:DP,0),10),IF(Subgroup_number=Calculations!EY$25,Calculations!EY$21,""))</f>
        <v>#VALUE!</v>
      </c>
      <c r="Q3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3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34" s="125"/>
      <c r="U34" s="123"/>
      <c r="W34" s="123"/>
      <c r="Y34" s="123"/>
      <c r="AA34" s="123"/>
    </row>
    <row r="35" spans="1:27">
      <c r="A35" s="110" t="str">
        <f>IF(Subgroup_weighting_method="Inverse variance","Risk Ratio","")</f>
        <v>Risk Ratio</v>
      </c>
      <c r="B35" s="110"/>
      <c r="C35" s="110"/>
      <c r="D35" s="110"/>
      <c r="F35" s="48">
        <v>34</v>
      </c>
      <c r="G3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3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3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3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3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35" s="4" t="e">
        <f>IF(COUNTIF(Calculations!DP:DP,Subgroup_number)=1,INDEX(Calculations!DP:EU,MATCH(Subgroup_number,Calculations!DP:DP,0),5),IF(Subgroup_number=Calculations!EY$25,Calculations!EY$17,""))</f>
        <v>#VALUE!</v>
      </c>
      <c r="M35" s="26" t="e">
        <f>IF(COUNTIF(Calculations!DP:DP,Subgroup_number)=1,INDEX(Calculations!DP:EU,MATCH(Subgroup_number,Calculations!DP:DP,0),6),IF(Subgroup_number=Calculations!EY$25,Calculations!EY$18,""))</f>
        <v>#VALUE!</v>
      </c>
      <c r="N35" s="8" t="e">
        <f>IF(COUNTIF(Calculations!DP:DP,Subgroup_number)=1,INDEX(Calculations!DP:EU,MATCH(Subgroup_number,Calculations!DP:DP,0),7),IF(Subgroup_number=Calculations!EY$25,Calculations!EY$19,""))</f>
        <v>#VALUE!</v>
      </c>
      <c r="O35" s="4" t="e">
        <f>IF(COUNTIF(Calculations!DP:DP,Subgroup_number)=1,INDEX(Calculations!DP:EU,MATCH(Subgroup_number,Calculations!DP:DP,0),9),IF(Subgroup_number=Calculations!EY$25,Calculations!EY$20,""))</f>
        <v>#VALUE!</v>
      </c>
      <c r="P35" s="4" t="e">
        <f>IF(COUNTIF(Calculations!DP:DP,Subgroup_number)=1,INDEX(Calculations!DP:EU,MATCH(Subgroup_number,Calculations!DP:DP,0),10),IF(Subgroup_number=Calculations!EY$25,Calculations!EY$21,""))</f>
        <v>#VALUE!</v>
      </c>
      <c r="Q3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3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35" s="125"/>
      <c r="U35" s="123"/>
      <c r="W35" s="123"/>
      <c r="Y35" s="123"/>
      <c r="AA35" s="123"/>
    </row>
    <row r="36" spans="1:27">
      <c r="A36" s="110" t="str">
        <f>IF(Subgroup_weighting_method="Inverse Variance","Risk Difference","")</f>
        <v>Risk Difference</v>
      </c>
      <c r="B36" s="110"/>
      <c r="C36" s="110"/>
      <c r="D36" s="110"/>
      <c r="F36" s="48">
        <v>35</v>
      </c>
      <c r="G3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3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3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3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3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36" s="4" t="e">
        <f>IF(COUNTIF(Calculations!DP:DP,Subgroup_number)=1,INDEX(Calculations!DP:EU,MATCH(Subgroup_number,Calculations!DP:DP,0),5),IF(Subgroup_number=Calculations!EY$25,Calculations!EY$17,""))</f>
        <v>#VALUE!</v>
      </c>
      <c r="M36" s="26" t="e">
        <f>IF(COUNTIF(Calculations!DP:DP,Subgroup_number)=1,INDEX(Calculations!DP:EU,MATCH(Subgroup_number,Calculations!DP:DP,0),6),IF(Subgroup_number=Calculations!EY$25,Calculations!EY$18,""))</f>
        <v>#VALUE!</v>
      </c>
      <c r="N36" s="8" t="e">
        <f>IF(COUNTIF(Calculations!DP:DP,Subgroup_number)=1,INDEX(Calculations!DP:EU,MATCH(Subgroup_number,Calculations!DP:DP,0),7),IF(Subgroup_number=Calculations!EY$25,Calculations!EY$19,""))</f>
        <v>#VALUE!</v>
      </c>
      <c r="O36" s="4" t="e">
        <f>IF(COUNTIF(Calculations!DP:DP,Subgroup_number)=1,INDEX(Calculations!DP:EU,MATCH(Subgroup_number,Calculations!DP:DP,0),9),IF(Subgroup_number=Calculations!EY$25,Calculations!EY$20,""))</f>
        <v>#VALUE!</v>
      </c>
      <c r="P36" s="4" t="e">
        <f>IF(COUNTIF(Calculations!DP:DP,Subgroup_number)=1,INDEX(Calculations!DP:EU,MATCH(Subgroup_number,Calculations!DP:DP,0),10),IF(Subgroup_number=Calculations!EY$25,Calculations!EY$21,""))</f>
        <v>#VALUE!</v>
      </c>
      <c r="Q3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3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36" s="125"/>
      <c r="U36" s="123"/>
      <c r="W36" s="123"/>
      <c r="Y36" s="123"/>
      <c r="AA36" s="123"/>
    </row>
    <row r="37" spans="1:27">
      <c r="F37" s="48">
        <v>36</v>
      </c>
      <c r="G3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3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3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3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3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37" s="4" t="e">
        <f>IF(COUNTIF(Calculations!DP:DP,Subgroup_number)=1,INDEX(Calculations!DP:EU,MATCH(Subgroup_number,Calculations!DP:DP,0),5),IF(Subgroup_number=Calculations!EY$25,Calculations!EY$17,""))</f>
        <v>#VALUE!</v>
      </c>
      <c r="M37" s="26" t="e">
        <f>IF(COUNTIF(Calculations!DP:DP,Subgroup_number)=1,INDEX(Calculations!DP:EU,MATCH(Subgroup_number,Calculations!DP:DP,0),6),IF(Subgroup_number=Calculations!EY$25,Calculations!EY$18,""))</f>
        <v>#VALUE!</v>
      </c>
      <c r="N37" s="8" t="e">
        <f>IF(COUNTIF(Calculations!DP:DP,Subgroup_number)=1,INDEX(Calculations!DP:EU,MATCH(Subgroup_number,Calculations!DP:DP,0),7),IF(Subgroup_number=Calculations!EY$25,Calculations!EY$19,""))</f>
        <v>#VALUE!</v>
      </c>
      <c r="O37" s="4" t="e">
        <f>IF(COUNTIF(Calculations!DP:DP,Subgroup_number)=1,INDEX(Calculations!DP:EU,MATCH(Subgroup_number,Calculations!DP:DP,0),9),IF(Subgroup_number=Calculations!EY$25,Calculations!EY$20,""))</f>
        <v>#VALUE!</v>
      </c>
      <c r="P37" s="4" t="e">
        <f>IF(COUNTIF(Calculations!DP:DP,Subgroup_number)=1,INDEX(Calculations!DP:EU,MATCH(Subgroup_number,Calculations!DP:DP,0),10),IF(Subgroup_number=Calculations!EY$25,Calculations!EY$21,""))</f>
        <v>#VALUE!</v>
      </c>
      <c r="Q3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3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37" s="125"/>
      <c r="U37" s="123"/>
      <c r="W37" s="123"/>
      <c r="Y37" s="123"/>
      <c r="AA37" s="123"/>
    </row>
    <row r="38" spans="1:27">
      <c r="F38" s="48">
        <v>37</v>
      </c>
      <c r="G3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3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3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3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3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38" s="4" t="e">
        <f>IF(COUNTIF(Calculations!DP:DP,Subgroup_number)=1,INDEX(Calculations!DP:EU,MATCH(Subgroup_number,Calculations!DP:DP,0),5),IF(Subgroup_number=Calculations!EY$25,Calculations!EY$17,""))</f>
        <v>#VALUE!</v>
      </c>
      <c r="M38" s="26" t="e">
        <f>IF(COUNTIF(Calculations!DP:DP,Subgroup_number)=1,INDEX(Calculations!DP:EU,MATCH(Subgroup_number,Calculations!DP:DP,0),6),IF(Subgroup_number=Calculations!EY$25,Calculations!EY$18,""))</f>
        <v>#VALUE!</v>
      </c>
      <c r="N38" s="8" t="e">
        <f>IF(COUNTIF(Calculations!DP:DP,Subgroup_number)=1,INDEX(Calculations!DP:EU,MATCH(Subgroup_number,Calculations!DP:DP,0),7),IF(Subgroup_number=Calculations!EY$25,Calculations!EY$19,""))</f>
        <v>#VALUE!</v>
      </c>
      <c r="O38" s="4" t="e">
        <f>IF(COUNTIF(Calculations!DP:DP,Subgroup_number)=1,INDEX(Calculations!DP:EU,MATCH(Subgroup_number,Calculations!DP:DP,0),9),IF(Subgroup_number=Calculations!EY$25,Calculations!EY$20,""))</f>
        <v>#VALUE!</v>
      </c>
      <c r="P38" s="4" t="e">
        <f>IF(COUNTIF(Calculations!DP:DP,Subgroup_number)=1,INDEX(Calculations!DP:EU,MATCH(Subgroup_number,Calculations!DP:DP,0),10),IF(Subgroup_number=Calculations!EY$25,Calculations!EY$21,""))</f>
        <v>#VALUE!</v>
      </c>
      <c r="Q3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3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38" s="125"/>
      <c r="U38" s="123"/>
      <c r="W38" s="123"/>
      <c r="Y38" s="123"/>
      <c r="AA38" s="123"/>
    </row>
    <row r="39" spans="1:27">
      <c r="F39" s="48">
        <v>38</v>
      </c>
      <c r="G3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3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3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3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3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39" s="4" t="e">
        <f>IF(COUNTIF(Calculations!DP:DP,Subgroup_number)=1,INDEX(Calculations!DP:EU,MATCH(Subgroup_number,Calculations!DP:DP,0),5),IF(Subgroup_number=Calculations!EY$25,Calculations!EY$17,""))</f>
        <v>#VALUE!</v>
      </c>
      <c r="M39" s="26" t="e">
        <f>IF(COUNTIF(Calculations!DP:DP,Subgroup_number)=1,INDEX(Calculations!DP:EU,MATCH(Subgroup_number,Calculations!DP:DP,0),6),IF(Subgroup_number=Calculations!EY$25,Calculations!EY$18,""))</f>
        <v>#VALUE!</v>
      </c>
      <c r="N39" s="8" t="e">
        <f>IF(COUNTIF(Calculations!DP:DP,Subgroup_number)=1,INDEX(Calculations!DP:EU,MATCH(Subgroup_number,Calculations!DP:DP,0),7),IF(Subgroup_number=Calculations!EY$25,Calculations!EY$19,""))</f>
        <v>#VALUE!</v>
      </c>
      <c r="O39" s="4" t="e">
        <f>IF(COUNTIF(Calculations!DP:DP,Subgroup_number)=1,INDEX(Calculations!DP:EU,MATCH(Subgroup_number,Calculations!DP:DP,0),9),IF(Subgroup_number=Calculations!EY$25,Calculations!EY$20,""))</f>
        <v>#VALUE!</v>
      </c>
      <c r="P39" s="4" t="e">
        <f>IF(COUNTIF(Calculations!DP:DP,Subgroup_number)=1,INDEX(Calculations!DP:EU,MATCH(Subgroup_number,Calculations!DP:DP,0),10),IF(Subgroup_number=Calculations!EY$25,Calculations!EY$21,""))</f>
        <v>#VALUE!</v>
      </c>
      <c r="Q3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3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39" s="125"/>
      <c r="U39" s="123"/>
      <c r="W39" s="123"/>
      <c r="Y39" s="123"/>
      <c r="AA39" s="123"/>
    </row>
    <row r="40" spans="1:27">
      <c r="F40" s="48">
        <v>39</v>
      </c>
      <c r="G4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4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4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4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4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40" s="4" t="e">
        <f>IF(COUNTIF(Calculations!DP:DP,Subgroup_number)=1,INDEX(Calculations!DP:EU,MATCH(Subgroup_number,Calculations!DP:DP,0),5),IF(Subgroup_number=Calculations!EY$25,Calculations!EY$17,""))</f>
        <v>#VALUE!</v>
      </c>
      <c r="M40" s="26" t="e">
        <f>IF(COUNTIF(Calculations!DP:DP,Subgroup_number)=1,INDEX(Calculations!DP:EU,MATCH(Subgroup_number,Calculations!DP:DP,0),6),IF(Subgroup_number=Calculations!EY$25,Calculations!EY$18,""))</f>
        <v>#VALUE!</v>
      </c>
      <c r="N40" s="8" t="e">
        <f>IF(COUNTIF(Calculations!DP:DP,Subgroup_number)=1,INDEX(Calculations!DP:EU,MATCH(Subgroup_number,Calculations!DP:DP,0),7),IF(Subgroup_number=Calculations!EY$25,Calculations!EY$19,""))</f>
        <v>#VALUE!</v>
      </c>
      <c r="O40" s="4" t="e">
        <f>IF(COUNTIF(Calculations!DP:DP,Subgroup_number)=1,INDEX(Calculations!DP:EU,MATCH(Subgroup_number,Calculations!DP:DP,0),9),IF(Subgroup_number=Calculations!EY$25,Calculations!EY$20,""))</f>
        <v>#VALUE!</v>
      </c>
      <c r="P40" s="4" t="e">
        <f>IF(COUNTIF(Calculations!DP:DP,Subgroup_number)=1,INDEX(Calculations!DP:EU,MATCH(Subgroup_number,Calculations!DP:DP,0),10),IF(Subgroup_number=Calculations!EY$25,Calculations!EY$21,""))</f>
        <v>#VALUE!</v>
      </c>
      <c r="Q4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4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40" s="125"/>
      <c r="U40" s="123"/>
      <c r="W40" s="123"/>
      <c r="Y40" s="123"/>
      <c r="AA40" s="123"/>
    </row>
    <row r="41" spans="1:27">
      <c r="F41" s="48">
        <v>40</v>
      </c>
      <c r="G4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4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4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4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4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41" s="4" t="e">
        <f>IF(COUNTIF(Calculations!DP:DP,Subgroup_number)=1,INDEX(Calculations!DP:EU,MATCH(Subgroup_number,Calculations!DP:DP,0),5),IF(Subgroup_number=Calculations!EY$25,Calculations!EY$17,""))</f>
        <v>#VALUE!</v>
      </c>
      <c r="M41" s="26" t="e">
        <f>IF(COUNTIF(Calculations!DP:DP,Subgroup_number)=1,INDEX(Calculations!DP:EU,MATCH(Subgroup_number,Calculations!DP:DP,0),6),IF(Subgroup_number=Calculations!EY$25,Calculations!EY$18,""))</f>
        <v>#VALUE!</v>
      </c>
      <c r="N41" s="8" t="e">
        <f>IF(COUNTIF(Calculations!DP:DP,Subgroup_number)=1,INDEX(Calculations!DP:EU,MATCH(Subgroup_number,Calculations!DP:DP,0),7),IF(Subgroup_number=Calculations!EY$25,Calculations!EY$19,""))</f>
        <v>#VALUE!</v>
      </c>
      <c r="O41" s="4" t="e">
        <f>IF(COUNTIF(Calculations!DP:DP,Subgroup_number)=1,INDEX(Calculations!DP:EU,MATCH(Subgroup_number,Calculations!DP:DP,0),9),IF(Subgroup_number=Calculations!EY$25,Calculations!EY$20,""))</f>
        <v>#VALUE!</v>
      </c>
      <c r="P41" s="4" t="e">
        <f>IF(COUNTIF(Calculations!DP:DP,Subgroup_number)=1,INDEX(Calculations!DP:EU,MATCH(Subgroup_number,Calculations!DP:DP,0),10),IF(Subgroup_number=Calculations!EY$25,Calculations!EY$21,""))</f>
        <v>#VALUE!</v>
      </c>
      <c r="Q4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4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41" s="125"/>
      <c r="U41" s="123"/>
      <c r="W41" s="123"/>
      <c r="Y41" s="123"/>
      <c r="AA41" s="123"/>
    </row>
    <row r="42" spans="1:27">
      <c r="F42" s="48">
        <v>41</v>
      </c>
      <c r="G4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4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4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4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4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42" s="4" t="e">
        <f>IF(COUNTIF(Calculations!DP:DP,Subgroup_number)=1,INDEX(Calculations!DP:EU,MATCH(Subgroup_number,Calculations!DP:DP,0),5),IF(Subgroup_number=Calculations!EY$25,Calculations!EY$17,""))</f>
        <v>#VALUE!</v>
      </c>
      <c r="M42" s="26" t="e">
        <f>IF(COUNTIF(Calculations!DP:DP,Subgroup_number)=1,INDEX(Calculations!DP:EU,MATCH(Subgroup_number,Calculations!DP:DP,0),6),IF(Subgroup_number=Calculations!EY$25,Calculations!EY$18,""))</f>
        <v>#VALUE!</v>
      </c>
      <c r="N42" s="8" t="e">
        <f>IF(COUNTIF(Calculations!DP:DP,Subgroup_number)=1,INDEX(Calculations!DP:EU,MATCH(Subgroup_number,Calculations!DP:DP,0),7),IF(Subgroup_number=Calculations!EY$25,Calculations!EY$19,""))</f>
        <v>#VALUE!</v>
      </c>
      <c r="O42" s="4" t="e">
        <f>IF(COUNTIF(Calculations!DP:DP,Subgroup_number)=1,INDEX(Calculations!DP:EU,MATCH(Subgroup_number,Calculations!DP:DP,0),9),IF(Subgroup_number=Calculations!EY$25,Calculations!EY$20,""))</f>
        <v>#VALUE!</v>
      </c>
      <c r="P42" s="4" t="e">
        <f>IF(COUNTIF(Calculations!DP:DP,Subgroup_number)=1,INDEX(Calculations!DP:EU,MATCH(Subgroup_number,Calculations!DP:DP,0),10),IF(Subgroup_number=Calculations!EY$25,Calculations!EY$21,""))</f>
        <v>#VALUE!</v>
      </c>
      <c r="Q4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4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42" s="125"/>
      <c r="U42" s="123"/>
      <c r="W42" s="123"/>
      <c r="Y42" s="123"/>
      <c r="AA42" s="123"/>
    </row>
    <row r="43" spans="1:27">
      <c r="F43" s="48">
        <v>42</v>
      </c>
      <c r="G4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4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4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4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4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43" s="4" t="e">
        <f>IF(COUNTIF(Calculations!DP:DP,Subgroup_number)=1,INDEX(Calculations!DP:EU,MATCH(Subgroup_number,Calculations!DP:DP,0),5),IF(Subgroup_number=Calculations!EY$25,Calculations!EY$17,""))</f>
        <v>#VALUE!</v>
      </c>
      <c r="M43" s="26" t="e">
        <f>IF(COUNTIF(Calculations!DP:DP,Subgroup_number)=1,INDEX(Calculations!DP:EU,MATCH(Subgroup_number,Calculations!DP:DP,0),6),IF(Subgroup_number=Calculations!EY$25,Calculations!EY$18,""))</f>
        <v>#VALUE!</v>
      </c>
      <c r="N43" s="8" t="e">
        <f>IF(COUNTIF(Calculations!DP:DP,Subgroup_number)=1,INDEX(Calculations!DP:EU,MATCH(Subgroup_number,Calculations!DP:DP,0),7),IF(Subgroup_number=Calculations!EY$25,Calculations!EY$19,""))</f>
        <v>#VALUE!</v>
      </c>
      <c r="O43" s="4" t="e">
        <f>IF(COUNTIF(Calculations!DP:DP,Subgroup_number)=1,INDEX(Calculations!DP:EU,MATCH(Subgroup_number,Calculations!DP:DP,0),9),IF(Subgroup_number=Calculations!EY$25,Calculations!EY$20,""))</f>
        <v>#VALUE!</v>
      </c>
      <c r="P43" s="4" t="e">
        <f>IF(COUNTIF(Calculations!DP:DP,Subgroup_number)=1,INDEX(Calculations!DP:EU,MATCH(Subgroup_number,Calculations!DP:DP,0),10),IF(Subgroup_number=Calculations!EY$25,Calculations!EY$21,""))</f>
        <v>#VALUE!</v>
      </c>
      <c r="Q4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4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43" s="125"/>
      <c r="U43" s="123"/>
      <c r="W43" s="123"/>
      <c r="Y43" s="123"/>
      <c r="AA43" s="123"/>
    </row>
    <row r="44" spans="1:27">
      <c r="F44" s="48">
        <v>43</v>
      </c>
      <c r="G4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4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4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4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4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44" s="4" t="e">
        <f>IF(COUNTIF(Calculations!DP:DP,Subgroup_number)=1,INDEX(Calculations!DP:EU,MATCH(Subgroup_number,Calculations!DP:DP,0),5),IF(Subgroup_number=Calculations!EY$25,Calculations!EY$17,""))</f>
        <v>#VALUE!</v>
      </c>
      <c r="M44" s="26" t="e">
        <f>IF(COUNTIF(Calculations!DP:DP,Subgroup_number)=1,INDEX(Calculations!DP:EU,MATCH(Subgroup_number,Calculations!DP:DP,0),6),IF(Subgroup_number=Calculations!EY$25,Calculations!EY$18,""))</f>
        <v>#VALUE!</v>
      </c>
      <c r="N44" s="8" t="e">
        <f>IF(COUNTIF(Calculations!DP:DP,Subgroup_number)=1,INDEX(Calculations!DP:EU,MATCH(Subgroup_number,Calculations!DP:DP,0),7),IF(Subgroup_number=Calculations!EY$25,Calculations!EY$19,""))</f>
        <v>#VALUE!</v>
      </c>
      <c r="O44" s="4" t="e">
        <f>IF(COUNTIF(Calculations!DP:DP,Subgroup_number)=1,INDEX(Calculations!DP:EU,MATCH(Subgroup_number,Calculations!DP:DP,0),9),IF(Subgroup_number=Calculations!EY$25,Calculations!EY$20,""))</f>
        <v>#VALUE!</v>
      </c>
      <c r="P44" s="4" t="e">
        <f>IF(COUNTIF(Calculations!DP:DP,Subgroup_number)=1,INDEX(Calculations!DP:EU,MATCH(Subgroup_number,Calculations!DP:DP,0),10),IF(Subgroup_number=Calculations!EY$25,Calculations!EY$21,""))</f>
        <v>#VALUE!</v>
      </c>
      <c r="Q4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4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44" s="125"/>
      <c r="U44" s="123"/>
      <c r="W44" s="123"/>
      <c r="Y44" s="123"/>
      <c r="AA44" s="123"/>
    </row>
    <row r="45" spans="1:27">
      <c r="F45" s="48">
        <v>44</v>
      </c>
      <c r="G4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4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4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4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4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45" s="4" t="e">
        <f>IF(COUNTIF(Calculations!DP:DP,Subgroup_number)=1,INDEX(Calculations!DP:EU,MATCH(Subgroup_number,Calculations!DP:DP,0),5),IF(Subgroup_number=Calculations!EY$25,Calculations!EY$17,""))</f>
        <v>#VALUE!</v>
      </c>
      <c r="M45" s="26" t="e">
        <f>IF(COUNTIF(Calculations!DP:DP,Subgroup_number)=1,INDEX(Calculations!DP:EU,MATCH(Subgroup_number,Calculations!DP:DP,0),6),IF(Subgroup_number=Calculations!EY$25,Calculations!EY$18,""))</f>
        <v>#VALUE!</v>
      </c>
      <c r="N45" s="8" t="e">
        <f>IF(COUNTIF(Calculations!DP:DP,Subgroup_number)=1,INDEX(Calculations!DP:EU,MATCH(Subgroup_number,Calculations!DP:DP,0),7),IF(Subgroup_number=Calculations!EY$25,Calculations!EY$19,""))</f>
        <v>#VALUE!</v>
      </c>
      <c r="O45" s="4" t="e">
        <f>IF(COUNTIF(Calculations!DP:DP,Subgroup_number)=1,INDEX(Calculations!DP:EU,MATCH(Subgroup_number,Calculations!DP:DP,0),9),IF(Subgroup_number=Calculations!EY$25,Calculations!EY$20,""))</f>
        <v>#VALUE!</v>
      </c>
      <c r="P45" s="4" t="e">
        <f>IF(COUNTIF(Calculations!DP:DP,Subgroup_number)=1,INDEX(Calculations!DP:EU,MATCH(Subgroup_number,Calculations!DP:DP,0),10),IF(Subgroup_number=Calculations!EY$25,Calculations!EY$21,""))</f>
        <v>#VALUE!</v>
      </c>
      <c r="Q4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4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45" s="125"/>
      <c r="U45" s="123"/>
      <c r="W45" s="123"/>
      <c r="Y45" s="123"/>
      <c r="AA45" s="123"/>
    </row>
    <row r="46" spans="1:27">
      <c r="F46" s="48">
        <v>45</v>
      </c>
      <c r="G4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4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4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4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4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46" s="4" t="e">
        <f>IF(COUNTIF(Calculations!DP:DP,Subgroup_number)=1,INDEX(Calculations!DP:EU,MATCH(Subgroup_number,Calculations!DP:DP,0),5),IF(Subgroup_number=Calculations!EY$25,Calculations!EY$17,""))</f>
        <v>#VALUE!</v>
      </c>
      <c r="M46" s="26" t="e">
        <f>IF(COUNTIF(Calculations!DP:DP,Subgroup_number)=1,INDEX(Calculations!DP:EU,MATCH(Subgroup_number,Calculations!DP:DP,0),6),IF(Subgroup_number=Calculations!EY$25,Calculations!EY$18,""))</f>
        <v>#VALUE!</v>
      </c>
      <c r="N46" s="8" t="e">
        <f>IF(COUNTIF(Calculations!DP:DP,Subgroup_number)=1,INDEX(Calculations!DP:EU,MATCH(Subgroup_number,Calculations!DP:DP,0),7),IF(Subgroup_number=Calculations!EY$25,Calculations!EY$19,""))</f>
        <v>#VALUE!</v>
      </c>
      <c r="O46" s="4" t="e">
        <f>IF(COUNTIF(Calculations!DP:DP,Subgroup_number)=1,INDEX(Calculations!DP:EU,MATCH(Subgroup_number,Calculations!DP:DP,0),9),IF(Subgroup_number=Calculations!EY$25,Calculations!EY$20,""))</f>
        <v>#VALUE!</v>
      </c>
      <c r="P46" s="4" t="e">
        <f>IF(COUNTIF(Calculations!DP:DP,Subgroup_number)=1,INDEX(Calculations!DP:EU,MATCH(Subgroup_number,Calculations!DP:DP,0),10),IF(Subgroup_number=Calculations!EY$25,Calculations!EY$21,""))</f>
        <v>#VALUE!</v>
      </c>
      <c r="Q4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4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46" s="125"/>
      <c r="U46" s="123"/>
      <c r="W46" s="123"/>
      <c r="Y46" s="123"/>
      <c r="AA46" s="123"/>
    </row>
    <row r="47" spans="1:27">
      <c r="F47" s="48">
        <v>46</v>
      </c>
      <c r="G4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4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4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4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4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47" s="4" t="e">
        <f>IF(COUNTIF(Calculations!DP:DP,Subgroup_number)=1,INDEX(Calculations!DP:EU,MATCH(Subgroup_number,Calculations!DP:DP,0),5),IF(Subgroup_number=Calculations!EY$25,Calculations!EY$17,""))</f>
        <v>#VALUE!</v>
      </c>
      <c r="M47" s="26" t="e">
        <f>IF(COUNTIF(Calculations!DP:DP,Subgroup_number)=1,INDEX(Calculations!DP:EU,MATCH(Subgroup_number,Calculations!DP:DP,0),6),IF(Subgroup_number=Calculations!EY$25,Calculations!EY$18,""))</f>
        <v>#VALUE!</v>
      </c>
      <c r="N47" s="8" t="e">
        <f>IF(COUNTIF(Calculations!DP:DP,Subgroup_number)=1,INDEX(Calculations!DP:EU,MATCH(Subgroup_number,Calculations!DP:DP,0),7),IF(Subgroup_number=Calculations!EY$25,Calculations!EY$19,""))</f>
        <v>#VALUE!</v>
      </c>
      <c r="O47" s="4" t="e">
        <f>IF(COUNTIF(Calculations!DP:DP,Subgroup_number)=1,INDEX(Calculations!DP:EU,MATCH(Subgroup_number,Calculations!DP:DP,0),9),IF(Subgroup_number=Calculations!EY$25,Calculations!EY$20,""))</f>
        <v>#VALUE!</v>
      </c>
      <c r="P47" s="4" t="e">
        <f>IF(COUNTIF(Calculations!DP:DP,Subgroup_number)=1,INDEX(Calculations!DP:EU,MATCH(Subgroup_number,Calculations!DP:DP,0),10),IF(Subgroup_number=Calculations!EY$25,Calculations!EY$21,""))</f>
        <v>#VALUE!</v>
      </c>
      <c r="Q4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4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47" s="125"/>
      <c r="U47" s="123"/>
      <c r="W47" s="123"/>
      <c r="Y47" s="123"/>
      <c r="AA47" s="123"/>
    </row>
    <row r="48" spans="1:27">
      <c r="F48" s="48">
        <v>47</v>
      </c>
      <c r="G4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4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4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4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4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48" s="4" t="e">
        <f>IF(COUNTIF(Calculations!DP:DP,Subgroup_number)=1,INDEX(Calculations!DP:EU,MATCH(Subgroup_number,Calculations!DP:DP,0),5),IF(Subgroup_number=Calculations!EY$25,Calculations!EY$17,""))</f>
        <v>#VALUE!</v>
      </c>
      <c r="M48" s="26" t="e">
        <f>IF(COUNTIF(Calculations!DP:DP,Subgroup_number)=1,INDEX(Calculations!DP:EU,MATCH(Subgroup_number,Calculations!DP:DP,0),6),IF(Subgroup_number=Calculations!EY$25,Calculations!EY$18,""))</f>
        <v>#VALUE!</v>
      </c>
      <c r="N48" s="8" t="e">
        <f>IF(COUNTIF(Calculations!DP:DP,Subgroup_number)=1,INDEX(Calculations!DP:EU,MATCH(Subgroup_number,Calculations!DP:DP,0),7),IF(Subgroup_number=Calculations!EY$25,Calculations!EY$19,""))</f>
        <v>#VALUE!</v>
      </c>
      <c r="O48" s="4" t="e">
        <f>IF(COUNTIF(Calculations!DP:DP,Subgroup_number)=1,INDEX(Calculations!DP:EU,MATCH(Subgroup_number,Calculations!DP:DP,0),9),IF(Subgroup_number=Calculations!EY$25,Calculations!EY$20,""))</f>
        <v>#VALUE!</v>
      </c>
      <c r="P48" s="4" t="e">
        <f>IF(COUNTIF(Calculations!DP:DP,Subgroup_number)=1,INDEX(Calculations!DP:EU,MATCH(Subgroup_number,Calculations!DP:DP,0),10),IF(Subgroup_number=Calculations!EY$25,Calculations!EY$21,""))</f>
        <v>#VALUE!</v>
      </c>
      <c r="Q4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4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48" s="125"/>
      <c r="U48" s="123"/>
      <c r="W48" s="123"/>
      <c r="Y48" s="123"/>
      <c r="AA48" s="123"/>
    </row>
    <row r="49" spans="6:27">
      <c r="F49" s="48">
        <v>48</v>
      </c>
      <c r="G4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4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4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4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4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49" s="4" t="e">
        <f>IF(COUNTIF(Calculations!DP:DP,Subgroup_number)=1,INDEX(Calculations!DP:EU,MATCH(Subgroup_number,Calculations!DP:DP,0),5),IF(Subgroup_number=Calculations!EY$25,Calculations!EY$17,""))</f>
        <v>#VALUE!</v>
      </c>
      <c r="M49" s="26" t="e">
        <f>IF(COUNTIF(Calculations!DP:DP,Subgroup_number)=1,INDEX(Calculations!DP:EU,MATCH(Subgroup_number,Calculations!DP:DP,0),6),IF(Subgroup_number=Calculations!EY$25,Calculations!EY$18,""))</f>
        <v>#VALUE!</v>
      </c>
      <c r="N49" s="8" t="e">
        <f>IF(COUNTIF(Calculations!DP:DP,Subgroup_number)=1,INDEX(Calculations!DP:EU,MATCH(Subgroup_number,Calculations!DP:DP,0),7),IF(Subgroup_number=Calculations!EY$25,Calculations!EY$19,""))</f>
        <v>#VALUE!</v>
      </c>
      <c r="O49" s="4" t="e">
        <f>IF(COUNTIF(Calculations!DP:DP,Subgroup_number)=1,INDEX(Calculations!DP:EU,MATCH(Subgroup_number,Calculations!DP:DP,0),9),IF(Subgroup_number=Calculations!EY$25,Calculations!EY$20,""))</f>
        <v>#VALUE!</v>
      </c>
      <c r="P49" s="4" t="e">
        <f>IF(COUNTIF(Calculations!DP:DP,Subgroup_number)=1,INDEX(Calculations!DP:EU,MATCH(Subgroup_number,Calculations!DP:DP,0),10),IF(Subgroup_number=Calculations!EY$25,Calculations!EY$21,""))</f>
        <v>#VALUE!</v>
      </c>
      <c r="Q4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4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49" s="125"/>
      <c r="U49" s="123"/>
      <c r="W49" s="123"/>
      <c r="Y49" s="123"/>
      <c r="AA49" s="123"/>
    </row>
    <row r="50" spans="6:27">
      <c r="F50" s="48">
        <v>49</v>
      </c>
      <c r="G5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5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5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5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5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50" s="4" t="e">
        <f>IF(COUNTIF(Calculations!DP:DP,Subgroup_number)=1,INDEX(Calculations!DP:EU,MATCH(Subgroup_number,Calculations!DP:DP,0),5),IF(Subgroup_number=Calculations!EY$25,Calculations!EY$17,""))</f>
        <v>#VALUE!</v>
      </c>
      <c r="M50" s="26" t="e">
        <f>IF(COUNTIF(Calculations!DP:DP,Subgroup_number)=1,INDEX(Calculations!DP:EU,MATCH(Subgroup_number,Calculations!DP:DP,0),6),IF(Subgroup_number=Calculations!EY$25,Calculations!EY$18,""))</f>
        <v>#VALUE!</v>
      </c>
      <c r="N50" s="8" t="e">
        <f>IF(COUNTIF(Calculations!DP:DP,Subgroup_number)=1,INDEX(Calculations!DP:EU,MATCH(Subgroup_number,Calculations!DP:DP,0),7),IF(Subgroup_number=Calculations!EY$25,Calculations!EY$19,""))</f>
        <v>#VALUE!</v>
      </c>
      <c r="O50" s="4" t="e">
        <f>IF(COUNTIF(Calculations!DP:DP,Subgroup_number)=1,INDEX(Calculations!DP:EU,MATCH(Subgroup_number,Calculations!DP:DP,0),9),IF(Subgroup_number=Calculations!EY$25,Calculations!EY$20,""))</f>
        <v>#VALUE!</v>
      </c>
      <c r="P50" s="4" t="e">
        <f>IF(COUNTIF(Calculations!DP:DP,Subgroup_number)=1,INDEX(Calculations!DP:EU,MATCH(Subgroup_number,Calculations!DP:DP,0),10),IF(Subgroup_number=Calculations!EY$25,Calculations!EY$21,""))</f>
        <v>#VALUE!</v>
      </c>
      <c r="Q5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5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50" s="125"/>
      <c r="U50" s="123"/>
      <c r="W50" s="123"/>
      <c r="Y50" s="123"/>
      <c r="AA50" s="123"/>
    </row>
    <row r="51" spans="6:27">
      <c r="F51" s="48">
        <v>50</v>
      </c>
      <c r="G5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5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5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5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5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51" s="4" t="e">
        <f>IF(COUNTIF(Calculations!DP:DP,Subgroup_number)=1,INDEX(Calculations!DP:EU,MATCH(Subgroup_number,Calculations!DP:DP,0),5),IF(Subgroup_number=Calculations!EY$25,Calculations!EY$17,""))</f>
        <v>#VALUE!</v>
      </c>
      <c r="M51" s="26" t="e">
        <f>IF(COUNTIF(Calculations!DP:DP,Subgroup_number)=1,INDEX(Calculations!DP:EU,MATCH(Subgroup_number,Calculations!DP:DP,0),6),IF(Subgroup_number=Calculations!EY$25,Calculations!EY$18,""))</f>
        <v>#VALUE!</v>
      </c>
      <c r="N51" s="8" t="e">
        <f>IF(COUNTIF(Calculations!DP:DP,Subgroup_number)=1,INDEX(Calculations!DP:EU,MATCH(Subgroup_number,Calculations!DP:DP,0),7),IF(Subgroup_number=Calculations!EY$25,Calculations!EY$19,""))</f>
        <v>#VALUE!</v>
      </c>
      <c r="O51" s="4" t="e">
        <f>IF(COUNTIF(Calculations!DP:DP,Subgroup_number)=1,INDEX(Calculations!DP:EU,MATCH(Subgroup_number,Calculations!DP:DP,0),9),IF(Subgroup_number=Calculations!EY$25,Calculations!EY$20,""))</f>
        <v>#VALUE!</v>
      </c>
      <c r="P51" s="4" t="e">
        <f>IF(COUNTIF(Calculations!DP:DP,Subgroup_number)=1,INDEX(Calculations!DP:EU,MATCH(Subgroup_number,Calculations!DP:DP,0),10),IF(Subgroup_number=Calculations!EY$25,Calculations!EY$21,""))</f>
        <v>#VALUE!</v>
      </c>
      <c r="Q5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5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51" s="125"/>
      <c r="U51" s="123"/>
      <c r="W51" s="123"/>
      <c r="Y51" s="123"/>
      <c r="AA51" s="123"/>
    </row>
    <row r="52" spans="6:27">
      <c r="F52" s="48">
        <v>51</v>
      </c>
      <c r="G5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5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5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5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5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52" s="4" t="e">
        <f>IF(COUNTIF(Calculations!DP:DP,Subgroup_number)=1,INDEX(Calculations!DP:EU,MATCH(Subgroup_number,Calculations!DP:DP,0),5),IF(Subgroup_number=Calculations!EY$25,Calculations!EY$17,""))</f>
        <v>#VALUE!</v>
      </c>
      <c r="M52" s="26" t="e">
        <f>IF(COUNTIF(Calculations!DP:DP,Subgroup_number)=1,INDEX(Calculations!DP:EU,MATCH(Subgroup_number,Calculations!DP:DP,0),6),IF(Subgroup_number=Calculations!EY$25,Calculations!EY$18,""))</f>
        <v>#VALUE!</v>
      </c>
      <c r="N52" s="8" t="e">
        <f>IF(COUNTIF(Calculations!DP:DP,Subgroup_number)=1,INDEX(Calculations!DP:EU,MATCH(Subgroup_number,Calculations!DP:DP,0),7),IF(Subgroup_number=Calculations!EY$25,Calculations!EY$19,""))</f>
        <v>#VALUE!</v>
      </c>
      <c r="O52" s="4" t="e">
        <f>IF(COUNTIF(Calculations!DP:DP,Subgroup_number)=1,INDEX(Calculations!DP:EU,MATCH(Subgroup_number,Calculations!DP:DP,0),9),IF(Subgroup_number=Calculations!EY$25,Calculations!EY$20,""))</f>
        <v>#VALUE!</v>
      </c>
      <c r="P52" s="4" t="e">
        <f>IF(COUNTIF(Calculations!DP:DP,Subgroup_number)=1,INDEX(Calculations!DP:EU,MATCH(Subgroup_number,Calculations!DP:DP,0),10),IF(Subgroup_number=Calculations!EY$25,Calculations!EY$21,""))</f>
        <v>#VALUE!</v>
      </c>
      <c r="Q5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5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52" s="125"/>
      <c r="U52" s="123"/>
      <c r="W52" s="123"/>
      <c r="Y52" s="123"/>
      <c r="AA52" s="123"/>
    </row>
    <row r="53" spans="6:27">
      <c r="F53" s="48">
        <v>52</v>
      </c>
      <c r="G5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5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5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5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5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53" s="4" t="e">
        <f>IF(COUNTIF(Calculations!DP:DP,Subgroup_number)=1,INDEX(Calculations!DP:EU,MATCH(Subgroup_number,Calculations!DP:DP,0),5),IF(Subgroup_number=Calculations!EY$25,Calculations!EY$17,""))</f>
        <v>#VALUE!</v>
      </c>
      <c r="M53" s="26" t="e">
        <f>IF(COUNTIF(Calculations!DP:DP,Subgroup_number)=1,INDEX(Calculations!DP:EU,MATCH(Subgroup_number,Calculations!DP:DP,0),6),IF(Subgroup_number=Calculations!EY$25,Calculations!EY$18,""))</f>
        <v>#VALUE!</v>
      </c>
      <c r="N53" s="8" t="e">
        <f>IF(COUNTIF(Calculations!DP:DP,Subgroup_number)=1,INDEX(Calculations!DP:EU,MATCH(Subgroup_number,Calculations!DP:DP,0),7),IF(Subgroup_number=Calculations!EY$25,Calculations!EY$19,""))</f>
        <v>#VALUE!</v>
      </c>
      <c r="O53" s="4" t="e">
        <f>IF(COUNTIF(Calculations!DP:DP,Subgroup_number)=1,INDEX(Calculations!DP:EU,MATCH(Subgroup_number,Calculations!DP:DP,0),9),IF(Subgroup_number=Calculations!EY$25,Calculations!EY$20,""))</f>
        <v>#VALUE!</v>
      </c>
      <c r="P53" s="4" t="e">
        <f>IF(COUNTIF(Calculations!DP:DP,Subgroup_number)=1,INDEX(Calculations!DP:EU,MATCH(Subgroup_number,Calculations!DP:DP,0),10),IF(Subgroup_number=Calculations!EY$25,Calculations!EY$21,""))</f>
        <v>#VALUE!</v>
      </c>
      <c r="Q5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5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53" s="125"/>
      <c r="U53" s="123"/>
      <c r="W53" s="123"/>
      <c r="Y53" s="123"/>
      <c r="AA53" s="123"/>
    </row>
    <row r="54" spans="6:27">
      <c r="F54" s="48">
        <v>53</v>
      </c>
      <c r="G5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5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5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5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5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54" s="4" t="e">
        <f>IF(COUNTIF(Calculations!DP:DP,Subgroup_number)=1,INDEX(Calculations!DP:EU,MATCH(Subgroup_number,Calculations!DP:DP,0),5),IF(Subgroup_number=Calculations!EY$25,Calculations!EY$17,""))</f>
        <v>#VALUE!</v>
      </c>
      <c r="M54" s="26" t="e">
        <f>IF(COUNTIF(Calculations!DP:DP,Subgroup_number)=1,INDEX(Calculations!DP:EU,MATCH(Subgroup_number,Calculations!DP:DP,0),6),IF(Subgroup_number=Calculations!EY$25,Calculations!EY$18,""))</f>
        <v>#VALUE!</v>
      </c>
      <c r="N54" s="8" t="e">
        <f>IF(COUNTIF(Calculations!DP:DP,Subgroup_number)=1,INDEX(Calculations!DP:EU,MATCH(Subgroup_number,Calculations!DP:DP,0),7),IF(Subgroup_number=Calculations!EY$25,Calculations!EY$19,""))</f>
        <v>#VALUE!</v>
      </c>
      <c r="O54" s="4" t="e">
        <f>IF(COUNTIF(Calculations!DP:DP,Subgroup_number)=1,INDEX(Calculations!DP:EU,MATCH(Subgroup_number,Calculations!DP:DP,0),9),IF(Subgroup_number=Calculations!EY$25,Calculations!EY$20,""))</f>
        <v>#VALUE!</v>
      </c>
      <c r="P54" s="4" t="e">
        <f>IF(COUNTIF(Calculations!DP:DP,Subgroup_number)=1,INDEX(Calculations!DP:EU,MATCH(Subgroup_number,Calculations!DP:DP,0),10),IF(Subgroup_number=Calculations!EY$25,Calculations!EY$21,""))</f>
        <v>#VALUE!</v>
      </c>
      <c r="Q5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5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54" s="125"/>
      <c r="U54" s="123"/>
      <c r="W54" s="123"/>
      <c r="Y54" s="123"/>
      <c r="AA54" s="123"/>
    </row>
    <row r="55" spans="6:27">
      <c r="F55" s="48">
        <v>54</v>
      </c>
      <c r="G5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5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5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5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5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55" s="4" t="e">
        <f>IF(COUNTIF(Calculations!DP:DP,Subgroup_number)=1,INDEX(Calculations!DP:EU,MATCH(Subgroup_number,Calculations!DP:DP,0),5),IF(Subgroup_number=Calculations!EY$25,Calculations!EY$17,""))</f>
        <v>#VALUE!</v>
      </c>
      <c r="M55" s="26" t="e">
        <f>IF(COUNTIF(Calculations!DP:DP,Subgroup_number)=1,INDEX(Calculations!DP:EU,MATCH(Subgroup_number,Calculations!DP:DP,0),6),IF(Subgroup_number=Calculations!EY$25,Calculations!EY$18,""))</f>
        <v>#VALUE!</v>
      </c>
      <c r="N55" s="8" t="e">
        <f>IF(COUNTIF(Calculations!DP:DP,Subgroup_number)=1,INDEX(Calculations!DP:EU,MATCH(Subgroup_number,Calculations!DP:DP,0),7),IF(Subgroup_number=Calculations!EY$25,Calculations!EY$19,""))</f>
        <v>#VALUE!</v>
      </c>
      <c r="O55" s="4" t="e">
        <f>IF(COUNTIF(Calculations!DP:DP,Subgroup_number)=1,INDEX(Calculations!DP:EU,MATCH(Subgroup_number,Calculations!DP:DP,0),9),IF(Subgroup_number=Calculations!EY$25,Calculations!EY$20,""))</f>
        <v>#VALUE!</v>
      </c>
      <c r="P55" s="4" t="e">
        <f>IF(COUNTIF(Calculations!DP:DP,Subgroup_number)=1,INDEX(Calculations!DP:EU,MATCH(Subgroup_number,Calculations!DP:DP,0),10),IF(Subgroup_number=Calculations!EY$25,Calculations!EY$21,""))</f>
        <v>#VALUE!</v>
      </c>
      <c r="Q5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5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55" s="125"/>
      <c r="U55" s="123"/>
      <c r="W55" s="123"/>
      <c r="Y55" s="123"/>
      <c r="AA55" s="123"/>
    </row>
    <row r="56" spans="6:27">
      <c r="F56" s="48">
        <v>55</v>
      </c>
      <c r="G5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5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5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5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5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56" s="4" t="e">
        <f>IF(COUNTIF(Calculations!DP:DP,Subgroup_number)=1,INDEX(Calculations!DP:EU,MATCH(Subgroup_number,Calculations!DP:DP,0),5),IF(Subgroup_number=Calculations!EY$25,Calculations!EY$17,""))</f>
        <v>#VALUE!</v>
      </c>
      <c r="M56" s="26" t="e">
        <f>IF(COUNTIF(Calculations!DP:DP,Subgroup_number)=1,INDEX(Calculations!DP:EU,MATCH(Subgroup_number,Calculations!DP:DP,0),6),IF(Subgroup_number=Calculations!EY$25,Calculations!EY$18,""))</f>
        <v>#VALUE!</v>
      </c>
      <c r="N56" s="8" t="e">
        <f>IF(COUNTIF(Calculations!DP:DP,Subgroup_number)=1,INDEX(Calculations!DP:EU,MATCH(Subgroup_number,Calculations!DP:DP,0),7),IF(Subgroup_number=Calculations!EY$25,Calculations!EY$19,""))</f>
        <v>#VALUE!</v>
      </c>
      <c r="O56" s="4" t="e">
        <f>IF(COUNTIF(Calculations!DP:DP,Subgroup_number)=1,INDEX(Calculations!DP:EU,MATCH(Subgroup_number,Calculations!DP:DP,0),9),IF(Subgroup_number=Calculations!EY$25,Calculations!EY$20,""))</f>
        <v>#VALUE!</v>
      </c>
      <c r="P56" s="4" t="e">
        <f>IF(COUNTIF(Calculations!DP:DP,Subgroup_number)=1,INDEX(Calculations!DP:EU,MATCH(Subgroup_number,Calculations!DP:DP,0),10),IF(Subgroup_number=Calculations!EY$25,Calculations!EY$21,""))</f>
        <v>#VALUE!</v>
      </c>
      <c r="Q5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5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56" s="125"/>
      <c r="U56" s="123"/>
      <c r="W56" s="123"/>
      <c r="Y56" s="123"/>
      <c r="AA56" s="123"/>
    </row>
    <row r="57" spans="6:27">
      <c r="F57" s="48">
        <v>56</v>
      </c>
      <c r="G5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5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5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5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5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57" s="4" t="e">
        <f>IF(COUNTIF(Calculations!DP:DP,Subgroup_number)=1,INDEX(Calculations!DP:EU,MATCH(Subgroup_number,Calculations!DP:DP,0),5),IF(Subgroup_number=Calculations!EY$25,Calculations!EY$17,""))</f>
        <v>#VALUE!</v>
      </c>
      <c r="M57" s="26" t="e">
        <f>IF(COUNTIF(Calculations!DP:DP,Subgroup_number)=1,INDEX(Calculations!DP:EU,MATCH(Subgroup_number,Calculations!DP:DP,0),6),IF(Subgroup_number=Calculations!EY$25,Calculations!EY$18,""))</f>
        <v>#VALUE!</v>
      </c>
      <c r="N57" s="8" t="e">
        <f>IF(COUNTIF(Calculations!DP:DP,Subgroup_number)=1,INDEX(Calculations!DP:EU,MATCH(Subgroup_number,Calculations!DP:DP,0),7),IF(Subgroup_number=Calculations!EY$25,Calculations!EY$19,""))</f>
        <v>#VALUE!</v>
      </c>
      <c r="O57" s="4" t="e">
        <f>IF(COUNTIF(Calculations!DP:DP,Subgroup_number)=1,INDEX(Calculations!DP:EU,MATCH(Subgroup_number,Calculations!DP:DP,0),9),IF(Subgroup_number=Calculations!EY$25,Calculations!EY$20,""))</f>
        <v>#VALUE!</v>
      </c>
      <c r="P57" s="4" t="e">
        <f>IF(COUNTIF(Calculations!DP:DP,Subgroup_number)=1,INDEX(Calculations!DP:EU,MATCH(Subgroup_number,Calculations!DP:DP,0),10),IF(Subgroup_number=Calculations!EY$25,Calculations!EY$21,""))</f>
        <v>#VALUE!</v>
      </c>
      <c r="Q5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5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57" s="125"/>
      <c r="U57" s="123"/>
      <c r="W57" s="123"/>
      <c r="Y57" s="123"/>
      <c r="AA57" s="123"/>
    </row>
    <row r="58" spans="6:27">
      <c r="F58" s="48">
        <v>57</v>
      </c>
      <c r="G5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5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5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5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5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58" s="4" t="e">
        <f>IF(COUNTIF(Calculations!DP:DP,Subgroup_number)=1,INDEX(Calculations!DP:EU,MATCH(Subgroup_number,Calculations!DP:DP,0),5),IF(Subgroup_number=Calculations!EY$25,Calculations!EY$17,""))</f>
        <v>#VALUE!</v>
      </c>
      <c r="M58" s="26" t="e">
        <f>IF(COUNTIF(Calculations!DP:DP,Subgroup_number)=1,INDEX(Calculations!DP:EU,MATCH(Subgroup_number,Calculations!DP:DP,0),6),IF(Subgroup_number=Calculations!EY$25,Calculations!EY$18,""))</f>
        <v>#VALUE!</v>
      </c>
      <c r="N58" s="8" t="e">
        <f>IF(COUNTIF(Calculations!DP:DP,Subgroup_number)=1,INDEX(Calculations!DP:EU,MATCH(Subgroup_number,Calculations!DP:DP,0),7),IF(Subgroup_number=Calculations!EY$25,Calculations!EY$19,""))</f>
        <v>#VALUE!</v>
      </c>
      <c r="O58" s="4" t="e">
        <f>IF(COUNTIF(Calculations!DP:DP,Subgroup_number)=1,INDEX(Calculations!DP:EU,MATCH(Subgroup_number,Calculations!DP:DP,0),9),IF(Subgroup_number=Calculations!EY$25,Calculations!EY$20,""))</f>
        <v>#VALUE!</v>
      </c>
      <c r="P58" s="4" t="e">
        <f>IF(COUNTIF(Calculations!DP:DP,Subgroup_number)=1,INDEX(Calculations!DP:EU,MATCH(Subgroup_number,Calculations!DP:DP,0),10),IF(Subgroup_number=Calculations!EY$25,Calculations!EY$21,""))</f>
        <v>#VALUE!</v>
      </c>
      <c r="Q5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5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58" s="125"/>
      <c r="U58" s="123"/>
      <c r="W58" s="123"/>
      <c r="Y58" s="123"/>
      <c r="AA58" s="123"/>
    </row>
    <row r="59" spans="6:27">
      <c r="F59" s="48">
        <v>58</v>
      </c>
      <c r="G5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5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5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5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5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59" s="4" t="e">
        <f>IF(COUNTIF(Calculations!DP:DP,Subgroup_number)=1,INDEX(Calculations!DP:EU,MATCH(Subgroup_number,Calculations!DP:DP,0),5),IF(Subgroup_number=Calculations!EY$25,Calculations!EY$17,""))</f>
        <v>#VALUE!</v>
      </c>
      <c r="M59" s="26" t="e">
        <f>IF(COUNTIF(Calculations!DP:DP,Subgroup_number)=1,INDEX(Calculations!DP:EU,MATCH(Subgroup_number,Calculations!DP:DP,0),6),IF(Subgroup_number=Calculations!EY$25,Calculations!EY$18,""))</f>
        <v>#VALUE!</v>
      </c>
      <c r="N59" s="8" t="e">
        <f>IF(COUNTIF(Calculations!DP:DP,Subgroup_number)=1,INDEX(Calculations!DP:EU,MATCH(Subgroup_number,Calculations!DP:DP,0),7),IF(Subgroup_number=Calculations!EY$25,Calculations!EY$19,""))</f>
        <v>#VALUE!</v>
      </c>
      <c r="O59" s="4" t="e">
        <f>IF(COUNTIF(Calculations!DP:DP,Subgroup_number)=1,INDEX(Calculations!DP:EU,MATCH(Subgroup_number,Calculations!DP:DP,0),9),IF(Subgroup_number=Calculations!EY$25,Calculations!EY$20,""))</f>
        <v>#VALUE!</v>
      </c>
      <c r="P59" s="4" t="e">
        <f>IF(COUNTIF(Calculations!DP:DP,Subgroup_number)=1,INDEX(Calculations!DP:EU,MATCH(Subgroup_number,Calculations!DP:DP,0),10),IF(Subgroup_number=Calculations!EY$25,Calculations!EY$21,""))</f>
        <v>#VALUE!</v>
      </c>
      <c r="Q5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5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59" s="125"/>
      <c r="U59" s="123"/>
      <c r="W59" s="123"/>
      <c r="Y59" s="123"/>
      <c r="AA59" s="123"/>
    </row>
    <row r="60" spans="6:27">
      <c r="F60" s="48">
        <v>59</v>
      </c>
      <c r="G6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6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6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6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6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60" s="4" t="e">
        <f>IF(COUNTIF(Calculations!DP:DP,Subgroup_number)=1,INDEX(Calculations!DP:EU,MATCH(Subgroup_number,Calculations!DP:DP,0),5),IF(Subgroup_number=Calculations!EY$25,Calculations!EY$17,""))</f>
        <v>#VALUE!</v>
      </c>
      <c r="M60" s="26" t="e">
        <f>IF(COUNTIF(Calculations!DP:DP,Subgroup_number)=1,INDEX(Calculations!DP:EU,MATCH(Subgroup_number,Calculations!DP:DP,0),6),IF(Subgroup_number=Calculations!EY$25,Calculations!EY$18,""))</f>
        <v>#VALUE!</v>
      </c>
      <c r="N60" s="8" t="e">
        <f>IF(COUNTIF(Calculations!DP:DP,Subgroup_number)=1,INDEX(Calculations!DP:EU,MATCH(Subgroup_number,Calculations!DP:DP,0),7),IF(Subgroup_number=Calculations!EY$25,Calculations!EY$19,""))</f>
        <v>#VALUE!</v>
      </c>
      <c r="O60" s="4" t="e">
        <f>IF(COUNTIF(Calculations!DP:DP,Subgroup_number)=1,INDEX(Calculations!DP:EU,MATCH(Subgroup_number,Calculations!DP:DP,0),9),IF(Subgroup_number=Calculations!EY$25,Calculations!EY$20,""))</f>
        <v>#VALUE!</v>
      </c>
      <c r="P60" s="4" t="e">
        <f>IF(COUNTIF(Calculations!DP:DP,Subgroup_number)=1,INDEX(Calculations!DP:EU,MATCH(Subgroup_number,Calculations!DP:DP,0),10),IF(Subgroup_number=Calculations!EY$25,Calculations!EY$21,""))</f>
        <v>#VALUE!</v>
      </c>
      <c r="Q6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6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60" s="125"/>
      <c r="U60" s="123"/>
      <c r="W60" s="123"/>
      <c r="Y60" s="123"/>
      <c r="AA60" s="123"/>
    </row>
    <row r="61" spans="6:27">
      <c r="F61" s="48">
        <v>60</v>
      </c>
      <c r="G6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6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6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6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6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61" s="4" t="e">
        <f>IF(COUNTIF(Calculations!DP:DP,Subgroup_number)=1,INDEX(Calculations!DP:EU,MATCH(Subgroup_number,Calculations!DP:DP,0),5),IF(Subgroup_number=Calculations!EY$25,Calculations!EY$17,""))</f>
        <v>#VALUE!</v>
      </c>
      <c r="M61" s="26" t="e">
        <f>IF(COUNTIF(Calculations!DP:DP,Subgroup_number)=1,INDEX(Calculations!DP:EU,MATCH(Subgroup_number,Calculations!DP:DP,0),6),IF(Subgroup_number=Calculations!EY$25,Calculations!EY$18,""))</f>
        <v>#VALUE!</v>
      </c>
      <c r="N61" s="8" t="e">
        <f>IF(COUNTIF(Calculations!DP:DP,Subgroup_number)=1,INDEX(Calculations!DP:EU,MATCH(Subgroup_number,Calculations!DP:DP,0),7),IF(Subgroup_number=Calculations!EY$25,Calculations!EY$19,""))</f>
        <v>#VALUE!</v>
      </c>
      <c r="O61" s="4" t="e">
        <f>IF(COUNTIF(Calculations!DP:DP,Subgroup_number)=1,INDEX(Calculations!DP:EU,MATCH(Subgroup_number,Calculations!DP:DP,0),9),IF(Subgroup_number=Calculations!EY$25,Calculations!EY$20,""))</f>
        <v>#VALUE!</v>
      </c>
      <c r="P61" s="4" t="e">
        <f>IF(COUNTIF(Calculations!DP:DP,Subgroup_number)=1,INDEX(Calculations!DP:EU,MATCH(Subgroup_number,Calculations!DP:DP,0),10),IF(Subgroup_number=Calculations!EY$25,Calculations!EY$21,""))</f>
        <v>#VALUE!</v>
      </c>
      <c r="Q6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6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61" s="125"/>
      <c r="U61" s="123"/>
      <c r="W61" s="123"/>
      <c r="Y61" s="123"/>
      <c r="AA61" s="123"/>
    </row>
    <row r="62" spans="6:27">
      <c r="F62" s="48">
        <v>61</v>
      </c>
      <c r="G6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6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6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6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6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62" s="4" t="e">
        <f>IF(COUNTIF(Calculations!DP:DP,Subgroup_number)=1,INDEX(Calculations!DP:EU,MATCH(Subgroup_number,Calculations!DP:DP,0),5),IF(Subgroup_number=Calculations!EY$25,Calculations!EY$17,""))</f>
        <v>#VALUE!</v>
      </c>
      <c r="M62" s="26" t="e">
        <f>IF(COUNTIF(Calculations!DP:DP,Subgroup_number)=1,INDEX(Calculations!DP:EU,MATCH(Subgroup_number,Calculations!DP:DP,0),6),IF(Subgroup_number=Calculations!EY$25,Calculations!EY$18,""))</f>
        <v>#VALUE!</v>
      </c>
      <c r="N62" s="8" t="e">
        <f>IF(COUNTIF(Calculations!DP:DP,Subgroup_number)=1,INDEX(Calculations!DP:EU,MATCH(Subgroup_number,Calculations!DP:DP,0),7),IF(Subgroup_number=Calculations!EY$25,Calculations!EY$19,""))</f>
        <v>#VALUE!</v>
      </c>
      <c r="O62" s="4" t="e">
        <f>IF(COUNTIF(Calculations!DP:DP,Subgroup_number)=1,INDEX(Calculations!DP:EU,MATCH(Subgroup_number,Calculations!DP:DP,0),9),IF(Subgroup_number=Calculations!EY$25,Calculations!EY$20,""))</f>
        <v>#VALUE!</v>
      </c>
      <c r="P62" s="4" t="e">
        <f>IF(COUNTIF(Calculations!DP:DP,Subgroup_number)=1,INDEX(Calculations!DP:EU,MATCH(Subgroup_number,Calculations!DP:DP,0),10),IF(Subgroup_number=Calculations!EY$25,Calculations!EY$21,""))</f>
        <v>#VALUE!</v>
      </c>
      <c r="Q6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6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62" s="125"/>
      <c r="U62" s="123"/>
      <c r="W62" s="123"/>
      <c r="Y62" s="123"/>
      <c r="AA62" s="123"/>
    </row>
    <row r="63" spans="6:27">
      <c r="F63" s="48">
        <v>62</v>
      </c>
      <c r="G6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6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6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6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6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63" s="4" t="e">
        <f>IF(COUNTIF(Calculations!DP:DP,Subgroup_number)=1,INDEX(Calculations!DP:EU,MATCH(Subgroup_number,Calculations!DP:DP,0),5),IF(Subgroup_number=Calculations!EY$25,Calculations!EY$17,""))</f>
        <v>#VALUE!</v>
      </c>
      <c r="M63" s="26" t="e">
        <f>IF(COUNTIF(Calculations!DP:DP,Subgroup_number)=1,INDEX(Calculations!DP:EU,MATCH(Subgroup_number,Calculations!DP:DP,0),6),IF(Subgroup_number=Calculations!EY$25,Calculations!EY$18,""))</f>
        <v>#VALUE!</v>
      </c>
      <c r="N63" s="8" t="e">
        <f>IF(COUNTIF(Calculations!DP:DP,Subgroup_number)=1,INDEX(Calculations!DP:EU,MATCH(Subgroup_number,Calculations!DP:DP,0),7),IF(Subgroup_number=Calculations!EY$25,Calculations!EY$19,""))</f>
        <v>#VALUE!</v>
      </c>
      <c r="O63" s="4" t="e">
        <f>IF(COUNTIF(Calculations!DP:DP,Subgroup_number)=1,INDEX(Calculations!DP:EU,MATCH(Subgroup_number,Calculations!DP:DP,0),9),IF(Subgroup_number=Calculations!EY$25,Calculations!EY$20,""))</f>
        <v>#VALUE!</v>
      </c>
      <c r="P63" s="4" t="e">
        <f>IF(COUNTIF(Calculations!DP:DP,Subgroup_number)=1,INDEX(Calculations!DP:EU,MATCH(Subgroup_number,Calculations!DP:DP,0),10),IF(Subgroup_number=Calculations!EY$25,Calculations!EY$21,""))</f>
        <v>#VALUE!</v>
      </c>
      <c r="Q6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6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63" s="125"/>
      <c r="U63" s="123"/>
      <c r="W63" s="123"/>
      <c r="Y63" s="123"/>
      <c r="AA63" s="123"/>
    </row>
    <row r="64" spans="6:27">
      <c r="F64" s="48">
        <v>63</v>
      </c>
      <c r="G6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6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6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6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6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64" s="4" t="e">
        <f>IF(COUNTIF(Calculations!DP:DP,Subgroup_number)=1,INDEX(Calculations!DP:EU,MATCH(Subgroup_number,Calculations!DP:DP,0),5),IF(Subgroup_number=Calculations!EY$25,Calculations!EY$17,""))</f>
        <v>#VALUE!</v>
      </c>
      <c r="M64" s="26" t="e">
        <f>IF(COUNTIF(Calculations!DP:DP,Subgroup_number)=1,INDEX(Calculations!DP:EU,MATCH(Subgroup_number,Calculations!DP:DP,0),6),IF(Subgroup_number=Calculations!EY$25,Calculations!EY$18,""))</f>
        <v>#VALUE!</v>
      </c>
      <c r="N64" s="8" t="e">
        <f>IF(COUNTIF(Calculations!DP:DP,Subgroup_number)=1,INDEX(Calculations!DP:EU,MATCH(Subgroup_number,Calculations!DP:DP,0),7),IF(Subgroup_number=Calculations!EY$25,Calculations!EY$19,""))</f>
        <v>#VALUE!</v>
      </c>
      <c r="O64" s="4" t="e">
        <f>IF(COUNTIF(Calculations!DP:DP,Subgroup_number)=1,INDEX(Calculations!DP:EU,MATCH(Subgroup_number,Calculations!DP:DP,0),9),IF(Subgroup_number=Calculations!EY$25,Calculations!EY$20,""))</f>
        <v>#VALUE!</v>
      </c>
      <c r="P64" s="4" t="e">
        <f>IF(COUNTIF(Calculations!DP:DP,Subgroup_number)=1,INDEX(Calculations!DP:EU,MATCH(Subgroup_number,Calculations!DP:DP,0),10),IF(Subgroup_number=Calculations!EY$25,Calculations!EY$21,""))</f>
        <v>#VALUE!</v>
      </c>
      <c r="Q6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6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64" s="125"/>
      <c r="U64" s="123"/>
      <c r="W64" s="123"/>
      <c r="Y64" s="123"/>
      <c r="AA64" s="123"/>
    </row>
    <row r="65" spans="6:27">
      <c r="F65" s="48">
        <v>64</v>
      </c>
      <c r="G6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6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6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6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6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65" s="4" t="e">
        <f>IF(COUNTIF(Calculations!DP:DP,Subgroup_number)=1,INDEX(Calculations!DP:EU,MATCH(Subgroup_number,Calculations!DP:DP,0),5),IF(Subgroup_number=Calculations!EY$25,Calculations!EY$17,""))</f>
        <v>#VALUE!</v>
      </c>
      <c r="M65" s="26" t="e">
        <f>IF(COUNTIF(Calculations!DP:DP,Subgroup_number)=1,INDEX(Calculations!DP:EU,MATCH(Subgroup_number,Calculations!DP:DP,0),6),IF(Subgroup_number=Calculations!EY$25,Calculations!EY$18,""))</f>
        <v>#VALUE!</v>
      </c>
      <c r="N65" s="8" t="e">
        <f>IF(COUNTIF(Calculations!DP:DP,Subgroup_number)=1,INDEX(Calculations!DP:EU,MATCH(Subgroup_number,Calculations!DP:DP,0),7),IF(Subgroup_number=Calculations!EY$25,Calculations!EY$19,""))</f>
        <v>#VALUE!</v>
      </c>
      <c r="O65" s="4" t="e">
        <f>IF(COUNTIF(Calculations!DP:DP,Subgroup_number)=1,INDEX(Calculations!DP:EU,MATCH(Subgroup_number,Calculations!DP:DP,0),9),IF(Subgroup_number=Calculations!EY$25,Calculations!EY$20,""))</f>
        <v>#VALUE!</v>
      </c>
      <c r="P65" s="4" t="e">
        <f>IF(COUNTIF(Calculations!DP:DP,Subgroup_number)=1,INDEX(Calculations!DP:EU,MATCH(Subgroup_number,Calculations!DP:DP,0),10),IF(Subgroup_number=Calculations!EY$25,Calculations!EY$21,""))</f>
        <v>#VALUE!</v>
      </c>
      <c r="Q6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6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65" s="125"/>
      <c r="U65" s="123"/>
      <c r="W65" s="123"/>
      <c r="Y65" s="123"/>
      <c r="AA65" s="123"/>
    </row>
    <row r="66" spans="6:27">
      <c r="F66" s="48">
        <v>65</v>
      </c>
      <c r="G6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6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6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6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6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66" s="4" t="e">
        <f>IF(COUNTIF(Calculations!DP:DP,Subgroup_number)=1,INDEX(Calculations!DP:EU,MATCH(Subgroup_number,Calculations!DP:DP,0),5),IF(Subgroup_number=Calculations!EY$25,Calculations!EY$17,""))</f>
        <v>#VALUE!</v>
      </c>
      <c r="M66" s="26" t="e">
        <f>IF(COUNTIF(Calculations!DP:DP,Subgroup_number)=1,INDEX(Calculations!DP:EU,MATCH(Subgroup_number,Calculations!DP:DP,0),6),IF(Subgroup_number=Calculations!EY$25,Calculations!EY$18,""))</f>
        <v>#VALUE!</v>
      </c>
      <c r="N66" s="8" t="e">
        <f>IF(COUNTIF(Calculations!DP:DP,Subgroup_number)=1,INDEX(Calculations!DP:EU,MATCH(Subgroup_number,Calculations!DP:DP,0),7),IF(Subgroup_number=Calculations!EY$25,Calculations!EY$19,""))</f>
        <v>#VALUE!</v>
      </c>
      <c r="O66" s="4" t="e">
        <f>IF(COUNTIF(Calculations!DP:DP,Subgroup_number)=1,INDEX(Calculations!DP:EU,MATCH(Subgroup_number,Calculations!DP:DP,0),9),IF(Subgroup_number=Calculations!EY$25,Calculations!EY$20,""))</f>
        <v>#VALUE!</v>
      </c>
      <c r="P66" s="4" t="e">
        <f>IF(COUNTIF(Calculations!DP:DP,Subgroup_number)=1,INDEX(Calculations!DP:EU,MATCH(Subgroup_number,Calculations!DP:DP,0),10),IF(Subgroup_number=Calculations!EY$25,Calculations!EY$21,""))</f>
        <v>#VALUE!</v>
      </c>
      <c r="Q6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6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66" s="125"/>
      <c r="U66" s="123"/>
      <c r="W66" s="123"/>
      <c r="Y66" s="123"/>
      <c r="AA66" s="123"/>
    </row>
    <row r="67" spans="6:27">
      <c r="F67" s="48">
        <v>66</v>
      </c>
      <c r="G6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6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6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6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6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67" s="4" t="e">
        <f>IF(COUNTIF(Calculations!DP:DP,Subgroup_number)=1,INDEX(Calculations!DP:EU,MATCH(Subgroup_number,Calculations!DP:DP,0),5),IF(Subgroup_number=Calculations!EY$25,Calculations!EY$17,""))</f>
        <v>#VALUE!</v>
      </c>
      <c r="M67" s="26" t="e">
        <f>IF(COUNTIF(Calculations!DP:DP,Subgroup_number)=1,INDEX(Calculations!DP:EU,MATCH(Subgroup_number,Calculations!DP:DP,0),6),IF(Subgroup_number=Calculations!EY$25,Calculations!EY$18,""))</f>
        <v>#VALUE!</v>
      </c>
      <c r="N67" s="8" t="e">
        <f>IF(COUNTIF(Calculations!DP:DP,Subgroup_number)=1,INDEX(Calculations!DP:EU,MATCH(Subgroup_number,Calculations!DP:DP,0),7),IF(Subgroup_number=Calculations!EY$25,Calculations!EY$19,""))</f>
        <v>#VALUE!</v>
      </c>
      <c r="O67" s="4" t="e">
        <f>IF(COUNTIF(Calculations!DP:DP,Subgroup_number)=1,INDEX(Calculations!DP:EU,MATCH(Subgroup_number,Calculations!DP:DP,0),9),IF(Subgroup_number=Calculations!EY$25,Calculations!EY$20,""))</f>
        <v>#VALUE!</v>
      </c>
      <c r="P67" s="4" t="e">
        <f>IF(COUNTIF(Calculations!DP:DP,Subgroup_number)=1,INDEX(Calculations!DP:EU,MATCH(Subgroup_number,Calculations!DP:DP,0),10),IF(Subgroup_number=Calculations!EY$25,Calculations!EY$21,""))</f>
        <v>#VALUE!</v>
      </c>
      <c r="Q6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6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67" s="125"/>
      <c r="U67" s="123"/>
      <c r="W67" s="123"/>
      <c r="Y67" s="123"/>
      <c r="AA67" s="123"/>
    </row>
    <row r="68" spans="6:27">
      <c r="F68" s="48">
        <v>67</v>
      </c>
      <c r="G6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6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6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6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6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68" s="4" t="e">
        <f>IF(COUNTIF(Calculations!DP:DP,Subgroup_number)=1,INDEX(Calculations!DP:EU,MATCH(Subgroup_number,Calculations!DP:DP,0),5),IF(Subgroup_number=Calculations!EY$25,Calculations!EY$17,""))</f>
        <v>#VALUE!</v>
      </c>
      <c r="M68" s="26" t="e">
        <f>IF(COUNTIF(Calculations!DP:DP,Subgroup_number)=1,INDEX(Calculations!DP:EU,MATCH(Subgroup_number,Calculations!DP:DP,0),6),IF(Subgroup_number=Calculations!EY$25,Calculations!EY$18,""))</f>
        <v>#VALUE!</v>
      </c>
      <c r="N68" s="8" t="e">
        <f>IF(COUNTIF(Calculations!DP:DP,Subgroup_number)=1,INDEX(Calculations!DP:EU,MATCH(Subgroup_number,Calculations!DP:DP,0),7),IF(Subgroup_number=Calculations!EY$25,Calculations!EY$19,""))</f>
        <v>#VALUE!</v>
      </c>
      <c r="O68" s="4" t="e">
        <f>IF(COUNTIF(Calculations!DP:DP,Subgroup_number)=1,INDEX(Calculations!DP:EU,MATCH(Subgroup_number,Calculations!DP:DP,0),9),IF(Subgroup_number=Calculations!EY$25,Calculations!EY$20,""))</f>
        <v>#VALUE!</v>
      </c>
      <c r="P68" s="4" t="e">
        <f>IF(COUNTIF(Calculations!DP:DP,Subgroup_number)=1,INDEX(Calculations!DP:EU,MATCH(Subgroup_number,Calculations!DP:DP,0),10),IF(Subgroup_number=Calculations!EY$25,Calculations!EY$21,""))</f>
        <v>#VALUE!</v>
      </c>
      <c r="Q6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6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68" s="125"/>
      <c r="U68" s="123"/>
      <c r="W68" s="123"/>
      <c r="Y68" s="123"/>
      <c r="AA68" s="123"/>
    </row>
    <row r="69" spans="6:27">
      <c r="F69" s="48">
        <v>68</v>
      </c>
      <c r="G6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6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6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6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6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69" s="4" t="e">
        <f>IF(COUNTIF(Calculations!DP:DP,Subgroup_number)=1,INDEX(Calculations!DP:EU,MATCH(Subgroup_number,Calculations!DP:DP,0),5),IF(Subgroup_number=Calculations!EY$25,Calculations!EY$17,""))</f>
        <v>#VALUE!</v>
      </c>
      <c r="M69" s="26" t="e">
        <f>IF(COUNTIF(Calculations!DP:DP,Subgroup_number)=1,INDEX(Calculations!DP:EU,MATCH(Subgroup_number,Calculations!DP:DP,0),6),IF(Subgroup_number=Calculations!EY$25,Calculations!EY$18,""))</f>
        <v>#VALUE!</v>
      </c>
      <c r="N69" s="8" t="e">
        <f>IF(COUNTIF(Calculations!DP:DP,Subgroup_number)=1,INDEX(Calculations!DP:EU,MATCH(Subgroup_number,Calculations!DP:DP,0),7),IF(Subgroup_number=Calculations!EY$25,Calculations!EY$19,""))</f>
        <v>#VALUE!</v>
      </c>
      <c r="O69" s="4" t="e">
        <f>IF(COUNTIF(Calculations!DP:DP,Subgroup_number)=1,INDEX(Calculations!DP:EU,MATCH(Subgroup_number,Calculations!DP:DP,0),9),IF(Subgroup_number=Calculations!EY$25,Calculations!EY$20,""))</f>
        <v>#VALUE!</v>
      </c>
      <c r="P69" s="4" t="e">
        <f>IF(COUNTIF(Calculations!DP:DP,Subgroup_number)=1,INDEX(Calculations!DP:EU,MATCH(Subgroup_number,Calculations!DP:DP,0),10),IF(Subgroup_number=Calculations!EY$25,Calculations!EY$21,""))</f>
        <v>#VALUE!</v>
      </c>
      <c r="Q6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6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69" s="125"/>
      <c r="U69" s="123"/>
      <c r="W69" s="123"/>
      <c r="Y69" s="123"/>
      <c r="AA69" s="123"/>
    </row>
    <row r="70" spans="6:27">
      <c r="F70" s="48">
        <v>69</v>
      </c>
      <c r="G7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7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7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7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7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70" s="4" t="e">
        <f>IF(COUNTIF(Calculations!DP:DP,Subgroup_number)=1,INDEX(Calculations!DP:EU,MATCH(Subgroup_number,Calculations!DP:DP,0),5),IF(Subgroup_number=Calculations!EY$25,Calculations!EY$17,""))</f>
        <v>#VALUE!</v>
      </c>
      <c r="M70" s="26" t="e">
        <f>IF(COUNTIF(Calculations!DP:DP,Subgroup_number)=1,INDEX(Calculations!DP:EU,MATCH(Subgroup_number,Calculations!DP:DP,0),6),IF(Subgroup_number=Calculations!EY$25,Calculations!EY$18,""))</f>
        <v>#VALUE!</v>
      </c>
      <c r="N70" s="8" t="e">
        <f>IF(COUNTIF(Calculations!DP:DP,Subgroup_number)=1,INDEX(Calculations!DP:EU,MATCH(Subgroup_number,Calculations!DP:DP,0),7),IF(Subgroup_number=Calculations!EY$25,Calculations!EY$19,""))</f>
        <v>#VALUE!</v>
      </c>
      <c r="O70" s="4" t="e">
        <f>IF(COUNTIF(Calculations!DP:DP,Subgroup_number)=1,INDEX(Calculations!DP:EU,MATCH(Subgroup_number,Calculations!DP:DP,0),9),IF(Subgroup_number=Calculations!EY$25,Calculations!EY$20,""))</f>
        <v>#VALUE!</v>
      </c>
      <c r="P70" s="4" t="e">
        <f>IF(COUNTIF(Calculations!DP:DP,Subgroup_number)=1,INDEX(Calculations!DP:EU,MATCH(Subgroup_number,Calculations!DP:DP,0),10),IF(Subgroup_number=Calculations!EY$25,Calculations!EY$21,""))</f>
        <v>#VALUE!</v>
      </c>
      <c r="Q7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7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70" s="125"/>
      <c r="U70" s="123"/>
      <c r="W70" s="123"/>
      <c r="Y70" s="123"/>
      <c r="AA70" s="123"/>
    </row>
    <row r="71" spans="6:27">
      <c r="F71" s="48">
        <v>70</v>
      </c>
      <c r="G7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7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7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7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7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71" s="4" t="e">
        <f>IF(COUNTIF(Calculations!DP:DP,Subgroup_number)=1,INDEX(Calculations!DP:EU,MATCH(Subgroup_number,Calculations!DP:DP,0),5),IF(Subgroup_number=Calculations!EY$25,Calculations!EY$17,""))</f>
        <v>#VALUE!</v>
      </c>
      <c r="M71" s="26" t="e">
        <f>IF(COUNTIF(Calculations!DP:DP,Subgroup_number)=1,INDEX(Calculations!DP:EU,MATCH(Subgroup_number,Calculations!DP:DP,0),6),IF(Subgroup_number=Calculations!EY$25,Calculations!EY$18,""))</f>
        <v>#VALUE!</v>
      </c>
      <c r="N71" s="8" t="e">
        <f>IF(COUNTIF(Calculations!DP:DP,Subgroup_number)=1,INDEX(Calculations!DP:EU,MATCH(Subgroup_number,Calculations!DP:DP,0),7),IF(Subgroup_number=Calculations!EY$25,Calculations!EY$19,""))</f>
        <v>#VALUE!</v>
      </c>
      <c r="O71" s="4" t="e">
        <f>IF(COUNTIF(Calculations!DP:DP,Subgroup_number)=1,INDEX(Calculations!DP:EU,MATCH(Subgroup_number,Calculations!DP:DP,0),9),IF(Subgroup_number=Calculations!EY$25,Calculations!EY$20,""))</f>
        <v>#VALUE!</v>
      </c>
      <c r="P71" s="4" t="e">
        <f>IF(COUNTIF(Calculations!DP:DP,Subgroup_number)=1,INDEX(Calculations!DP:EU,MATCH(Subgroup_number,Calculations!DP:DP,0),10),IF(Subgroup_number=Calculations!EY$25,Calculations!EY$21,""))</f>
        <v>#VALUE!</v>
      </c>
      <c r="Q7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7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71" s="125"/>
      <c r="U71" s="123"/>
      <c r="W71" s="123"/>
      <c r="Y71" s="123"/>
      <c r="AA71" s="123"/>
    </row>
    <row r="72" spans="6:27">
      <c r="F72" s="48">
        <v>71</v>
      </c>
      <c r="G7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7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7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7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7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72" s="4" t="e">
        <f>IF(COUNTIF(Calculations!DP:DP,Subgroup_number)=1,INDEX(Calculations!DP:EU,MATCH(Subgroup_number,Calculations!DP:DP,0),5),IF(Subgroup_number=Calculations!EY$25,Calculations!EY$17,""))</f>
        <v>#VALUE!</v>
      </c>
      <c r="M72" s="26" t="e">
        <f>IF(COUNTIF(Calculations!DP:DP,Subgroup_number)=1,INDEX(Calculations!DP:EU,MATCH(Subgroup_number,Calculations!DP:DP,0),6),IF(Subgroup_number=Calculations!EY$25,Calculations!EY$18,""))</f>
        <v>#VALUE!</v>
      </c>
      <c r="N72" s="8" t="e">
        <f>IF(COUNTIF(Calculations!DP:DP,Subgroup_number)=1,INDEX(Calculations!DP:EU,MATCH(Subgroup_number,Calculations!DP:DP,0),7),IF(Subgroup_number=Calculations!EY$25,Calculations!EY$19,""))</f>
        <v>#VALUE!</v>
      </c>
      <c r="O72" s="4" t="e">
        <f>IF(COUNTIF(Calculations!DP:DP,Subgroup_number)=1,INDEX(Calculations!DP:EU,MATCH(Subgroup_number,Calculations!DP:DP,0),9),IF(Subgroup_number=Calculations!EY$25,Calculations!EY$20,""))</f>
        <v>#VALUE!</v>
      </c>
      <c r="P72" s="4" t="e">
        <f>IF(COUNTIF(Calculations!DP:DP,Subgroup_number)=1,INDEX(Calculations!DP:EU,MATCH(Subgroup_number,Calculations!DP:DP,0),10),IF(Subgroup_number=Calculations!EY$25,Calculations!EY$21,""))</f>
        <v>#VALUE!</v>
      </c>
      <c r="Q7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7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72" s="125"/>
      <c r="U72" s="123"/>
      <c r="W72" s="123"/>
      <c r="Y72" s="123"/>
      <c r="AA72" s="123"/>
    </row>
    <row r="73" spans="6:27">
      <c r="F73" s="48">
        <v>72</v>
      </c>
      <c r="G7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7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7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7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7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73" s="4" t="e">
        <f>IF(COUNTIF(Calculations!DP:DP,Subgroup_number)=1,INDEX(Calculations!DP:EU,MATCH(Subgroup_number,Calculations!DP:DP,0),5),IF(Subgroup_number=Calculations!EY$25,Calculations!EY$17,""))</f>
        <v>#VALUE!</v>
      </c>
      <c r="M73" s="26" t="e">
        <f>IF(COUNTIF(Calculations!DP:DP,Subgroup_number)=1,INDEX(Calculations!DP:EU,MATCH(Subgroup_number,Calculations!DP:DP,0),6),IF(Subgroup_number=Calculations!EY$25,Calculations!EY$18,""))</f>
        <v>#VALUE!</v>
      </c>
      <c r="N73" s="8" t="e">
        <f>IF(COUNTIF(Calculations!DP:DP,Subgroup_number)=1,INDEX(Calculations!DP:EU,MATCH(Subgroup_number,Calculations!DP:DP,0),7),IF(Subgroup_number=Calculations!EY$25,Calculations!EY$19,""))</f>
        <v>#VALUE!</v>
      </c>
      <c r="O73" s="4" t="e">
        <f>IF(COUNTIF(Calculations!DP:DP,Subgroup_number)=1,INDEX(Calculations!DP:EU,MATCH(Subgroup_number,Calculations!DP:DP,0),9),IF(Subgroup_number=Calculations!EY$25,Calculations!EY$20,""))</f>
        <v>#VALUE!</v>
      </c>
      <c r="P73" s="4" t="e">
        <f>IF(COUNTIF(Calculations!DP:DP,Subgroup_number)=1,INDEX(Calculations!DP:EU,MATCH(Subgroup_number,Calculations!DP:DP,0),10),IF(Subgroup_number=Calculations!EY$25,Calculations!EY$21,""))</f>
        <v>#VALUE!</v>
      </c>
      <c r="Q7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7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73" s="125"/>
      <c r="U73" s="123"/>
      <c r="W73" s="123"/>
      <c r="Y73" s="123"/>
      <c r="AA73" s="123"/>
    </row>
    <row r="74" spans="6:27">
      <c r="F74" s="48">
        <v>73</v>
      </c>
      <c r="G7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7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7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7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7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74" s="4" t="e">
        <f>IF(COUNTIF(Calculations!DP:DP,Subgroup_number)=1,INDEX(Calculations!DP:EU,MATCH(Subgroup_number,Calculations!DP:DP,0),5),IF(Subgroup_number=Calculations!EY$25,Calculations!EY$17,""))</f>
        <v>#VALUE!</v>
      </c>
      <c r="M74" s="26" t="e">
        <f>IF(COUNTIF(Calculations!DP:DP,Subgroup_number)=1,INDEX(Calculations!DP:EU,MATCH(Subgroup_number,Calculations!DP:DP,0),6),IF(Subgroup_number=Calculations!EY$25,Calculations!EY$18,""))</f>
        <v>#VALUE!</v>
      </c>
      <c r="N74" s="8" t="e">
        <f>IF(COUNTIF(Calculations!DP:DP,Subgroup_number)=1,INDEX(Calculations!DP:EU,MATCH(Subgroup_number,Calculations!DP:DP,0),7),IF(Subgroup_number=Calculations!EY$25,Calculations!EY$19,""))</f>
        <v>#VALUE!</v>
      </c>
      <c r="O74" s="4" t="e">
        <f>IF(COUNTIF(Calculations!DP:DP,Subgroup_number)=1,INDEX(Calculations!DP:EU,MATCH(Subgroup_number,Calculations!DP:DP,0),9),IF(Subgroup_number=Calculations!EY$25,Calculations!EY$20,""))</f>
        <v>#VALUE!</v>
      </c>
      <c r="P74" s="4" t="e">
        <f>IF(COUNTIF(Calculations!DP:DP,Subgroup_number)=1,INDEX(Calculations!DP:EU,MATCH(Subgroup_number,Calculations!DP:DP,0),10),IF(Subgroup_number=Calculations!EY$25,Calculations!EY$21,""))</f>
        <v>#VALUE!</v>
      </c>
      <c r="Q7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7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74" s="125"/>
      <c r="U74" s="123"/>
      <c r="W74" s="123"/>
      <c r="Y74" s="123"/>
      <c r="AA74" s="123"/>
    </row>
    <row r="75" spans="6:27">
      <c r="F75" s="48">
        <v>74</v>
      </c>
      <c r="G7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7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7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7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7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75" s="4" t="e">
        <f>IF(COUNTIF(Calculations!DP:DP,Subgroup_number)=1,INDEX(Calculations!DP:EU,MATCH(Subgroup_number,Calculations!DP:DP,0),5),IF(Subgroup_number=Calculations!EY$25,Calculations!EY$17,""))</f>
        <v>#VALUE!</v>
      </c>
      <c r="M75" s="26" t="e">
        <f>IF(COUNTIF(Calculations!DP:DP,Subgroup_number)=1,INDEX(Calculations!DP:EU,MATCH(Subgroup_number,Calculations!DP:DP,0),6),IF(Subgroup_number=Calculations!EY$25,Calculations!EY$18,""))</f>
        <v>#VALUE!</v>
      </c>
      <c r="N75" s="8" t="e">
        <f>IF(COUNTIF(Calculations!DP:DP,Subgroup_number)=1,INDEX(Calculations!DP:EU,MATCH(Subgroup_number,Calculations!DP:DP,0),7),IF(Subgroup_number=Calculations!EY$25,Calculations!EY$19,""))</f>
        <v>#VALUE!</v>
      </c>
      <c r="O75" s="4" t="e">
        <f>IF(COUNTIF(Calculations!DP:DP,Subgroup_number)=1,INDEX(Calculations!DP:EU,MATCH(Subgroup_number,Calculations!DP:DP,0),9),IF(Subgroup_number=Calculations!EY$25,Calculations!EY$20,""))</f>
        <v>#VALUE!</v>
      </c>
      <c r="P75" s="4" t="e">
        <f>IF(COUNTIF(Calculations!DP:DP,Subgroup_number)=1,INDEX(Calculations!DP:EU,MATCH(Subgroup_number,Calculations!DP:DP,0),10),IF(Subgroup_number=Calculations!EY$25,Calculations!EY$21,""))</f>
        <v>#VALUE!</v>
      </c>
      <c r="Q7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7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75" s="125"/>
      <c r="U75" s="123"/>
      <c r="W75" s="123"/>
      <c r="Y75" s="123"/>
      <c r="AA75" s="123"/>
    </row>
    <row r="76" spans="6:27">
      <c r="F76" s="48">
        <v>75</v>
      </c>
      <c r="G7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7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7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7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7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76" s="4" t="e">
        <f>IF(COUNTIF(Calculations!DP:DP,Subgroup_number)=1,INDEX(Calculations!DP:EU,MATCH(Subgroup_number,Calculations!DP:DP,0),5),IF(Subgroup_number=Calculations!EY$25,Calculations!EY$17,""))</f>
        <v>#VALUE!</v>
      </c>
      <c r="M76" s="26" t="e">
        <f>IF(COUNTIF(Calculations!DP:DP,Subgroup_number)=1,INDEX(Calculations!DP:EU,MATCH(Subgroup_number,Calculations!DP:DP,0),6),IF(Subgroup_number=Calculations!EY$25,Calculations!EY$18,""))</f>
        <v>#VALUE!</v>
      </c>
      <c r="N76" s="8" t="e">
        <f>IF(COUNTIF(Calculations!DP:DP,Subgroup_number)=1,INDEX(Calculations!DP:EU,MATCH(Subgroup_number,Calculations!DP:DP,0),7),IF(Subgroup_number=Calculations!EY$25,Calculations!EY$19,""))</f>
        <v>#VALUE!</v>
      </c>
      <c r="O76" s="4" t="e">
        <f>IF(COUNTIF(Calculations!DP:DP,Subgroup_number)=1,INDEX(Calculations!DP:EU,MATCH(Subgroup_number,Calculations!DP:DP,0),9),IF(Subgroup_number=Calculations!EY$25,Calculations!EY$20,""))</f>
        <v>#VALUE!</v>
      </c>
      <c r="P76" s="4" t="e">
        <f>IF(COUNTIF(Calculations!DP:DP,Subgroup_number)=1,INDEX(Calculations!DP:EU,MATCH(Subgroup_number,Calculations!DP:DP,0),10),IF(Subgroup_number=Calculations!EY$25,Calculations!EY$21,""))</f>
        <v>#VALUE!</v>
      </c>
      <c r="Q7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7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76" s="125"/>
      <c r="U76" s="123"/>
      <c r="W76" s="123"/>
      <c r="Y76" s="123"/>
      <c r="AA76" s="123"/>
    </row>
    <row r="77" spans="6:27">
      <c r="F77" s="48">
        <v>76</v>
      </c>
      <c r="G7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7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7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7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7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77" s="4" t="e">
        <f>IF(COUNTIF(Calculations!DP:DP,Subgroup_number)=1,INDEX(Calculations!DP:EU,MATCH(Subgroup_number,Calculations!DP:DP,0),5),IF(Subgroup_number=Calculations!EY$25,Calculations!EY$17,""))</f>
        <v>#VALUE!</v>
      </c>
      <c r="M77" s="26" t="e">
        <f>IF(COUNTIF(Calculations!DP:DP,Subgroup_number)=1,INDEX(Calculations!DP:EU,MATCH(Subgroup_number,Calculations!DP:DP,0),6),IF(Subgroup_number=Calculations!EY$25,Calculations!EY$18,""))</f>
        <v>#VALUE!</v>
      </c>
      <c r="N77" s="8" t="e">
        <f>IF(COUNTIF(Calculations!DP:DP,Subgroup_number)=1,INDEX(Calculations!DP:EU,MATCH(Subgroup_number,Calculations!DP:DP,0),7),IF(Subgroup_number=Calculations!EY$25,Calculations!EY$19,""))</f>
        <v>#VALUE!</v>
      </c>
      <c r="O77" s="4" t="e">
        <f>IF(COUNTIF(Calculations!DP:DP,Subgroup_number)=1,INDEX(Calculations!DP:EU,MATCH(Subgroup_number,Calculations!DP:DP,0),9),IF(Subgroup_number=Calculations!EY$25,Calculations!EY$20,""))</f>
        <v>#VALUE!</v>
      </c>
      <c r="P77" s="4" t="e">
        <f>IF(COUNTIF(Calculations!DP:DP,Subgroup_number)=1,INDEX(Calculations!DP:EU,MATCH(Subgroup_number,Calculations!DP:DP,0),10),IF(Subgroup_number=Calculations!EY$25,Calculations!EY$21,""))</f>
        <v>#VALUE!</v>
      </c>
      <c r="Q7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7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77" s="125"/>
      <c r="U77" s="123"/>
      <c r="W77" s="123"/>
      <c r="Y77" s="123"/>
      <c r="AA77" s="123"/>
    </row>
    <row r="78" spans="6:27">
      <c r="F78" s="48">
        <v>77</v>
      </c>
      <c r="G7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7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7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7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7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78" s="4" t="e">
        <f>IF(COUNTIF(Calculations!DP:DP,Subgroup_number)=1,INDEX(Calculations!DP:EU,MATCH(Subgroup_number,Calculations!DP:DP,0),5),IF(Subgroup_number=Calculations!EY$25,Calculations!EY$17,""))</f>
        <v>#VALUE!</v>
      </c>
      <c r="M78" s="26" t="e">
        <f>IF(COUNTIF(Calculations!DP:DP,Subgroup_number)=1,INDEX(Calculations!DP:EU,MATCH(Subgroup_number,Calculations!DP:DP,0),6),IF(Subgroup_number=Calculations!EY$25,Calculations!EY$18,""))</f>
        <v>#VALUE!</v>
      </c>
      <c r="N78" s="8" t="e">
        <f>IF(COUNTIF(Calculations!DP:DP,Subgroup_number)=1,INDEX(Calculations!DP:EU,MATCH(Subgroup_number,Calculations!DP:DP,0),7),IF(Subgroup_number=Calculations!EY$25,Calculations!EY$19,""))</f>
        <v>#VALUE!</v>
      </c>
      <c r="O78" s="4" t="e">
        <f>IF(COUNTIF(Calculations!DP:DP,Subgroup_number)=1,INDEX(Calculations!DP:EU,MATCH(Subgroup_number,Calculations!DP:DP,0),9),IF(Subgroup_number=Calculations!EY$25,Calculations!EY$20,""))</f>
        <v>#VALUE!</v>
      </c>
      <c r="P78" s="4" t="e">
        <f>IF(COUNTIF(Calculations!DP:DP,Subgroup_number)=1,INDEX(Calculations!DP:EU,MATCH(Subgroup_number,Calculations!DP:DP,0),10),IF(Subgroup_number=Calculations!EY$25,Calculations!EY$21,""))</f>
        <v>#VALUE!</v>
      </c>
      <c r="Q7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7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78" s="125"/>
      <c r="U78" s="123"/>
      <c r="W78" s="123"/>
      <c r="Y78" s="123"/>
      <c r="AA78" s="123"/>
    </row>
    <row r="79" spans="6:27">
      <c r="F79" s="48">
        <v>78</v>
      </c>
      <c r="G7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7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7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7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7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79" s="4" t="e">
        <f>IF(COUNTIF(Calculations!DP:DP,Subgroup_number)=1,INDEX(Calculations!DP:EU,MATCH(Subgroup_number,Calculations!DP:DP,0),5),IF(Subgroup_number=Calculations!EY$25,Calculations!EY$17,""))</f>
        <v>#VALUE!</v>
      </c>
      <c r="M79" s="26" t="e">
        <f>IF(COUNTIF(Calculations!DP:DP,Subgroup_number)=1,INDEX(Calculations!DP:EU,MATCH(Subgroup_number,Calculations!DP:DP,0),6),IF(Subgroup_number=Calculations!EY$25,Calculations!EY$18,""))</f>
        <v>#VALUE!</v>
      </c>
      <c r="N79" s="8" t="e">
        <f>IF(COUNTIF(Calculations!DP:DP,Subgroup_number)=1,INDEX(Calculations!DP:EU,MATCH(Subgroup_number,Calculations!DP:DP,0),7),IF(Subgroup_number=Calculations!EY$25,Calculations!EY$19,""))</f>
        <v>#VALUE!</v>
      </c>
      <c r="O79" s="4" t="e">
        <f>IF(COUNTIF(Calculations!DP:DP,Subgroup_number)=1,INDEX(Calculations!DP:EU,MATCH(Subgroup_number,Calculations!DP:DP,0),9),IF(Subgroup_number=Calculations!EY$25,Calculations!EY$20,""))</f>
        <v>#VALUE!</v>
      </c>
      <c r="P79" s="4" t="e">
        <f>IF(COUNTIF(Calculations!DP:DP,Subgroup_number)=1,INDEX(Calculations!DP:EU,MATCH(Subgroup_number,Calculations!DP:DP,0),10),IF(Subgroup_number=Calculations!EY$25,Calculations!EY$21,""))</f>
        <v>#VALUE!</v>
      </c>
      <c r="Q7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7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79" s="125"/>
      <c r="U79" s="123"/>
      <c r="W79" s="123"/>
      <c r="Y79" s="123"/>
      <c r="AA79" s="123"/>
    </row>
    <row r="80" spans="6:27">
      <c r="F80" s="48">
        <v>79</v>
      </c>
      <c r="G8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8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8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8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8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80" s="4" t="e">
        <f>IF(COUNTIF(Calculations!DP:DP,Subgroup_number)=1,INDEX(Calculations!DP:EU,MATCH(Subgroup_number,Calculations!DP:DP,0),5),IF(Subgroup_number=Calculations!EY$25,Calculations!EY$17,""))</f>
        <v>#VALUE!</v>
      </c>
      <c r="M80" s="26" t="e">
        <f>IF(COUNTIF(Calculations!DP:DP,Subgroup_number)=1,INDEX(Calculations!DP:EU,MATCH(Subgroup_number,Calculations!DP:DP,0),6),IF(Subgroup_number=Calculations!EY$25,Calculations!EY$18,""))</f>
        <v>#VALUE!</v>
      </c>
      <c r="N80" s="8" t="e">
        <f>IF(COUNTIF(Calculations!DP:DP,Subgroup_number)=1,INDEX(Calculations!DP:EU,MATCH(Subgroup_number,Calculations!DP:DP,0),7),IF(Subgroup_number=Calculations!EY$25,Calculations!EY$19,""))</f>
        <v>#VALUE!</v>
      </c>
      <c r="O80" s="4" t="e">
        <f>IF(COUNTIF(Calculations!DP:DP,Subgroup_number)=1,INDEX(Calculations!DP:EU,MATCH(Subgroup_number,Calculations!DP:DP,0),9),IF(Subgroup_number=Calculations!EY$25,Calculations!EY$20,""))</f>
        <v>#VALUE!</v>
      </c>
      <c r="P80" s="4" t="e">
        <f>IF(COUNTIF(Calculations!DP:DP,Subgroup_number)=1,INDEX(Calculations!DP:EU,MATCH(Subgroup_number,Calculations!DP:DP,0),10),IF(Subgroup_number=Calculations!EY$25,Calculations!EY$21,""))</f>
        <v>#VALUE!</v>
      </c>
      <c r="Q8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8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80" s="125"/>
      <c r="U80" s="123"/>
      <c r="W80" s="123"/>
      <c r="Y80" s="123"/>
      <c r="AA80" s="123"/>
    </row>
    <row r="81" spans="6:27">
      <c r="F81" s="48">
        <v>80</v>
      </c>
      <c r="G8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8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8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8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8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81" s="4" t="e">
        <f>IF(COUNTIF(Calculations!DP:DP,Subgroup_number)=1,INDEX(Calculations!DP:EU,MATCH(Subgroup_number,Calculations!DP:DP,0),5),IF(Subgroup_number=Calculations!EY$25,Calculations!EY$17,""))</f>
        <v>#VALUE!</v>
      </c>
      <c r="M81" s="26" t="e">
        <f>IF(COUNTIF(Calculations!DP:DP,Subgroup_number)=1,INDEX(Calculations!DP:EU,MATCH(Subgroup_number,Calculations!DP:DP,0),6),IF(Subgroup_number=Calculations!EY$25,Calculations!EY$18,""))</f>
        <v>#VALUE!</v>
      </c>
      <c r="N81" s="8" t="e">
        <f>IF(COUNTIF(Calculations!DP:DP,Subgroup_number)=1,INDEX(Calculations!DP:EU,MATCH(Subgroup_number,Calculations!DP:DP,0),7),IF(Subgroup_number=Calculations!EY$25,Calculations!EY$19,""))</f>
        <v>#VALUE!</v>
      </c>
      <c r="O81" s="4" t="e">
        <f>IF(COUNTIF(Calculations!DP:DP,Subgroup_number)=1,INDEX(Calculations!DP:EU,MATCH(Subgroup_number,Calculations!DP:DP,0),9),IF(Subgroup_number=Calculations!EY$25,Calculations!EY$20,""))</f>
        <v>#VALUE!</v>
      </c>
      <c r="P81" s="4" t="e">
        <f>IF(COUNTIF(Calculations!DP:DP,Subgroup_number)=1,INDEX(Calculations!DP:EU,MATCH(Subgroup_number,Calculations!DP:DP,0),10),IF(Subgroup_number=Calculations!EY$25,Calculations!EY$21,""))</f>
        <v>#VALUE!</v>
      </c>
      <c r="Q8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8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81" s="125"/>
      <c r="U81" s="123"/>
      <c r="W81" s="123"/>
      <c r="Y81" s="123"/>
      <c r="AA81" s="123"/>
    </row>
    <row r="82" spans="6:27">
      <c r="F82" s="48">
        <v>81</v>
      </c>
      <c r="G8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8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8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8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8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82" s="4" t="e">
        <f>IF(COUNTIF(Calculations!DP:DP,Subgroup_number)=1,INDEX(Calculations!DP:EU,MATCH(Subgroup_number,Calculations!DP:DP,0),5),IF(Subgroup_number=Calculations!EY$25,Calculations!EY$17,""))</f>
        <v>#VALUE!</v>
      </c>
      <c r="M82" s="26" t="e">
        <f>IF(COUNTIF(Calculations!DP:DP,Subgroup_number)=1,INDEX(Calculations!DP:EU,MATCH(Subgroup_number,Calculations!DP:DP,0),6),IF(Subgroup_number=Calculations!EY$25,Calculations!EY$18,""))</f>
        <v>#VALUE!</v>
      </c>
      <c r="N82" s="8" t="e">
        <f>IF(COUNTIF(Calculations!DP:DP,Subgroup_number)=1,INDEX(Calculations!DP:EU,MATCH(Subgroup_number,Calculations!DP:DP,0),7),IF(Subgroup_number=Calculations!EY$25,Calculations!EY$19,""))</f>
        <v>#VALUE!</v>
      </c>
      <c r="O82" s="4" t="e">
        <f>IF(COUNTIF(Calculations!DP:DP,Subgroup_number)=1,INDEX(Calculations!DP:EU,MATCH(Subgroup_number,Calculations!DP:DP,0),9),IF(Subgroup_number=Calculations!EY$25,Calculations!EY$20,""))</f>
        <v>#VALUE!</v>
      </c>
      <c r="P82" s="4" t="e">
        <f>IF(COUNTIF(Calculations!DP:DP,Subgroup_number)=1,INDEX(Calculations!DP:EU,MATCH(Subgroup_number,Calculations!DP:DP,0),10),IF(Subgroup_number=Calculations!EY$25,Calculations!EY$21,""))</f>
        <v>#VALUE!</v>
      </c>
      <c r="Q8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8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82" s="125"/>
      <c r="U82" s="123"/>
      <c r="W82" s="123"/>
      <c r="Y82" s="123"/>
      <c r="AA82" s="123"/>
    </row>
    <row r="83" spans="6:27">
      <c r="F83" s="48">
        <v>82</v>
      </c>
      <c r="G8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8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8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8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8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83" s="4" t="e">
        <f>IF(COUNTIF(Calculations!DP:DP,Subgroup_number)=1,INDEX(Calculations!DP:EU,MATCH(Subgroup_number,Calculations!DP:DP,0),5),IF(Subgroup_number=Calculations!EY$25,Calculations!EY$17,""))</f>
        <v>#VALUE!</v>
      </c>
      <c r="M83" s="26" t="e">
        <f>IF(COUNTIF(Calculations!DP:DP,Subgroup_number)=1,INDEX(Calculations!DP:EU,MATCH(Subgroup_number,Calculations!DP:DP,0),6),IF(Subgroup_number=Calculations!EY$25,Calculations!EY$18,""))</f>
        <v>#VALUE!</v>
      </c>
      <c r="N83" s="8" t="e">
        <f>IF(COUNTIF(Calculations!DP:DP,Subgroup_number)=1,INDEX(Calculations!DP:EU,MATCH(Subgroup_number,Calculations!DP:DP,0),7),IF(Subgroup_number=Calculations!EY$25,Calculations!EY$19,""))</f>
        <v>#VALUE!</v>
      </c>
      <c r="O83" s="4" t="e">
        <f>IF(COUNTIF(Calculations!DP:DP,Subgroup_number)=1,INDEX(Calculations!DP:EU,MATCH(Subgroup_number,Calculations!DP:DP,0),9),IF(Subgroup_number=Calculations!EY$25,Calculations!EY$20,""))</f>
        <v>#VALUE!</v>
      </c>
      <c r="P83" s="4" t="e">
        <f>IF(COUNTIF(Calculations!DP:DP,Subgroup_number)=1,INDEX(Calculations!DP:EU,MATCH(Subgroup_number,Calculations!DP:DP,0),10),IF(Subgroup_number=Calculations!EY$25,Calculations!EY$21,""))</f>
        <v>#VALUE!</v>
      </c>
      <c r="Q8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8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83" s="125"/>
      <c r="U83" s="123"/>
      <c r="W83" s="123"/>
      <c r="Y83" s="123"/>
      <c r="AA83" s="123"/>
    </row>
    <row r="84" spans="6:27">
      <c r="F84" s="48">
        <v>83</v>
      </c>
      <c r="G8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8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8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8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8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84" s="4" t="e">
        <f>IF(COUNTIF(Calculations!DP:DP,Subgroup_number)=1,INDEX(Calculations!DP:EU,MATCH(Subgroup_number,Calculations!DP:DP,0),5),IF(Subgroup_number=Calculations!EY$25,Calculations!EY$17,""))</f>
        <v>#VALUE!</v>
      </c>
      <c r="M84" s="26" t="e">
        <f>IF(COUNTIF(Calculations!DP:DP,Subgroup_number)=1,INDEX(Calculations!DP:EU,MATCH(Subgroup_number,Calculations!DP:DP,0),6),IF(Subgroup_number=Calculations!EY$25,Calculations!EY$18,""))</f>
        <v>#VALUE!</v>
      </c>
      <c r="N84" s="8" t="e">
        <f>IF(COUNTIF(Calculations!DP:DP,Subgroup_number)=1,INDEX(Calculations!DP:EU,MATCH(Subgroup_number,Calculations!DP:DP,0),7),IF(Subgroup_number=Calculations!EY$25,Calculations!EY$19,""))</f>
        <v>#VALUE!</v>
      </c>
      <c r="O84" s="4" t="e">
        <f>IF(COUNTIF(Calculations!DP:DP,Subgroup_number)=1,INDEX(Calculations!DP:EU,MATCH(Subgroup_number,Calculations!DP:DP,0),9),IF(Subgroup_number=Calculations!EY$25,Calculations!EY$20,""))</f>
        <v>#VALUE!</v>
      </c>
      <c r="P84" s="4" t="e">
        <f>IF(COUNTIF(Calculations!DP:DP,Subgroup_number)=1,INDEX(Calculations!DP:EU,MATCH(Subgroup_number,Calculations!DP:DP,0),10),IF(Subgroup_number=Calculations!EY$25,Calculations!EY$21,""))</f>
        <v>#VALUE!</v>
      </c>
      <c r="Q8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8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84" s="125"/>
      <c r="U84" s="123"/>
      <c r="W84" s="123"/>
      <c r="Y84" s="123"/>
      <c r="AA84" s="123"/>
    </row>
    <row r="85" spans="6:27">
      <c r="F85" s="48">
        <v>84</v>
      </c>
      <c r="G8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8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8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8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8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85" s="4" t="e">
        <f>IF(COUNTIF(Calculations!DP:DP,Subgroup_number)=1,INDEX(Calculations!DP:EU,MATCH(Subgroup_number,Calculations!DP:DP,0),5),IF(Subgroup_number=Calculations!EY$25,Calculations!EY$17,""))</f>
        <v>#VALUE!</v>
      </c>
      <c r="M85" s="26" t="e">
        <f>IF(COUNTIF(Calculations!DP:DP,Subgroup_number)=1,INDEX(Calculations!DP:EU,MATCH(Subgroup_number,Calculations!DP:DP,0),6),IF(Subgroup_number=Calculations!EY$25,Calculations!EY$18,""))</f>
        <v>#VALUE!</v>
      </c>
      <c r="N85" s="8" t="e">
        <f>IF(COUNTIF(Calculations!DP:DP,Subgroup_number)=1,INDEX(Calculations!DP:EU,MATCH(Subgroup_number,Calculations!DP:DP,0),7),IF(Subgroup_number=Calculations!EY$25,Calculations!EY$19,""))</f>
        <v>#VALUE!</v>
      </c>
      <c r="O85" s="4" t="e">
        <f>IF(COUNTIF(Calculations!DP:DP,Subgroup_number)=1,INDEX(Calculations!DP:EU,MATCH(Subgroup_number,Calculations!DP:DP,0),9),IF(Subgroup_number=Calculations!EY$25,Calculations!EY$20,""))</f>
        <v>#VALUE!</v>
      </c>
      <c r="P85" s="4" t="e">
        <f>IF(COUNTIF(Calculations!DP:DP,Subgroup_number)=1,INDEX(Calculations!DP:EU,MATCH(Subgroup_number,Calculations!DP:DP,0),10),IF(Subgroup_number=Calculations!EY$25,Calculations!EY$21,""))</f>
        <v>#VALUE!</v>
      </c>
      <c r="Q8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8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85" s="125"/>
      <c r="U85" s="123"/>
      <c r="W85" s="123"/>
      <c r="Y85" s="123"/>
      <c r="AA85" s="123"/>
    </row>
    <row r="86" spans="6:27">
      <c r="F86" s="48">
        <v>85</v>
      </c>
      <c r="G8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8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8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8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8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86" s="4" t="e">
        <f>IF(COUNTIF(Calculations!DP:DP,Subgroup_number)=1,INDEX(Calculations!DP:EU,MATCH(Subgroup_number,Calculations!DP:DP,0),5),IF(Subgroup_number=Calculations!EY$25,Calculations!EY$17,""))</f>
        <v>#VALUE!</v>
      </c>
      <c r="M86" s="26" t="e">
        <f>IF(COUNTIF(Calculations!DP:DP,Subgroup_number)=1,INDEX(Calculations!DP:EU,MATCH(Subgroup_number,Calculations!DP:DP,0),6),IF(Subgroup_number=Calculations!EY$25,Calculations!EY$18,""))</f>
        <v>#VALUE!</v>
      </c>
      <c r="N86" s="8" t="e">
        <f>IF(COUNTIF(Calculations!DP:DP,Subgroup_number)=1,INDEX(Calculations!DP:EU,MATCH(Subgroup_number,Calculations!DP:DP,0),7),IF(Subgroup_number=Calculations!EY$25,Calculations!EY$19,""))</f>
        <v>#VALUE!</v>
      </c>
      <c r="O86" s="4" t="e">
        <f>IF(COUNTIF(Calculations!DP:DP,Subgroup_number)=1,INDEX(Calculations!DP:EU,MATCH(Subgroup_number,Calculations!DP:DP,0),9),IF(Subgroup_number=Calculations!EY$25,Calculations!EY$20,""))</f>
        <v>#VALUE!</v>
      </c>
      <c r="P86" s="4" t="e">
        <f>IF(COUNTIF(Calculations!DP:DP,Subgroup_number)=1,INDEX(Calculations!DP:EU,MATCH(Subgroup_number,Calculations!DP:DP,0),10),IF(Subgroup_number=Calculations!EY$25,Calculations!EY$21,""))</f>
        <v>#VALUE!</v>
      </c>
      <c r="Q8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8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86" s="125"/>
      <c r="U86" s="123"/>
      <c r="W86" s="123"/>
      <c r="Y86" s="123"/>
      <c r="AA86" s="123"/>
    </row>
    <row r="87" spans="6:27">
      <c r="F87" s="48">
        <v>86</v>
      </c>
      <c r="G8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8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8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8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8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87" s="4" t="e">
        <f>IF(COUNTIF(Calculations!DP:DP,Subgroup_number)=1,INDEX(Calculations!DP:EU,MATCH(Subgroup_number,Calculations!DP:DP,0),5),IF(Subgroup_number=Calculations!EY$25,Calculations!EY$17,""))</f>
        <v>#VALUE!</v>
      </c>
      <c r="M87" s="26" t="e">
        <f>IF(COUNTIF(Calculations!DP:DP,Subgroup_number)=1,INDEX(Calculations!DP:EU,MATCH(Subgroup_number,Calculations!DP:DP,0),6),IF(Subgroup_number=Calculations!EY$25,Calculations!EY$18,""))</f>
        <v>#VALUE!</v>
      </c>
      <c r="N87" s="8" t="e">
        <f>IF(COUNTIF(Calculations!DP:DP,Subgroup_number)=1,INDEX(Calculations!DP:EU,MATCH(Subgroup_number,Calculations!DP:DP,0),7),IF(Subgroup_number=Calculations!EY$25,Calculations!EY$19,""))</f>
        <v>#VALUE!</v>
      </c>
      <c r="O87" s="4" t="e">
        <f>IF(COUNTIF(Calculations!DP:DP,Subgroup_number)=1,INDEX(Calculations!DP:EU,MATCH(Subgroup_number,Calculations!DP:DP,0),9),IF(Subgroup_number=Calculations!EY$25,Calculations!EY$20,""))</f>
        <v>#VALUE!</v>
      </c>
      <c r="P87" s="4" t="e">
        <f>IF(COUNTIF(Calculations!DP:DP,Subgroup_number)=1,INDEX(Calculations!DP:EU,MATCH(Subgroup_number,Calculations!DP:DP,0),10),IF(Subgroup_number=Calculations!EY$25,Calculations!EY$21,""))</f>
        <v>#VALUE!</v>
      </c>
      <c r="Q8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8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87" s="125"/>
      <c r="U87" s="123"/>
      <c r="W87" s="123"/>
      <c r="Y87" s="123"/>
      <c r="AA87" s="123"/>
    </row>
    <row r="88" spans="6:27">
      <c r="F88" s="48">
        <v>87</v>
      </c>
      <c r="G8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8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8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8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8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88" s="4" t="e">
        <f>IF(COUNTIF(Calculations!DP:DP,Subgroup_number)=1,INDEX(Calculations!DP:EU,MATCH(Subgroup_number,Calculations!DP:DP,0),5),IF(Subgroup_number=Calculations!EY$25,Calculations!EY$17,""))</f>
        <v>#VALUE!</v>
      </c>
      <c r="M88" s="26" t="e">
        <f>IF(COUNTIF(Calculations!DP:DP,Subgroup_number)=1,INDEX(Calculations!DP:EU,MATCH(Subgroup_number,Calculations!DP:DP,0),6),IF(Subgroup_number=Calculations!EY$25,Calculations!EY$18,""))</f>
        <v>#VALUE!</v>
      </c>
      <c r="N88" s="8" t="e">
        <f>IF(COUNTIF(Calculations!DP:DP,Subgroup_number)=1,INDEX(Calculations!DP:EU,MATCH(Subgroup_number,Calculations!DP:DP,0),7),IF(Subgroup_number=Calculations!EY$25,Calculations!EY$19,""))</f>
        <v>#VALUE!</v>
      </c>
      <c r="O88" s="4" t="e">
        <f>IF(COUNTIF(Calculations!DP:DP,Subgroup_number)=1,INDEX(Calculations!DP:EU,MATCH(Subgroup_number,Calculations!DP:DP,0),9),IF(Subgroup_number=Calculations!EY$25,Calculations!EY$20,""))</f>
        <v>#VALUE!</v>
      </c>
      <c r="P88" s="4" t="e">
        <f>IF(COUNTIF(Calculations!DP:DP,Subgroup_number)=1,INDEX(Calculations!DP:EU,MATCH(Subgroup_number,Calculations!DP:DP,0),10),IF(Subgroup_number=Calculations!EY$25,Calculations!EY$21,""))</f>
        <v>#VALUE!</v>
      </c>
      <c r="Q8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8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88" s="125"/>
      <c r="U88" s="123"/>
      <c r="W88" s="123"/>
      <c r="Y88" s="123"/>
      <c r="AA88" s="123"/>
    </row>
    <row r="89" spans="6:27">
      <c r="F89" s="48">
        <v>88</v>
      </c>
      <c r="G8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8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8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8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8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89" s="4" t="e">
        <f>IF(COUNTIF(Calculations!DP:DP,Subgroup_number)=1,INDEX(Calculations!DP:EU,MATCH(Subgroup_number,Calculations!DP:DP,0),5),IF(Subgroup_number=Calculations!EY$25,Calculations!EY$17,""))</f>
        <v>#VALUE!</v>
      </c>
      <c r="M89" s="26" t="e">
        <f>IF(COUNTIF(Calculations!DP:DP,Subgroup_number)=1,INDEX(Calculations!DP:EU,MATCH(Subgroup_number,Calculations!DP:DP,0),6),IF(Subgroup_number=Calculations!EY$25,Calculations!EY$18,""))</f>
        <v>#VALUE!</v>
      </c>
      <c r="N89" s="8" t="e">
        <f>IF(COUNTIF(Calculations!DP:DP,Subgroup_number)=1,INDEX(Calculations!DP:EU,MATCH(Subgroup_number,Calculations!DP:DP,0),7),IF(Subgroup_number=Calculations!EY$25,Calculations!EY$19,""))</f>
        <v>#VALUE!</v>
      </c>
      <c r="O89" s="4" t="e">
        <f>IF(COUNTIF(Calculations!DP:DP,Subgroup_number)=1,INDEX(Calculations!DP:EU,MATCH(Subgroup_number,Calculations!DP:DP,0),9),IF(Subgroup_number=Calculations!EY$25,Calculations!EY$20,""))</f>
        <v>#VALUE!</v>
      </c>
      <c r="P89" s="4" t="e">
        <f>IF(COUNTIF(Calculations!DP:DP,Subgroup_number)=1,INDEX(Calculations!DP:EU,MATCH(Subgroup_number,Calculations!DP:DP,0),10),IF(Subgroup_number=Calculations!EY$25,Calculations!EY$21,""))</f>
        <v>#VALUE!</v>
      </c>
      <c r="Q8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8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89" s="125"/>
      <c r="U89" s="123"/>
      <c r="W89" s="123"/>
      <c r="Y89" s="123"/>
      <c r="AA89" s="123"/>
    </row>
    <row r="90" spans="6:27">
      <c r="F90" s="48">
        <v>89</v>
      </c>
      <c r="G9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9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9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9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9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90" s="4" t="e">
        <f>IF(COUNTIF(Calculations!DP:DP,Subgroup_number)=1,INDEX(Calculations!DP:EU,MATCH(Subgroup_number,Calculations!DP:DP,0),5),IF(Subgroup_number=Calculations!EY$25,Calculations!EY$17,""))</f>
        <v>#VALUE!</v>
      </c>
      <c r="M90" s="26" t="e">
        <f>IF(COUNTIF(Calculations!DP:DP,Subgroup_number)=1,INDEX(Calculations!DP:EU,MATCH(Subgroup_number,Calculations!DP:DP,0),6),IF(Subgroup_number=Calculations!EY$25,Calculations!EY$18,""))</f>
        <v>#VALUE!</v>
      </c>
      <c r="N90" s="8" t="e">
        <f>IF(COUNTIF(Calculations!DP:DP,Subgroup_number)=1,INDEX(Calculations!DP:EU,MATCH(Subgroup_number,Calculations!DP:DP,0),7),IF(Subgroup_number=Calculations!EY$25,Calculations!EY$19,""))</f>
        <v>#VALUE!</v>
      </c>
      <c r="O90" s="4" t="e">
        <f>IF(COUNTIF(Calculations!DP:DP,Subgroup_number)=1,INDEX(Calculations!DP:EU,MATCH(Subgroup_number,Calculations!DP:DP,0),9),IF(Subgroup_number=Calculations!EY$25,Calculations!EY$20,""))</f>
        <v>#VALUE!</v>
      </c>
      <c r="P90" s="4" t="e">
        <f>IF(COUNTIF(Calculations!DP:DP,Subgroup_number)=1,INDEX(Calculations!DP:EU,MATCH(Subgroup_number,Calculations!DP:DP,0),10),IF(Subgroup_number=Calculations!EY$25,Calculations!EY$21,""))</f>
        <v>#VALUE!</v>
      </c>
      <c r="Q9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9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90" s="125"/>
      <c r="U90" s="123"/>
      <c r="W90" s="123"/>
      <c r="Y90" s="123"/>
      <c r="AA90" s="123"/>
    </row>
    <row r="91" spans="6:27">
      <c r="F91" s="48">
        <v>90</v>
      </c>
      <c r="G9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9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9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9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9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91" s="4" t="e">
        <f>IF(COUNTIF(Calculations!DP:DP,Subgroup_number)=1,INDEX(Calculations!DP:EU,MATCH(Subgroup_number,Calculations!DP:DP,0),5),IF(Subgroup_number=Calculations!EY$25,Calculations!EY$17,""))</f>
        <v>#VALUE!</v>
      </c>
      <c r="M91" s="26" t="e">
        <f>IF(COUNTIF(Calculations!DP:DP,Subgroup_number)=1,INDEX(Calculations!DP:EU,MATCH(Subgroup_number,Calculations!DP:DP,0),6),IF(Subgroup_number=Calculations!EY$25,Calculations!EY$18,""))</f>
        <v>#VALUE!</v>
      </c>
      <c r="N91" s="8" t="e">
        <f>IF(COUNTIF(Calculations!DP:DP,Subgroup_number)=1,INDEX(Calculations!DP:EU,MATCH(Subgroup_number,Calculations!DP:DP,0),7),IF(Subgroup_number=Calculations!EY$25,Calculations!EY$19,""))</f>
        <v>#VALUE!</v>
      </c>
      <c r="O91" s="4" t="e">
        <f>IF(COUNTIF(Calculations!DP:DP,Subgroup_number)=1,INDEX(Calculations!DP:EU,MATCH(Subgroup_number,Calculations!DP:DP,0),9),IF(Subgroup_number=Calculations!EY$25,Calculations!EY$20,""))</f>
        <v>#VALUE!</v>
      </c>
      <c r="P91" s="4" t="e">
        <f>IF(COUNTIF(Calculations!DP:DP,Subgroup_number)=1,INDEX(Calculations!DP:EU,MATCH(Subgroup_number,Calculations!DP:DP,0),10),IF(Subgroup_number=Calculations!EY$25,Calculations!EY$21,""))</f>
        <v>#VALUE!</v>
      </c>
      <c r="Q9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9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91" s="125"/>
      <c r="U91" s="123"/>
      <c r="W91" s="123"/>
      <c r="Y91" s="123"/>
      <c r="AA91" s="123"/>
    </row>
    <row r="92" spans="6:27">
      <c r="F92" s="48">
        <v>91</v>
      </c>
      <c r="G9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9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9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9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9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92" s="4" t="e">
        <f>IF(COUNTIF(Calculations!DP:DP,Subgroup_number)=1,INDEX(Calculations!DP:EU,MATCH(Subgroup_number,Calculations!DP:DP,0),5),IF(Subgroup_number=Calculations!EY$25,Calculations!EY$17,""))</f>
        <v>#VALUE!</v>
      </c>
      <c r="M92" s="26" t="e">
        <f>IF(COUNTIF(Calculations!DP:DP,Subgroup_number)=1,INDEX(Calculations!DP:EU,MATCH(Subgroup_number,Calculations!DP:DP,0),6),IF(Subgroup_number=Calculations!EY$25,Calculations!EY$18,""))</f>
        <v>#VALUE!</v>
      </c>
      <c r="N92" s="8" t="e">
        <f>IF(COUNTIF(Calculations!DP:DP,Subgroup_number)=1,INDEX(Calculations!DP:EU,MATCH(Subgroup_number,Calculations!DP:DP,0),7),IF(Subgroup_number=Calculations!EY$25,Calculations!EY$19,""))</f>
        <v>#VALUE!</v>
      </c>
      <c r="O92" s="4" t="e">
        <f>IF(COUNTIF(Calculations!DP:DP,Subgroup_number)=1,INDEX(Calculations!DP:EU,MATCH(Subgroup_number,Calculations!DP:DP,0),9),IF(Subgroup_number=Calculations!EY$25,Calculations!EY$20,""))</f>
        <v>#VALUE!</v>
      </c>
      <c r="P92" s="4" t="e">
        <f>IF(COUNTIF(Calculations!DP:DP,Subgroup_number)=1,INDEX(Calculations!DP:EU,MATCH(Subgroup_number,Calculations!DP:DP,0),10),IF(Subgroup_number=Calculations!EY$25,Calculations!EY$21,""))</f>
        <v>#VALUE!</v>
      </c>
      <c r="Q9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9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92" s="125"/>
      <c r="U92" s="123"/>
      <c r="W92" s="123"/>
      <c r="Y92" s="123"/>
      <c r="AA92" s="123"/>
    </row>
    <row r="93" spans="6:27">
      <c r="F93" s="48">
        <v>92</v>
      </c>
      <c r="G9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9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9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9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9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93" s="4" t="e">
        <f>IF(COUNTIF(Calculations!DP:DP,Subgroup_number)=1,INDEX(Calculations!DP:EU,MATCH(Subgroup_number,Calculations!DP:DP,0),5),IF(Subgroup_number=Calculations!EY$25,Calculations!EY$17,""))</f>
        <v>#VALUE!</v>
      </c>
      <c r="M93" s="26" t="e">
        <f>IF(COUNTIF(Calculations!DP:DP,Subgroup_number)=1,INDEX(Calculations!DP:EU,MATCH(Subgroup_number,Calculations!DP:DP,0),6),IF(Subgroup_number=Calculations!EY$25,Calculations!EY$18,""))</f>
        <v>#VALUE!</v>
      </c>
      <c r="N93" s="8" t="e">
        <f>IF(COUNTIF(Calculations!DP:DP,Subgroup_number)=1,INDEX(Calculations!DP:EU,MATCH(Subgroup_number,Calculations!DP:DP,0),7),IF(Subgroup_number=Calculations!EY$25,Calculations!EY$19,""))</f>
        <v>#VALUE!</v>
      </c>
      <c r="O93" s="4" t="e">
        <f>IF(COUNTIF(Calculations!DP:DP,Subgroup_number)=1,INDEX(Calculations!DP:EU,MATCH(Subgroup_number,Calculations!DP:DP,0),9),IF(Subgroup_number=Calculations!EY$25,Calculations!EY$20,""))</f>
        <v>#VALUE!</v>
      </c>
      <c r="P93" s="4" t="e">
        <f>IF(COUNTIF(Calculations!DP:DP,Subgroup_number)=1,INDEX(Calculations!DP:EU,MATCH(Subgroup_number,Calculations!DP:DP,0),10),IF(Subgroup_number=Calculations!EY$25,Calculations!EY$21,""))</f>
        <v>#VALUE!</v>
      </c>
      <c r="Q9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9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93" s="125"/>
      <c r="U93" s="123"/>
      <c r="W93" s="123"/>
      <c r="Y93" s="123"/>
      <c r="AA93" s="123"/>
    </row>
    <row r="94" spans="6:27">
      <c r="F94" s="48">
        <v>93</v>
      </c>
      <c r="G9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9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9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9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9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94" s="4" t="e">
        <f>IF(COUNTIF(Calculations!DP:DP,Subgroup_number)=1,INDEX(Calculations!DP:EU,MATCH(Subgroup_number,Calculations!DP:DP,0),5),IF(Subgroup_number=Calculations!EY$25,Calculations!EY$17,""))</f>
        <v>#VALUE!</v>
      </c>
      <c r="M94" s="26" t="e">
        <f>IF(COUNTIF(Calculations!DP:DP,Subgroup_number)=1,INDEX(Calculations!DP:EU,MATCH(Subgroup_number,Calculations!DP:DP,0),6),IF(Subgroup_number=Calculations!EY$25,Calculations!EY$18,""))</f>
        <v>#VALUE!</v>
      </c>
      <c r="N94" s="8" t="e">
        <f>IF(COUNTIF(Calculations!DP:DP,Subgroup_number)=1,INDEX(Calculations!DP:EU,MATCH(Subgroup_number,Calculations!DP:DP,0),7),IF(Subgroup_number=Calculations!EY$25,Calculations!EY$19,""))</f>
        <v>#VALUE!</v>
      </c>
      <c r="O94" s="4" t="e">
        <f>IF(COUNTIF(Calculations!DP:DP,Subgroup_number)=1,INDEX(Calculations!DP:EU,MATCH(Subgroup_number,Calculations!DP:DP,0),9),IF(Subgroup_number=Calculations!EY$25,Calculations!EY$20,""))</f>
        <v>#VALUE!</v>
      </c>
      <c r="P94" s="4" t="e">
        <f>IF(COUNTIF(Calculations!DP:DP,Subgroup_number)=1,INDEX(Calculations!DP:EU,MATCH(Subgroup_number,Calculations!DP:DP,0),10),IF(Subgroup_number=Calculations!EY$25,Calculations!EY$21,""))</f>
        <v>#VALUE!</v>
      </c>
      <c r="Q9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9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94" s="125"/>
      <c r="U94" s="123"/>
      <c r="W94" s="123"/>
      <c r="Y94" s="123"/>
      <c r="AA94" s="123"/>
    </row>
    <row r="95" spans="6:27">
      <c r="F95" s="48">
        <v>94</v>
      </c>
      <c r="G9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9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9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9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9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95" s="4" t="e">
        <f>IF(COUNTIF(Calculations!DP:DP,Subgroup_number)=1,INDEX(Calculations!DP:EU,MATCH(Subgroup_number,Calculations!DP:DP,0),5),IF(Subgroup_number=Calculations!EY$25,Calculations!EY$17,""))</f>
        <v>#VALUE!</v>
      </c>
      <c r="M95" s="26" t="e">
        <f>IF(COUNTIF(Calculations!DP:DP,Subgroup_number)=1,INDEX(Calculations!DP:EU,MATCH(Subgroup_number,Calculations!DP:DP,0),6),IF(Subgroup_number=Calculations!EY$25,Calculations!EY$18,""))</f>
        <v>#VALUE!</v>
      </c>
      <c r="N95" s="8" t="e">
        <f>IF(COUNTIF(Calculations!DP:DP,Subgroup_number)=1,INDEX(Calculations!DP:EU,MATCH(Subgroup_number,Calculations!DP:DP,0),7),IF(Subgroup_number=Calculations!EY$25,Calculations!EY$19,""))</f>
        <v>#VALUE!</v>
      </c>
      <c r="O95" s="4" t="e">
        <f>IF(COUNTIF(Calculations!DP:DP,Subgroup_number)=1,INDEX(Calculations!DP:EU,MATCH(Subgroup_number,Calculations!DP:DP,0),9),IF(Subgroup_number=Calculations!EY$25,Calculations!EY$20,""))</f>
        <v>#VALUE!</v>
      </c>
      <c r="P95" s="4" t="e">
        <f>IF(COUNTIF(Calculations!DP:DP,Subgroup_number)=1,INDEX(Calculations!DP:EU,MATCH(Subgroup_number,Calculations!DP:DP,0),10),IF(Subgroup_number=Calculations!EY$25,Calculations!EY$21,""))</f>
        <v>#VALUE!</v>
      </c>
      <c r="Q9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9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95" s="125"/>
      <c r="U95" s="123"/>
      <c r="W95" s="123"/>
      <c r="Y95" s="123"/>
      <c r="AA95" s="123"/>
    </row>
    <row r="96" spans="6:27">
      <c r="F96" s="48">
        <v>95</v>
      </c>
      <c r="G9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9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9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9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9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96" s="4" t="e">
        <f>IF(COUNTIF(Calculations!DP:DP,Subgroup_number)=1,INDEX(Calculations!DP:EU,MATCH(Subgroup_number,Calculations!DP:DP,0),5),IF(Subgroup_number=Calculations!EY$25,Calculations!EY$17,""))</f>
        <v>#VALUE!</v>
      </c>
      <c r="M96" s="26" t="e">
        <f>IF(COUNTIF(Calculations!DP:DP,Subgroup_number)=1,INDEX(Calculations!DP:EU,MATCH(Subgroup_number,Calculations!DP:DP,0),6),IF(Subgroup_number=Calculations!EY$25,Calculations!EY$18,""))</f>
        <v>#VALUE!</v>
      </c>
      <c r="N96" s="8" t="e">
        <f>IF(COUNTIF(Calculations!DP:DP,Subgroup_number)=1,INDEX(Calculations!DP:EU,MATCH(Subgroup_number,Calculations!DP:DP,0),7),IF(Subgroup_number=Calculations!EY$25,Calculations!EY$19,""))</f>
        <v>#VALUE!</v>
      </c>
      <c r="O96" s="4" t="e">
        <f>IF(COUNTIF(Calculations!DP:DP,Subgroup_number)=1,INDEX(Calculations!DP:EU,MATCH(Subgroup_number,Calculations!DP:DP,0),9),IF(Subgroup_number=Calculations!EY$25,Calculations!EY$20,""))</f>
        <v>#VALUE!</v>
      </c>
      <c r="P96" s="4" t="e">
        <f>IF(COUNTIF(Calculations!DP:DP,Subgroup_number)=1,INDEX(Calculations!DP:EU,MATCH(Subgroup_number,Calculations!DP:DP,0),10),IF(Subgroup_number=Calculations!EY$25,Calculations!EY$21,""))</f>
        <v>#VALUE!</v>
      </c>
      <c r="Q9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9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96" s="125"/>
      <c r="U96" s="123"/>
      <c r="W96" s="123"/>
      <c r="Y96" s="123"/>
      <c r="AA96" s="123"/>
    </row>
    <row r="97" spans="6:27">
      <c r="F97" s="48">
        <v>96</v>
      </c>
      <c r="G9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9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9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9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9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97" s="4" t="e">
        <f>IF(COUNTIF(Calculations!DP:DP,Subgroup_number)=1,INDEX(Calculations!DP:EU,MATCH(Subgroup_number,Calculations!DP:DP,0),5),IF(Subgroup_number=Calculations!EY$25,Calculations!EY$17,""))</f>
        <v>#VALUE!</v>
      </c>
      <c r="M97" s="26" t="e">
        <f>IF(COUNTIF(Calculations!DP:DP,Subgroup_number)=1,INDEX(Calculations!DP:EU,MATCH(Subgroup_number,Calculations!DP:DP,0),6),IF(Subgroup_number=Calculations!EY$25,Calculations!EY$18,""))</f>
        <v>#VALUE!</v>
      </c>
      <c r="N97" s="8" t="e">
        <f>IF(COUNTIF(Calculations!DP:DP,Subgroup_number)=1,INDEX(Calculations!DP:EU,MATCH(Subgroup_number,Calculations!DP:DP,0),7),IF(Subgroup_number=Calculations!EY$25,Calculations!EY$19,""))</f>
        <v>#VALUE!</v>
      </c>
      <c r="O97" s="4" t="e">
        <f>IF(COUNTIF(Calculations!DP:DP,Subgroup_number)=1,INDEX(Calculations!DP:EU,MATCH(Subgroup_number,Calculations!DP:DP,0),9),IF(Subgroup_number=Calculations!EY$25,Calculations!EY$20,""))</f>
        <v>#VALUE!</v>
      </c>
      <c r="P97" s="4" t="e">
        <f>IF(COUNTIF(Calculations!DP:DP,Subgroup_number)=1,INDEX(Calculations!DP:EU,MATCH(Subgroup_number,Calculations!DP:DP,0),10),IF(Subgroup_number=Calculations!EY$25,Calculations!EY$21,""))</f>
        <v>#VALUE!</v>
      </c>
      <c r="Q9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9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97" s="125"/>
      <c r="U97" s="123"/>
      <c r="W97" s="123"/>
      <c r="Y97" s="123"/>
      <c r="AA97" s="123"/>
    </row>
    <row r="98" spans="6:27">
      <c r="F98" s="48">
        <v>97</v>
      </c>
      <c r="G9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9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9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9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9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98" s="4" t="e">
        <f>IF(COUNTIF(Calculations!DP:DP,Subgroup_number)=1,INDEX(Calculations!DP:EU,MATCH(Subgroup_number,Calculations!DP:DP,0),5),IF(Subgroup_number=Calculations!EY$25,Calculations!EY$17,""))</f>
        <v>#VALUE!</v>
      </c>
      <c r="M98" s="26" t="e">
        <f>IF(COUNTIF(Calculations!DP:DP,Subgroup_number)=1,INDEX(Calculations!DP:EU,MATCH(Subgroup_number,Calculations!DP:DP,0),6),IF(Subgroup_number=Calculations!EY$25,Calculations!EY$18,""))</f>
        <v>#VALUE!</v>
      </c>
      <c r="N98" s="8" t="e">
        <f>IF(COUNTIF(Calculations!DP:DP,Subgroup_number)=1,INDEX(Calculations!DP:EU,MATCH(Subgroup_number,Calculations!DP:DP,0),7),IF(Subgroup_number=Calculations!EY$25,Calculations!EY$19,""))</f>
        <v>#VALUE!</v>
      </c>
      <c r="O98" s="4" t="e">
        <f>IF(COUNTIF(Calculations!DP:DP,Subgroup_number)=1,INDEX(Calculations!DP:EU,MATCH(Subgroup_number,Calculations!DP:DP,0),9),IF(Subgroup_number=Calculations!EY$25,Calculations!EY$20,""))</f>
        <v>#VALUE!</v>
      </c>
      <c r="P98" s="4" t="e">
        <f>IF(COUNTIF(Calculations!DP:DP,Subgroup_number)=1,INDEX(Calculations!DP:EU,MATCH(Subgroup_number,Calculations!DP:DP,0),10),IF(Subgroup_number=Calculations!EY$25,Calculations!EY$21,""))</f>
        <v>#VALUE!</v>
      </c>
      <c r="Q9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9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98" s="125"/>
      <c r="U98" s="123"/>
      <c r="W98" s="123"/>
      <c r="Y98" s="123"/>
      <c r="AA98" s="123"/>
    </row>
    <row r="99" spans="6:27">
      <c r="F99" s="48">
        <v>98</v>
      </c>
      <c r="G9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9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9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9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9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99" s="4" t="e">
        <f>IF(COUNTIF(Calculations!DP:DP,Subgroup_number)=1,INDEX(Calculations!DP:EU,MATCH(Subgroup_number,Calculations!DP:DP,0),5),IF(Subgroup_number=Calculations!EY$25,Calculations!EY$17,""))</f>
        <v>#VALUE!</v>
      </c>
      <c r="M99" s="26" t="e">
        <f>IF(COUNTIF(Calculations!DP:DP,Subgroup_number)=1,INDEX(Calculations!DP:EU,MATCH(Subgroup_number,Calculations!DP:DP,0),6),IF(Subgroup_number=Calculations!EY$25,Calculations!EY$18,""))</f>
        <v>#VALUE!</v>
      </c>
      <c r="N99" s="8" t="e">
        <f>IF(COUNTIF(Calculations!DP:DP,Subgroup_number)=1,INDEX(Calculations!DP:EU,MATCH(Subgroup_number,Calculations!DP:DP,0),7),IF(Subgroup_number=Calculations!EY$25,Calculations!EY$19,""))</f>
        <v>#VALUE!</v>
      </c>
      <c r="O99" s="4" t="e">
        <f>IF(COUNTIF(Calculations!DP:DP,Subgroup_number)=1,INDEX(Calculations!DP:EU,MATCH(Subgroup_number,Calculations!DP:DP,0),9),IF(Subgroup_number=Calculations!EY$25,Calculations!EY$20,""))</f>
        <v>#VALUE!</v>
      </c>
      <c r="P99" s="4" t="e">
        <f>IF(COUNTIF(Calculations!DP:DP,Subgroup_number)=1,INDEX(Calculations!DP:EU,MATCH(Subgroup_number,Calculations!DP:DP,0),10),IF(Subgroup_number=Calculations!EY$25,Calculations!EY$21,""))</f>
        <v>#VALUE!</v>
      </c>
      <c r="Q9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9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99" s="125"/>
      <c r="U99" s="123"/>
      <c r="W99" s="123"/>
      <c r="Y99" s="123"/>
      <c r="AA99" s="123"/>
    </row>
    <row r="100" spans="6:27">
      <c r="F100" s="48">
        <v>99</v>
      </c>
      <c r="G10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0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0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0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0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00" s="4" t="e">
        <f>IF(COUNTIF(Calculations!DP:DP,Subgroup_number)=1,INDEX(Calculations!DP:EU,MATCH(Subgroup_number,Calculations!DP:DP,0),5),IF(Subgroup_number=Calculations!EY$25,Calculations!EY$17,""))</f>
        <v>#VALUE!</v>
      </c>
      <c r="M100" s="26" t="e">
        <f>IF(COUNTIF(Calculations!DP:DP,Subgroup_number)=1,INDEX(Calculations!DP:EU,MATCH(Subgroup_number,Calculations!DP:DP,0),6),IF(Subgroup_number=Calculations!EY$25,Calculations!EY$18,""))</f>
        <v>#VALUE!</v>
      </c>
      <c r="N100" s="8" t="e">
        <f>IF(COUNTIF(Calculations!DP:DP,Subgroup_number)=1,INDEX(Calculations!DP:EU,MATCH(Subgroup_number,Calculations!DP:DP,0),7),IF(Subgroup_number=Calculations!EY$25,Calculations!EY$19,""))</f>
        <v>#VALUE!</v>
      </c>
      <c r="O100" s="4" t="e">
        <f>IF(COUNTIF(Calculations!DP:DP,Subgroup_number)=1,INDEX(Calculations!DP:EU,MATCH(Subgroup_number,Calculations!DP:DP,0),9),IF(Subgroup_number=Calculations!EY$25,Calculations!EY$20,""))</f>
        <v>#VALUE!</v>
      </c>
      <c r="P100" s="4" t="e">
        <f>IF(COUNTIF(Calculations!DP:DP,Subgroup_number)=1,INDEX(Calculations!DP:EU,MATCH(Subgroup_number,Calculations!DP:DP,0),10),IF(Subgroup_number=Calculations!EY$25,Calculations!EY$21,""))</f>
        <v>#VALUE!</v>
      </c>
      <c r="Q10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0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00" s="125"/>
      <c r="U100" s="123"/>
      <c r="W100" s="123"/>
      <c r="Y100" s="123"/>
      <c r="AA100" s="123"/>
    </row>
    <row r="101" spans="6:27">
      <c r="F101" s="48">
        <v>100</v>
      </c>
      <c r="G10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0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0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0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0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01" s="4" t="e">
        <f>IF(COUNTIF(Calculations!DP:DP,Subgroup_number)=1,INDEX(Calculations!DP:EU,MATCH(Subgroup_number,Calculations!DP:DP,0),5),IF(Subgroup_number=Calculations!EY$25,Calculations!EY$17,""))</f>
        <v>#VALUE!</v>
      </c>
      <c r="M101" s="26" t="e">
        <f>IF(COUNTIF(Calculations!DP:DP,Subgroup_number)=1,INDEX(Calculations!DP:EU,MATCH(Subgroup_number,Calculations!DP:DP,0),6),IF(Subgroup_number=Calculations!EY$25,Calculations!EY$18,""))</f>
        <v>#VALUE!</v>
      </c>
      <c r="N101" s="8" t="e">
        <f>IF(COUNTIF(Calculations!DP:DP,Subgroup_number)=1,INDEX(Calculations!DP:EU,MATCH(Subgroup_number,Calculations!DP:DP,0),7),IF(Subgroup_number=Calculations!EY$25,Calculations!EY$19,""))</f>
        <v>#VALUE!</v>
      </c>
      <c r="O101" s="4" t="e">
        <f>IF(COUNTIF(Calculations!DP:DP,Subgroup_number)=1,INDEX(Calculations!DP:EU,MATCH(Subgroup_number,Calculations!DP:DP,0),9),IF(Subgroup_number=Calculations!EY$25,Calculations!EY$20,""))</f>
        <v>#VALUE!</v>
      </c>
      <c r="P101" s="4" t="e">
        <f>IF(COUNTIF(Calculations!DP:DP,Subgroup_number)=1,INDEX(Calculations!DP:EU,MATCH(Subgroup_number,Calculations!DP:DP,0),10),IF(Subgroup_number=Calculations!EY$25,Calculations!EY$21,""))</f>
        <v>#VALUE!</v>
      </c>
      <c r="Q10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0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01" s="125"/>
      <c r="U101" s="123"/>
      <c r="W101" s="123"/>
      <c r="Y101" s="123"/>
      <c r="AA101" s="123"/>
    </row>
    <row r="102" spans="6:27">
      <c r="F102" s="48">
        <v>101</v>
      </c>
      <c r="G10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0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0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0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0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02" s="4" t="e">
        <f>IF(COUNTIF(Calculations!DP:DP,Subgroup_number)=1,INDEX(Calculations!DP:EU,MATCH(Subgroup_number,Calculations!DP:DP,0),5),IF(Subgroup_number=Calculations!EY$25,Calculations!EY$17,""))</f>
        <v>#VALUE!</v>
      </c>
      <c r="M102" s="26" t="e">
        <f>IF(COUNTIF(Calculations!DP:DP,Subgroup_number)=1,INDEX(Calculations!DP:EU,MATCH(Subgroup_number,Calculations!DP:DP,0),6),IF(Subgroup_number=Calculations!EY$25,Calculations!EY$18,""))</f>
        <v>#VALUE!</v>
      </c>
      <c r="N102" s="8" t="e">
        <f>IF(COUNTIF(Calculations!DP:DP,Subgroup_number)=1,INDEX(Calculations!DP:EU,MATCH(Subgroup_number,Calculations!DP:DP,0),7),IF(Subgroup_number=Calculations!EY$25,Calculations!EY$19,""))</f>
        <v>#VALUE!</v>
      </c>
      <c r="O102" s="4" t="e">
        <f>IF(COUNTIF(Calculations!DP:DP,Subgroup_number)=1,INDEX(Calculations!DP:EU,MATCH(Subgroup_number,Calculations!DP:DP,0),9),IF(Subgroup_number=Calculations!EY$25,Calculations!EY$20,""))</f>
        <v>#VALUE!</v>
      </c>
      <c r="P102" s="4" t="e">
        <f>IF(COUNTIF(Calculations!DP:DP,Subgroup_number)=1,INDEX(Calculations!DP:EU,MATCH(Subgroup_number,Calculations!DP:DP,0),10),IF(Subgroup_number=Calculations!EY$25,Calculations!EY$21,""))</f>
        <v>#VALUE!</v>
      </c>
      <c r="Q10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0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02" s="125"/>
      <c r="U102" s="123"/>
      <c r="W102" s="123"/>
      <c r="Y102" s="123"/>
      <c r="AA102" s="123"/>
    </row>
    <row r="103" spans="6:27">
      <c r="F103" s="48">
        <v>102</v>
      </c>
      <c r="G10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0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0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0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0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03" s="4" t="e">
        <f>IF(COUNTIF(Calculations!DP:DP,Subgroup_number)=1,INDEX(Calculations!DP:EU,MATCH(Subgroup_number,Calculations!DP:DP,0),5),IF(Subgroup_number=Calculations!EY$25,Calculations!EY$17,""))</f>
        <v>#VALUE!</v>
      </c>
      <c r="M103" s="26" t="e">
        <f>IF(COUNTIF(Calculations!DP:DP,Subgroup_number)=1,INDEX(Calculations!DP:EU,MATCH(Subgroup_number,Calculations!DP:DP,0),6),IF(Subgroup_number=Calculations!EY$25,Calculations!EY$18,""))</f>
        <v>#VALUE!</v>
      </c>
      <c r="N103" s="8" t="e">
        <f>IF(COUNTIF(Calculations!DP:DP,Subgroup_number)=1,INDEX(Calculations!DP:EU,MATCH(Subgroup_number,Calculations!DP:DP,0),7),IF(Subgroup_number=Calculations!EY$25,Calculations!EY$19,""))</f>
        <v>#VALUE!</v>
      </c>
      <c r="O103" s="4" t="e">
        <f>IF(COUNTIF(Calculations!DP:DP,Subgroup_number)=1,INDEX(Calculations!DP:EU,MATCH(Subgroup_number,Calculations!DP:DP,0),9),IF(Subgroup_number=Calculations!EY$25,Calculations!EY$20,""))</f>
        <v>#VALUE!</v>
      </c>
      <c r="P103" s="4" t="e">
        <f>IF(COUNTIF(Calculations!DP:DP,Subgroup_number)=1,INDEX(Calculations!DP:EU,MATCH(Subgroup_number,Calculations!DP:DP,0),10),IF(Subgroup_number=Calculations!EY$25,Calculations!EY$21,""))</f>
        <v>#VALUE!</v>
      </c>
      <c r="Q10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0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03" s="125"/>
      <c r="U103" s="123"/>
      <c r="W103" s="123"/>
      <c r="Y103" s="123"/>
      <c r="AA103" s="123"/>
    </row>
    <row r="104" spans="6:27">
      <c r="F104" s="48">
        <v>103</v>
      </c>
      <c r="G10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0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0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0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0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04" s="4" t="e">
        <f>IF(COUNTIF(Calculations!DP:DP,Subgroup_number)=1,INDEX(Calculations!DP:EU,MATCH(Subgroup_number,Calculations!DP:DP,0),5),IF(Subgroup_number=Calculations!EY$25,Calculations!EY$17,""))</f>
        <v>#VALUE!</v>
      </c>
      <c r="M104" s="26" t="e">
        <f>IF(COUNTIF(Calculations!DP:DP,Subgroup_number)=1,INDEX(Calculations!DP:EU,MATCH(Subgroup_number,Calculations!DP:DP,0),6),IF(Subgroup_number=Calculations!EY$25,Calculations!EY$18,""))</f>
        <v>#VALUE!</v>
      </c>
      <c r="N104" s="8" t="e">
        <f>IF(COUNTIF(Calculations!DP:DP,Subgroup_number)=1,INDEX(Calculations!DP:EU,MATCH(Subgroup_number,Calculations!DP:DP,0),7),IF(Subgroup_number=Calculations!EY$25,Calculations!EY$19,""))</f>
        <v>#VALUE!</v>
      </c>
      <c r="O104" s="4" t="e">
        <f>IF(COUNTIF(Calculations!DP:DP,Subgroup_number)=1,INDEX(Calculations!DP:EU,MATCH(Subgroup_number,Calculations!DP:DP,0),9),IF(Subgroup_number=Calculations!EY$25,Calculations!EY$20,""))</f>
        <v>#VALUE!</v>
      </c>
      <c r="P104" s="4" t="e">
        <f>IF(COUNTIF(Calculations!DP:DP,Subgroup_number)=1,INDEX(Calculations!DP:EU,MATCH(Subgroup_number,Calculations!DP:DP,0),10),IF(Subgroup_number=Calculations!EY$25,Calculations!EY$21,""))</f>
        <v>#VALUE!</v>
      </c>
      <c r="Q10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0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04" s="125"/>
      <c r="U104" s="123"/>
      <c r="W104" s="123"/>
      <c r="Y104" s="123"/>
      <c r="AA104" s="123"/>
    </row>
    <row r="105" spans="6:27">
      <c r="F105" s="48">
        <v>104</v>
      </c>
      <c r="G10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0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0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0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0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05" s="4" t="e">
        <f>IF(COUNTIF(Calculations!DP:DP,Subgroup_number)=1,INDEX(Calculations!DP:EU,MATCH(Subgroup_number,Calculations!DP:DP,0),5),IF(Subgroup_number=Calculations!EY$25,Calculations!EY$17,""))</f>
        <v>#VALUE!</v>
      </c>
      <c r="M105" s="26" t="e">
        <f>IF(COUNTIF(Calculations!DP:DP,Subgroup_number)=1,INDEX(Calculations!DP:EU,MATCH(Subgroup_number,Calculations!DP:DP,0),6),IF(Subgroup_number=Calculations!EY$25,Calculations!EY$18,""))</f>
        <v>#VALUE!</v>
      </c>
      <c r="N105" s="8" t="e">
        <f>IF(COUNTIF(Calculations!DP:DP,Subgroup_number)=1,INDEX(Calculations!DP:EU,MATCH(Subgroup_number,Calculations!DP:DP,0),7),IF(Subgroup_number=Calculations!EY$25,Calculations!EY$19,""))</f>
        <v>#VALUE!</v>
      </c>
      <c r="O105" s="4" t="e">
        <f>IF(COUNTIF(Calculations!DP:DP,Subgroup_number)=1,INDEX(Calculations!DP:EU,MATCH(Subgroup_number,Calculations!DP:DP,0),9),IF(Subgroup_number=Calculations!EY$25,Calculations!EY$20,""))</f>
        <v>#VALUE!</v>
      </c>
      <c r="P105" s="4" t="e">
        <f>IF(COUNTIF(Calculations!DP:DP,Subgroup_number)=1,INDEX(Calculations!DP:EU,MATCH(Subgroup_number,Calculations!DP:DP,0),10),IF(Subgroup_number=Calculations!EY$25,Calculations!EY$21,""))</f>
        <v>#VALUE!</v>
      </c>
      <c r="Q10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0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05" s="125"/>
      <c r="U105" s="123"/>
      <c r="W105" s="123"/>
      <c r="Y105" s="123"/>
      <c r="AA105" s="123"/>
    </row>
    <row r="106" spans="6:27">
      <c r="F106" s="48">
        <v>105</v>
      </c>
      <c r="G10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0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0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0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0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06" s="4" t="e">
        <f>IF(COUNTIF(Calculations!DP:DP,Subgroup_number)=1,INDEX(Calculations!DP:EU,MATCH(Subgroup_number,Calculations!DP:DP,0),5),IF(Subgroup_number=Calculations!EY$25,Calculations!EY$17,""))</f>
        <v>#VALUE!</v>
      </c>
      <c r="M106" s="26" t="e">
        <f>IF(COUNTIF(Calculations!DP:DP,Subgroup_number)=1,INDEX(Calculations!DP:EU,MATCH(Subgroup_number,Calculations!DP:DP,0),6),IF(Subgroup_number=Calculations!EY$25,Calculations!EY$18,""))</f>
        <v>#VALUE!</v>
      </c>
      <c r="N106" s="8" t="e">
        <f>IF(COUNTIF(Calculations!DP:DP,Subgroup_number)=1,INDEX(Calculations!DP:EU,MATCH(Subgroup_number,Calculations!DP:DP,0),7),IF(Subgroup_number=Calculations!EY$25,Calculations!EY$19,""))</f>
        <v>#VALUE!</v>
      </c>
      <c r="O106" s="4" t="e">
        <f>IF(COUNTIF(Calculations!DP:DP,Subgroup_number)=1,INDEX(Calculations!DP:EU,MATCH(Subgroup_number,Calculations!DP:DP,0),9),IF(Subgroup_number=Calculations!EY$25,Calculations!EY$20,""))</f>
        <v>#VALUE!</v>
      </c>
      <c r="P106" s="4" t="e">
        <f>IF(COUNTIF(Calculations!DP:DP,Subgroup_number)=1,INDEX(Calculations!DP:EU,MATCH(Subgroup_number,Calculations!DP:DP,0),10),IF(Subgroup_number=Calculations!EY$25,Calculations!EY$21,""))</f>
        <v>#VALUE!</v>
      </c>
      <c r="Q10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0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06" s="125"/>
      <c r="U106" s="123"/>
      <c r="W106" s="123"/>
      <c r="Y106" s="123"/>
      <c r="AA106" s="123"/>
    </row>
    <row r="107" spans="6:27">
      <c r="F107" s="48">
        <v>106</v>
      </c>
      <c r="G10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0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0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0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0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07" s="4" t="e">
        <f>IF(COUNTIF(Calculations!DP:DP,Subgroup_number)=1,INDEX(Calculations!DP:EU,MATCH(Subgroup_number,Calculations!DP:DP,0),5),IF(Subgroup_number=Calculations!EY$25,Calculations!EY$17,""))</f>
        <v>#VALUE!</v>
      </c>
      <c r="M107" s="26" t="e">
        <f>IF(COUNTIF(Calculations!DP:DP,Subgroup_number)=1,INDEX(Calculations!DP:EU,MATCH(Subgroup_number,Calculations!DP:DP,0),6),IF(Subgroup_number=Calculations!EY$25,Calculations!EY$18,""))</f>
        <v>#VALUE!</v>
      </c>
      <c r="N107" s="8" t="e">
        <f>IF(COUNTIF(Calculations!DP:DP,Subgroup_number)=1,INDEX(Calculations!DP:EU,MATCH(Subgroup_number,Calculations!DP:DP,0),7),IF(Subgroup_number=Calculations!EY$25,Calculations!EY$19,""))</f>
        <v>#VALUE!</v>
      </c>
      <c r="O107" s="4" t="e">
        <f>IF(COUNTIF(Calculations!DP:DP,Subgroup_number)=1,INDEX(Calculations!DP:EU,MATCH(Subgroup_number,Calculations!DP:DP,0),9),IF(Subgroup_number=Calculations!EY$25,Calculations!EY$20,""))</f>
        <v>#VALUE!</v>
      </c>
      <c r="P107" s="4" t="e">
        <f>IF(COUNTIF(Calculations!DP:DP,Subgroup_number)=1,INDEX(Calculations!DP:EU,MATCH(Subgroup_number,Calculations!DP:DP,0),10),IF(Subgroup_number=Calculations!EY$25,Calculations!EY$21,""))</f>
        <v>#VALUE!</v>
      </c>
      <c r="Q10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0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07" s="125"/>
      <c r="U107" s="123"/>
      <c r="W107" s="123"/>
      <c r="Y107" s="123"/>
      <c r="AA107" s="123"/>
    </row>
    <row r="108" spans="6:27">
      <c r="F108" s="48">
        <v>107</v>
      </c>
      <c r="G10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0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0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0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0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08" s="4" t="e">
        <f>IF(COUNTIF(Calculations!DP:DP,Subgroup_number)=1,INDEX(Calculations!DP:EU,MATCH(Subgroup_number,Calculations!DP:DP,0),5),IF(Subgroup_number=Calculations!EY$25,Calculations!EY$17,""))</f>
        <v>#VALUE!</v>
      </c>
      <c r="M108" s="26" t="e">
        <f>IF(COUNTIF(Calculations!DP:DP,Subgroup_number)=1,INDEX(Calculations!DP:EU,MATCH(Subgroup_number,Calculations!DP:DP,0),6),IF(Subgroup_number=Calculations!EY$25,Calculations!EY$18,""))</f>
        <v>#VALUE!</v>
      </c>
      <c r="N108" s="8" t="e">
        <f>IF(COUNTIF(Calculations!DP:DP,Subgroup_number)=1,INDEX(Calculations!DP:EU,MATCH(Subgroup_number,Calculations!DP:DP,0),7),IF(Subgroup_number=Calculations!EY$25,Calculations!EY$19,""))</f>
        <v>#VALUE!</v>
      </c>
      <c r="O108" s="4" t="e">
        <f>IF(COUNTIF(Calculations!DP:DP,Subgroup_number)=1,INDEX(Calculations!DP:EU,MATCH(Subgroup_number,Calculations!DP:DP,0),9),IF(Subgroup_number=Calculations!EY$25,Calculations!EY$20,""))</f>
        <v>#VALUE!</v>
      </c>
      <c r="P108" s="4" t="e">
        <f>IF(COUNTIF(Calculations!DP:DP,Subgroup_number)=1,INDEX(Calculations!DP:EU,MATCH(Subgroup_number,Calculations!DP:DP,0),10),IF(Subgroup_number=Calculations!EY$25,Calculations!EY$21,""))</f>
        <v>#VALUE!</v>
      </c>
      <c r="Q10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0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08" s="125"/>
      <c r="U108" s="123"/>
      <c r="W108" s="123"/>
      <c r="Y108" s="123"/>
      <c r="AA108" s="123"/>
    </row>
    <row r="109" spans="6:27">
      <c r="F109" s="48">
        <v>108</v>
      </c>
      <c r="G10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0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0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0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0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09" s="4" t="e">
        <f>IF(COUNTIF(Calculations!DP:DP,Subgroup_number)=1,INDEX(Calculations!DP:EU,MATCH(Subgroup_number,Calculations!DP:DP,0),5),IF(Subgroup_number=Calculations!EY$25,Calculations!EY$17,""))</f>
        <v>#VALUE!</v>
      </c>
      <c r="M109" s="26" t="e">
        <f>IF(COUNTIF(Calculations!DP:DP,Subgroup_number)=1,INDEX(Calculations!DP:EU,MATCH(Subgroup_number,Calculations!DP:DP,0),6),IF(Subgroup_number=Calculations!EY$25,Calculations!EY$18,""))</f>
        <v>#VALUE!</v>
      </c>
      <c r="N109" s="8" t="e">
        <f>IF(COUNTIF(Calculations!DP:DP,Subgroup_number)=1,INDEX(Calculations!DP:EU,MATCH(Subgroup_number,Calculations!DP:DP,0),7),IF(Subgroup_number=Calculations!EY$25,Calculations!EY$19,""))</f>
        <v>#VALUE!</v>
      </c>
      <c r="O109" s="4" t="e">
        <f>IF(COUNTIF(Calculations!DP:DP,Subgroup_number)=1,INDEX(Calculations!DP:EU,MATCH(Subgroup_number,Calculations!DP:DP,0),9),IF(Subgroup_number=Calculations!EY$25,Calculations!EY$20,""))</f>
        <v>#VALUE!</v>
      </c>
      <c r="P109" s="4" t="e">
        <f>IF(COUNTIF(Calculations!DP:DP,Subgroup_number)=1,INDEX(Calculations!DP:EU,MATCH(Subgroup_number,Calculations!DP:DP,0),10),IF(Subgroup_number=Calculations!EY$25,Calculations!EY$21,""))</f>
        <v>#VALUE!</v>
      </c>
      <c r="Q10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0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09" s="125"/>
      <c r="U109" s="123"/>
      <c r="W109" s="123"/>
      <c r="Y109" s="123"/>
      <c r="AA109" s="123"/>
    </row>
    <row r="110" spans="6:27">
      <c r="F110" s="48">
        <v>109</v>
      </c>
      <c r="G11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1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1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1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1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10" s="4" t="e">
        <f>IF(COUNTIF(Calculations!DP:DP,Subgroup_number)=1,INDEX(Calculations!DP:EU,MATCH(Subgroup_number,Calculations!DP:DP,0),5),IF(Subgroup_number=Calculations!EY$25,Calculations!EY$17,""))</f>
        <v>#VALUE!</v>
      </c>
      <c r="M110" s="26" t="e">
        <f>IF(COUNTIF(Calculations!DP:DP,Subgroup_number)=1,INDEX(Calculations!DP:EU,MATCH(Subgroup_number,Calculations!DP:DP,0),6),IF(Subgroup_number=Calculations!EY$25,Calculations!EY$18,""))</f>
        <v>#VALUE!</v>
      </c>
      <c r="N110" s="8" t="e">
        <f>IF(COUNTIF(Calculations!DP:DP,Subgroup_number)=1,INDEX(Calculations!DP:EU,MATCH(Subgroup_number,Calculations!DP:DP,0),7),IF(Subgroup_number=Calculations!EY$25,Calculations!EY$19,""))</f>
        <v>#VALUE!</v>
      </c>
      <c r="O110" s="4" t="e">
        <f>IF(COUNTIF(Calculations!DP:DP,Subgroup_number)=1,INDEX(Calculations!DP:EU,MATCH(Subgroup_number,Calculations!DP:DP,0),9),IF(Subgroup_number=Calculations!EY$25,Calculations!EY$20,""))</f>
        <v>#VALUE!</v>
      </c>
      <c r="P110" s="4" t="e">
        <f>IF(COUNTIF(Calculations!DP:DP,Subgroup_number)=1,INDEX(Calculations!DP:EU,MATCH(Subgroup_number,Calculations!DP:DP,0),10),IF(Subgroup_number=Calculations!EY$25,Calculations!EY$21,""))</f>
        <v>#VALUE!</v>
      </c>
      <c r="Q11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1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10" s="125"/>
      <c r="U110" s="123"/>
      <c r="W110" s="123"/>
      <c r="Y110" s="123"/>
      <c r="AA110" s="123"/>
    </row>
    <row r="111" spans="6:27">
      <c r="F111" s="48">
        <v>110</v>
      </c>
      <c r="G11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1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1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1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1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11" s="4" t="e">
        <f>IF(COUNTIF(Calculations!DP:DP,Subgroup_number)=1,INDEX(Calculations!DP:EU,MATCH(Subgroup_number,Calculations!DP:DP,0),5),IF(Subgroup_number=Calculations!EY$25,Calculations!EY$17,""))</f>
        <v>#VALUE!</v>
      </c>
      <c r="M111" s="26" t="e">
        <f>IF(COUNTIF(Calculations!DP:DP,Subgroup_number)=1,INDEX(Calculations!DP:EU,MATCH(Subgroup_number,Calculations!DP:DP,0),6),IF(Subgroup_number=Calculations!EY$25,Calculations!EY$18,""))</f>
        <v>#VALUE!</v>
      </c>
      <c r="N111" s="8" t="e">
        <f>IF(COUNTIF(Calculations!DP:DP,Subgroup_number)=1,INDEX(Calculations!DP:EU,MATCH(Subgroup_number,Calculations!DP:DP,0),7),IF(Subgroup_number=Calculations!EY$25,Calculations!EY$19,""))</f>
        <v>#VALUE!</v>
      </c>
      <c r="O111" s="4" t="e">
        <f>IF(COUNTIF(Calculations!DP:DP,Subgroup_number)=1,INDEX(Calculations!DP:EU,MATCH(Subgroup_number,Calculations!DP:DP,0),9),IF(Subgroup_number=Calculations!EY$25,Calculations!EY$20,""))</f>
        <v>#VALUE!</v>
      </c>
      <c r="P111" s="4" t="e">
        <f>IF(COUNTIF(Calculations!DP:DP,Subgroup_number)=1,INDEX(Calculations!DP:EU,MATCH(Subgroup_number,Calculations!DP:DP,0),10),IF(Subgroup_number=Calculations!EY$25,Calculations!EY$21,""))</f>
        <v>#VALUE!</v>
      </c>
      <c r="Q11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1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11" s="125"/>
      <c r="U111" s="123"/>
      <c r="W111" s="123"/>
      <c r="Y111" s="123"/>
      <c r="AA111" s="123"/>
    </row>
    <row r="112" spans="6:27">
      <c r="F112" s="48">
        <v>111</v>
      </c>
      <c r="G11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1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1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1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1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12" s="4" t="e">
        <f>IF(COUNTIF(Calculations!DP:DP,Subgroup_number)=1,INDEX(Calculations!DP:EU,MATCH(Subgroup_number,Calculations!DP:DP,0),5),IF(Subgroup_number=Calculations!EY$25,Calculations!EY$17,""))</f>
        <v>#VALUE!</v>
      </c>
      <c r="M112" s="26" t="e">
        <f>IF(COUNTIF(Calculations!DP:DP,Subgroup_number)=1,INDEX(Calculations!DP:EU,MATCH(Subgroup_number,Calculations!DP:DP,0),6),IF(Subgroup_number=Calculations!EY$25,Calculations!EY$18,""))</f>
        <v>#VALUE!</v>
      </c>
      <c r="N112" s="8" t="e">
        <f>IF(COUNTIF(Calculations!DP:DP,Subgroup_number)=1,INDEX(Calculations!DP:EU,MATCH(Subgroup_number,Calculations!DP:DP,0),7),IF(Subgroup_number=Calculations!EY$25,Calculations!EY$19,""))</f>
        <v>#VALUE!</v>
      </c>
      <c r="O112" s="4" t="e">
        <f>IF(COUNTIF(Calculations!DP:DP,Subgroup_number)=1,INDEX(Calculations!DP:EU,MATCH(Subgroup_number,Calculations!DP:DP,0),9),IF(Subgroup_number=Calculations!EY$25,Calculations!EY$20,""))</f>
        <v>#VALUE!</v>
      </c>
      <c r="P112" s="4" t="e">
        <f>IF(COUNTIF(Calculations!DP:DP,Subgroup_number)=1,INDEX(Calculations!DP:EU,MATCH(Subgroup_number,Calculations!DP:DP,0),10),IF(Subgroup_number=Calculations!EY$25,Calculations!EY$21,""))</f>
        <v>#VALUE!</v>
      </c>
      <c r="Q11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1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12" s="125"/>
      <c r="U112" s="123"/>
      <c r="W112" s="123"/>
      <c r="Y112" s="123"/>
      <c r="AA112" s="123"/>
    </row>
    <row r="113" spans="6:27">
      <c r="F113" s="48">
        <v>112</v>
      </c>
      <c r="G11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1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1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1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1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13" s="4" t="e">
        <f>IF(COUNTIF(Calculations!DP:DP,Subgroup_number)=1,INDEX(Calculations!DP:EU,MATCH(Subgroup_number,Calculations!DP:DP,0),5),IF(Subgroup_number=Calculations!EY$25,Calculations!EY$17,""))</f>
        <v>#VALUE!</v>
      </c>
      <c r="M113" s="26" t="e">
        <f>IF(COUNTIF(Calculations!DP:DP,Subgroup_number)=1,INDEX(Calculations!DP:EU,MATCH(Subgroup_number,Calculations!DP:DP,0),6),IF(Subgroup_number=Calculations!EY$25,Calculations!EY$18,""))</f>
        <v>#VALUE!</v>
      </c>
      <c r="N113" s="8" t="e">
        <f>IF(COUNTIF(Calculations!DP:DP,Subgroup_number)=1,INDEX(Calculations!DP:EU,MATCH(Subgroup_number,Calculations!DP:DP,0),7),IF(Subgroup_number=Calculations!EY$25,Calculations!EY$19,""))</f>
        <v>#VALUE!</v>
      </c>
      <c r="O113" s="4" t="e">
        <f>IF(COUNTIF(Calculations!DP:DP,Subgroup_number)=1,INDEX(Calculations!DP:EU,MATCH(Subgroup_number,Calculations!DP:DP,0),9),IF(Subgroup_number=Calculations!EY$25,Calculations!EY$20,""))</f>
        <v>#VALUE!</v>
      </c>
      <c r="P113" s="4" t="e">
        <f>IF(COUNTIF(Calculations!DP:DP,Subgroup_number)=1,INDEX(Calculations!DP:EU,MATCH(Subgroup_number,Calculations!DP:DP,0),10),IF(Subgroup_number=Calculations!EY$25,Calculations!EY$21,""))</f>
        <v>#VALUE!</v>
      </c>
      <c r="Q11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1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13" s="125"/>
      <c r="U113" s="123"/>
      <c r="W113" s="123"/>
      <c r="Y113" s="123"/>
      <c r="AA113" s="123"/>
    </row>
    <row r="114" spans="6:27">
      <c r="F114" s="48">
        <v>113</v>
      </c>
      <c r="G11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1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1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1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1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14" s="4" t="e">
        <f>IF(COUNTIF(Calculations!DP:DP,Subgroup_number)=1,INDEX(Calculations!DP:EU,MATCH(Subgroup_number,Calculations!DP:DP,0),5),IF(Subgroup_number=Calculations!EY$25,Calculations!EY$17,""))</f>
        <v>#VALUE!</v>
      </c>
      <c r="M114" s="26" t="e">
        <f>IF(COUNTIF(Calculations!DP:DP,Subgroup_number)=1,INDEX(Calculations!DP:EU,MATCH(Subgroup_number,Calculations!DP:DP,0),6),IF(Subgroup_number=Calculations!EY$25,Calculations!EY$18,""))</f>
        <v>#VALUE!</v>
      </c>
      <c r="N114" s="8" t="e">
        <f>IF(COUNTIF(Calculations!DP:DP,Subgroup_number)=1,INDEX(Calculations!DP:EU,MATCH(Subgroup_number,Calculations!DP:DP,0),7),IF(Subgroup_number=Calculations!EY$25,Calculations!EY$19,""))</f>
        <v>#VALUE!</v>
      </c>
      <c r="O114" s="4" t="e">
        <f>IF(COUNTIF(Calculations!DP:DP,Subgroup_number)=1,INDEX(Calculations!DP:EU,MATCH(Subgroup_number,Calculations!DP:DP,0),9),IF(Subgroup_number=Calculations!EY$25,Calculations!EY$20,""))</f>
        <v>#VALUE!</v>
      </c>
      <c r="P114" s="4" t="e">
        <f>IF(COUNTIF(Calculations!DP:DP,Subgroup_number)=1,INDEX(Calculations!DP:EU,MATCH(Subgroup_number,Calculations!DP:DP,0),10),IF(Subgroup_number=Calculations!EY$25,Calculations!EY$21,""))</f>
        <v>#VALUE!</v>
      </c>
      <c r="Q11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1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14" s="125"/>
      <c r="U114" s="123"/>
      <c r="W114" s="123"/>
      <c r="Y114" s="123"/>
      <c r="AA114" s="123"/>
    </row>
    <row r="115" spans="6:27">
      <c r="F115" s="48">
        <v>114</v>
      </c>
      <c r="G11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1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1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1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1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15" s="4" t="e">
        <f>IF(COUNTIF(Calculations!DP:DP,Subgroup_number)=1,INDEX(Calculations!DP:EU,MATCH(Subgroup_number,Calculations!DP:DP,0),5),IF(Subgroup_number=Calculations!EY$25,Calculations!EY$17,""))</f>
        <v>#VALUE!</v>
      </c>
      <c r="M115" s="26" t="e">
        <f>IF(COUNTIF(Calculations!DP:DP,Subgroup_number)=1,INDEX(Calculations!DP:EU,MATCH(Subgroup_number,Calculations!DP:DP,0),6),IF(Subgroup_number=Calculations!EY$25,Calculations!EY$18,""))</f>
        <v>#VALUE!</v>
      </c>
      <c r="N115" s="8" t="e">
        <f>IF(COUNTIF(Calculations!DP:DP,Subgroup_number)=1,INDEX(Calculations!DP:EU,MATCH(Subgroup_number,Calculations!DP:DP,0),7),IF(Subgroup_number=Calculations!EY$25,Calculations!EY$19,""))</f>
        <v>#VALUE!</v>
      </c>
      <c r="O115" s="4" t="e">
        <f>IF(COUNTIF(Calculations!DP:DP,Subgroup_number)=1,INDEX(Calculations!DP:EU,MATCH(Subgroup_number,Calculations!DP:DP,0),9),IF(Subgroup_number=Calculations!EY$25,Calculations!EY$20,""))</f>
        <v>#VALUE!</v>
      </c>
      <c r="P115" s="4" t="e">
        <f>IF(COUNTIF(Calculations!DP:DP,Subgroup_number)=1,INDEX(Calculations!DP:EU,MATCH(Subgroup_number,Calculations!DP:DP,0),10),IF(Subgroup_number=Calculations!EY$25,Calculations!EY$21,""))</f>
        <v>#VALUE!</v>
      </c>
      <c r="Q11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1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15" s="125"/>
      <c r="U115" s="123"/>
      <c r="W115" s="123"/>
      <c r="Y115" s="123"/>
      <c r="AA115" s="123"/>
    </row>
    <row r="116" spans="6:27">
      <c r="F116" s="48">
        <v>115</v>
      </c>
      <c r="G11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1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1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1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1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16" s="4" t="e">
        <f>IF(COUNTIF(Calculations!DP:DP,Subgroup_number)=1,INDEX(Calculations!DP:EU,MATCH(Subgroup_number,Calculations!DP:DP,0),5),IF(Subgroup_number=Calculations!EY$25,Calculations!EY$17,""))</f>
        <v>#VALUE!</v>
      </c>
      <c r="M116" s="26" t="e">
        <f>IF(COUNTIF(Calculations!DP:DP,Subgroup_number)=1,INDEX(Calculations!DP:EU,MATCH(Subgroup_number,Calculations!DP:DP,0),6),IF(Subgroup_number=Calculations!EY$25,Calculations!EY$18,""))</f>
        <v>#VALUE!</v>
      </c>
      <c r="N116" s="8" t="e">
        <f>IF(COUNTIF(Calculations!DP:DP,Subgroup_number)=1,INDEX(Calculations!DP:EU,MATCH(Subgroup_number,Calculations!DP:DP,0),7),IF(Subgroup_number=Calculations!EY$25,Calculations!EY$19,""))</f>
        <v>#VALUE!</v>
      </c>
      <c r="O116" s="4" t="e">
        <f>IF(COUNTIF(Calculations!DP:DP,Subgroup_number)=1,INDEX(Calculations!DP:EU,MATCH(Subgroup_number,Calculations!DP:DP,0),9),IF(Subgroup_number=Calculations!EY$25,Calculations!EY$20,""))</f>
        <v>#VALUE!</v>
      </c>
      <c r="P116" s="4" t="e">
        <f>IF(COUNTIF(Calculations!DP:DP,Subgroup_number)=1,INDEX(Calculations!DP:EU,MATCH(Subgroup_number,Calculations!DP:DP,0),10),IF(Subgroup_number=Calculations!EY$25,Calculations!EY$21,""))</f>
        <v>#VALUE!</v>
      </c>
      <c r="Q11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1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16" s="125"/>
      <c r="U116" s="123"/>
      <c r="W116" s="123"/>
      <c r="Y116" s="123"/>
      <c r="AA116" s="123"/>
    </row>
    <row r="117" spans="6:27">
      <c r="F117" s="48">
        <v>116</v>
      </c>
      <c r="G11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1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1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1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1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17" s="4" t="e">
        <f>IF(COUNTIF(Calculations!DP:DP,Subgroup_number)=1,INDEX(Calculations!DP:EU,MATCH(Subgroup_number,Calculations!DP:DP,0),5),IF(Subgroup_number=Calculations!EY$25,Calculations!EY$17,""))</f>
        <v>#VALUE!</v>
      </c>
      <c r="M117" s="26" t="e">
        <f>IF(COUNTIF(Calculations!DP:DP,Subgroup_number)=1,INDEX(Calculations!DP:EU,MATCH(Subgroup_number,Calculations!DP:DP,0),6),IF(Subgroup_number=Calculations!EY$25,Calculations!EY$18,""))</f>
        <v>#VALUE!</v>
      </c>
      <c r="N117" s="8" t="e">
        <f>IF(COUNTIF(Calculations!DP:DP,Subgroup_number)=1,INDEX(Calculations!DP:EU,MATCH(Subgroup_number,Calculations!DP:DP,0),7),IF(Subgroup_number=Calculations!EY$25,Calculations!EY$19,""))</f>
        <v>#VALUE!</v>
      </c>
      <c r="O117" s="4" t="e">
        <f>IF(COUNTIF(Calculations!DP:DP,Subgroup_number)=1,INDEX(Calculations!DP:EU,MATCH(Subgroup_number,Calculations!DP:DP,0),9),IF(Subgroup_number=Calculations!EY$25,Calculations!EY$20,""))</f>
        <v>#VALUE!</v>
      </c>
      <c r="P117" s="4" t="e">
        <f>IF(COUNTIF(Calculations!DP:DP,Subgroup_number)=1,INDEX(Calculations!DP:EU,MATCH(Subgroup_number,Calculations!DP:DP,0),10),IF(Subgroup_number=Calculations!EY$25,Calculations!EY$21,""))</f>
        <v>#VALUE!</v>
      </c>
      <c r="Q11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1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17" s="125"/>
      <c r="U117" s="123"/>
      <c r="W117" s="123"/>
      <c r="Y117" s="123"/>
      <c r="AA117" s="123"/>
    </row>
    <row r="118" spans="6:27">
      <c r="F118" s="48">
        <v>117</v>
      </c>
      <c r="G11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1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1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1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1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18" s="4" t="e">
        <f>IF(COUNTIF(Calculations!DP:DP,Subgroup_number)=1,INDEX(Calculations!DP:EU,MATCH(Subgroup_number,Calculations!DP:DP,0),5),IF(Subgroup_number=Calculations!EY$25,Calculations!EY$17,""))</f>
        <v>#VALUE!</v>
      </c>
      <c r="M118" s="26" t="e">
        <f>IF(COUNTIF(Calculations!DP:DP,Subgroup_number)=1,INDEX(Calculations!DP:EU,MATCH(Subgroup_number,Calculations!DP:DP,0),6),IF(Subgroup_number=Calculations!EY$25,Calculations!EY$18,""))</f>
        <v>#VALUE!</v>
      </c>
      <c r="N118" s="8" t="e">
        <f>IF(COUNTIF(Calculations!DP:DP,Subgroup_number)=1,INDEX(Calculations!DP:EU,MATCH(Subgroup_number,Calculations!DP:DP,0),7),IF(Subgroup_number=Calculations!EY$25,Calculations!EY$19,""))</f>
        <v>#VALUE!</v>
      </c>
      <c r="O118" s="4" t="e">
        <f>IF(COUNTIF(Calculations!DP:DP,Subgroup_number)=1,INDEX(Calculations!DP:EU,MATCH(Subgroup_number,Calculations!DP:DP,0),9),IF(Subgroup_number=Calculations!EY$25,Calculations!EY$20,""))</f>
        <v>#VALUE!</v>
      </c>
      <c r="P118" s="4" t="e">
        <f>IF(COUNTIF(Calculations!DP:DP,Subgroup_number)=1,INDEX(Calculations!DP:EU,MATCH(Subgroup_number,Calculations!DP:DP,0),10),IF(Subgroup_number=Calculations!EY$25,Calculations!EY$21,""))</f>
        <v>#VALUE!</v>
      </c>
      <c r="Q11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1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18" s="125"/>
      <c r="U118" s="123"/>
      <c r="W118" s="123"/>
      <c r="Y118" s="123"/>
      <c r="AA118" s="123"/>
    </row>
    <row r="119" spans="6:27">
      <c r="F119" s="48">
        <v>118</v>
      </c>
      <c r="G11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1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1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1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1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19" s="4" t="e">
        <f>IF(COUNTIF(Calculations!DP:DP,Subgroup_number)=1,INDEX(Calculations!DP:EU,MATCH(Subgroup_number,Calculations!DP:DP,0),5),IF(Subgroup_number=Calculations!EY$25,Calculations!EY$17,""))</f>
        <v>#VALUE!</v>
      </c>
      <c r="M119" s="26" t="e">
        <f>IF(COUNTIF(Calculations!DP:DP,Subgroup_number)=1,INDEX(Calculations!DP:EU,MATCH(Subgroup_number,Calculations!DP:DP,0),6),IF(Subgroup_number=Calculations!EY$25,Calculations!EY$18,""))</f>
        <v>#VALUE!</v>
      </c>
      <c r="N119" s="8" t="e">
        <f>IF(COUNTIF(Calculations!DP:DP,Subgroup_number)=1,INDEX(Calculations!DP:EU,MATCH(Subgroup_number,Calculations!DP:DP,0),7),IF(Subgroup_number=Calculations!EY$25,Calculations!EY$19,""))</f>
        <v>#VALUE!</v>
      </c>
      <c r="O119" s="4" t="e">
        <f>IF(COUNTIF(Calculations!DP:DP,Subgroup_number)=1,INDEX(Calculations!DP:EU,MATCH(Subgroup_number,Calculations!DP:DP,0),9),IF(Subgroup_number=Calculations!EY$25,Calculations!EY$20,""))</f>
        <v>#VALUE!</v>
      </c>
      <c r="P119" s="4" t="e">
        <f>IF(COUNTIF(Calculations!DP:DP,Subgroup_number)=1,INDEX(Calculations!DP:EU,MATCH(Subgroup_number,Calculations!DP:DP,0),10),IF(Subgroup_number=Calculations!EY$25,Calculations!EY$21,""))</f>
        <v>#VALUE!</v>
      </c>
      <c r="Q11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1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19" s="125"/>
      <c r="U119" s="123"/>
      <c r="W119" s="123"/>
      <c r="Y119" s="123"/>
      <c r="AA119" s="123"/>
    </row>
    <row r="120" spans="6:27">
      <c r="F120" s="48">
        <v>119</v>
      </c>
      <c r="G12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2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2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2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2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20" s="4" t="e">
        <f>IF(COUNTIF(Calculations!DP:DP,Subgroup_number)=1,INDEX(Calculations!DP:EU,MATCH(Subgroup_number,Calculations!DP:DP,0),5),IF(Subgroup_number=Calculations!EY$25,Calculations!EY$17,""))</f>
        <v>#VALUE!</v>
      </c>
      <c r="M120" s="26" t="e">
        <f>IF(COUNTIF(Calculations!DP:DP,Subgroup_number)=1,INDEX(Calculations!DP:EU,MATCH(Subgroup_number,Calculations!DP:DP,0),6),IF(Subgroup_number=Calculations!EY$25,Calculations!EY$18,""))</f>
        <v>#VALUE!</v>
      </c>
      <c r="N120" s="8" t="e">
        <f>IF(COUNTIF(Calculations!DP:DP,Subgroup_number)=1,INDEX(Calculations!DP:EU,MATCH(Subgroup_number,Calculations!DP:DP,0),7),IF(Subgroup_number=Calculations!EY$25,Calculations!EY$19,""))</f>
        <v>#VALUE!</v>
      </c>
      <c r="O120" s="4" t="e">
        <f>IF(COUNTIF(Calculations!DP:DP,Subgroup_number)=1,INDEX(Calculations!DP:EU,MATCH(Subgroup_number,Calculations!DP:DP,0),9),IF(Subgroup_number=Calculations!EY$25,Calculations!EY$20,""))</f>
        <v>#VALUE!</v>
      </c>
      <c r="P120" s="4" t="e">
        <f>IF(COUNTIF(Calculations!DP:DP,Subgroup_number)=1,INDEX(Calculations!DP:EU,MATCH(Subgroup_number,Calculations!DP:DP,0),10),IF(Subgroup_number=Calculations!EY$25,Calculations!EY$21,""))</f>
        <v>#VALUE!</v>
      </c>
      <c r="Q12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2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20" s="125"/>
      <c r="U120" s="123"/>
      <c r="W120" s="123"/>
      <c r="Y120" s="123"/>
      <c r="AA120" s="123"/>
    </row>
    <row r="121" spans="6:27">
      <c r="F121" s="48">
        <v>120</v>
      </c>
      <c r="G12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2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2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2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2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21" s="4" t="e">
        <f>IF(COUNTIF(Calculations!DP:DP,Subgroup_number)=1,INDEX(Calculations!DP:EU,MATCH(Subgroup_number,Calculations!DP:DP,0),5),IF(Subgroup_number=Calculations!EY$25,Calculations!EY$17,""))</f>
        <v>#VALUE!</v>
      </c>
      <c r="M121" s="26" t="e">
        <f>IF(COUNTIF(Calculations!DP:DP,Subgroup_number)=1,INDEX(Calculations!DP:EU,MATCH(Subgroup_number,Calculations!DP:DP,0),6),IF(Subgroup_number=Calculations!EY$25,Calculations!EY$18,""))</f>
        <v>#VALUE!</v>
      </c>
      <c r="N121" s="8" t="e">
        <f>IF(COUNTIF(Calculations!DP:DP,Subgroup_number)=1,INDEX(Calculations!DP:EU,MATCH(Subgroup_number,Calculations!DP:DP,0),7),IF(Subgroup_number=Calculations!EY$25,Calculations!EY$19,""))</f>
        <v>#VALUE!</v>
      </c>
      <c r="O121" s="4" t="e">
        <f>IF(COUNTIF(Calculations!DP:DP,Subgroup_number)=1,INDEX(Calculations!DP:EU,MATCH(Subgroup_number,Calculations!DP:DP,0),9),IF(Subgroup_number=Calculations!EY$25,Calculations!EY$20,""))</f>
        <v>#VALUE!</v>
      </c>
      <c r="P121" s="4" t="e">
        <f>IF(COUNTIF(Calculations!DP:DP,Subgroup_number)=1,INDEX(Calculations!DP:EU,MATCH(Subgroup_number,Calculations!DP:DP,0),10),IF(Subgroup_number=Calculations!EY$25,Calculations!EY$21,""))</f>
        <v>#VALUE!</v>
      </c>
      <c r="Q12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2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21" s="125"/>
      <c r="U121" s="123"/>
      <c r="W121" s="123"/>
      <c r="Y121" s="123"/>
      <c r="AA121" s="123"/>
    </row>
    <row r="122" spans="6:27">
      <c r="F122" s="48">
        <v>121</v>
      </c>
      <c r="G12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2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2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2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2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22" s="4" t="e">
        <f>IF(COUNTIF(Calculations!DP:DP,Subgroup_number)=1,INDEX(Calculations!DP:EU,MATCH(Subgroup_number,Calculations!DP:DP,0),5),IF(Subgroup_number=Calculations!EY$25,Calculations!EY$17,""))</f>
        <v>#VALUE!</v>
      </c>
      <c r="M122" s="26" t="e">
        <f>IF(COUNTIF(Calculations!DP:DP,Subgroup_number)=1,INDEX(Calculations!DP:EU,MATCH(Subgroup_number,Calculations!DP:DP,0),6),IF(Subgroup_number=Calculations!EY$25,Calculations!EY$18,""))</f>
        <v>#VALUE!</v>
      </c>
      <c r="N122" s="8" t="e">
        <f>IF(COUNTIF(Calculations!DP:DP,Subgroup_number)=1,INDEX(Calculations!DP:EU,MATCH(Subgroup_number,Calculations!DP:DP,0),7),IF(Subgroup_number=Calculations!EY$25,Calculations!EY$19,""))</f>
        <v>#VALUE!</v>
      </c>
      <c r="O122" s="4" t="e">
        <f>IF(COUNTIF(Calculations!DP:DP,Subgroup_number)=1,INDEX(Calculations!DP:EU,MATCH(Subgroup_number,Calculations!DP:DP,0),9),IF(Subgroup_number=Calculations!EY$25,Calculations!EY$20,""))</f>
        <v>#VALUE!</v>
      </c>
      <c r="P122" s="4" t="e">
        <f>IF(COUNTIF(Calculations!DP:DP,Subgroup_number)=1,INDEX(Calculations!DP:EU,MATCH(Subgroup_number,Calculations!DP:DP,0),10),IF(Subgroup_number=Calculations!EY$25,Calculations!EY$21,""))</f>
        <v>#VALUE!</v>
      </c>
      <c r="Q12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2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22" s="125"/>
      <c r="U122" s="123"/>
      <c r="W122" s="123"/>
      <c r="Y122" s="123"/>
      <c r="AA122" s="123"/>
    </row>
    <row r="123" spans="6:27">
      <c r="F123" s="48">
        <v>122</v>
      </c>
      <c r="G12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2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2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2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2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23" s="4" t="e">
        <f>IF(COUNTIF(Calculations!DP:DP,Subgroup_number)=1,INDEX(Calculations!DP:EU,MATCH(Subgroup_number,Calculations!DP:DP,0),5),IF(Subgroup_number=Calculations!EY$25,Calculations!EY$17,""))</f>
        <v>#VALUE!</v>
      </c>
      <c r="M123" s="26" t="e">
        <f>IF(COUNTIF(Calculations!DP:DP,Subgroup_number)=1,INDEX(Calculations!DP:EU,MATCH(Subgroup_number,Calculations!DP:DP,0),6),IF(Subgroup_number=Calculations!EY$25,Calculations!EY$18,""))</f>
        <v>#VALUE!</v>
      </c>
      <c r="N123" s="8" t="e">
        <f>IF(COUNTIF(Calculations!DP:DP,Subgroup_number)=1,INDEX(Calculations!DP:EU,MATCH(Subgroup_number,Calculations!DP:DP,0),7),IF(Subgroup_number=Calculations!EY$25,Calculations!EY$19,""))</f>
        <v>#VALUE!</v>
      </c>
      <c r="O123" s="4" t="e">
        <f>IF(COUNTIF(Calculations!DP:DP,Subgroup_number)=1,INDEX(Calculations!DP:EU,MATCH(Subgroup_number,Calculations!DP:DP,0),9),IF(Subgroup_number=Calculations!EY$25,Calculations!EY$20,""))</f>
        <v>#VALUE!</v>
      </c>
      <c r="P123" s="4" t="e">
        <f>IF(COUNTIF(Calculations!DP:DP,Subgroup_number)=1,INDEX(Calculations!DP:EU,MATCH(Subgroup_number,Calculations!DP:DP,0),10),IF(Subgroup_number=Calculations!EY$25,Calculations!EY$21,""))</f>
        <v>#VALUE!</v>
      </c>
      <c r="Q12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2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23" s="125"/>
      <c r="U123" s="123"/>
      <c r="W123" s="123"/>
      <c r="Y123" s="123"/>
      <c r="AA123" s="123"/>
    </row>
    <row r="124" spans="6:27">
      <c r="F124" s="48">
        <v>123</v>
      </c>
      <c r="G12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2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2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2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2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24" s="4" t="e">
        <f>IF(COUNTIF(Calculations!DP:DP,Subgroup_number)=1,INDEX(Calculations!DP:EU,MATCH(Subgroup_number,Calculations!DP:DP,0),5),IF(Subgroup_number=Calculations!EY$25,Calculations!EY$17,""))</f>
        <v>#VALUE!</v>
      </c>
      <c r="M124" s="26" t="e">
        <f>IF(COUNTIF(Calculations!DP:DP,Subgroup_number)=1,INDEX(Calculations!DP:EU,MATCH(Subgroup_number,Calculations!DP:DP,0),6),IF(Subgroup_number=Calculations!EY$25,Calculations!EY$18,""))</f>
        <v>#VALUE!</v>
      </c>
      <c r="N124" s="8" t="e">
        <f>IF(COUNTIF(Calculations!DP:DP,Subgroup_number)=1,INDEX(Calculations!DP:EU,MATCH(Subgroup_number,Calculations!DP:DP,0),7),IF(Subgroup_number=Calculations!EY$25,Calculations!EY$19,""))</f>
        <v>#VALUE!</v>
      </c>
      <c r="O124" s="4" t="e">
        <f>IF(COUNTIF(Calculations!DP:DP,Subgroup_number)=1,INDEX(Calculations!DP:EU,MATCH(Subgroup_number,Calculations!DP:DP,0),9),IF(Subgroup_number=Calculations!EY$25,Calculations!EY$20,""))</f>
        <v>#VALUE!</v>
      </c>
      <c r="P124" s="4" t="e">
        <f>IF(COUNTIF(Calculations!DP:DP,Subgroup_number)=1,INDEX(Calculations!DP:EU,MATCH(Subgroup_number,Calculations!DP:DP,0),10),IF(Subgroup_number=Calculations!EY$25,Calculations!EY$21,""))</f>
        <v>#VALUE!</v>
      </c>
      <c r="Q12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2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24" s="125"/>
      <c r="U124" s="123"/>
      <c r="W124" s="123"/>
      <c r="Y124" s="123"/>
      <c r="AA124" s="123"/>
    </row>
    <row r="125" spans="6:27">
      <c r="F125" s="48">
        <v>124</v>
      </c>
      <c r="G12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2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2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2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2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25" s="4" t="e">
        <f>IF(COUNTIF(Calculations!DP:DP,Subgroup_number)=1,INDEX(Calculations!DP:EU,MATCH(Subgroup_number,Calculations!DP:DP,0),5),IF(Subgroup_number=Calculations!EY$25,Calculations!EY$17,""))</f>
        <v>#VALUE!</v>
      </c>
      <c r="M125" s="26" t="e">
        <f>IF(COUNTIF(Calculations!DP:DP,Subgroup_number)=1,INDEX(Calculations!DP:EU,MATCH(Subgroup_number,Calculations!DP:DP,0),6),IF(Subgroup_number=Calculations!EY$25,Calculations!EY$18,""))</f>
        <v>#VALUE!</v>
      </c>
      <c r="N125" s="8" t="e">
        <f>IF(COUNTIF(Calculations!DP:DP,Subgroup_number)=1,INDEX(Calculations!DP:EU,MATCH(Subgroup_number,Calculations!DP:DP,0),7),IF(Subgroup_number=Calculations!EY$25,Calculations!EY$19,""))</f>
        <v>#VALUE!</v>
      </c>
      <c r="O125" s="4" t="e">
        <f>IF(COUNTIF(Calculations!DP:DP,Subgroup_number)=1,INDEX(Calculations!DP:EU,MATCH(Subgroup_number,Calculations!DP:DP,0),9),IF(Subgroup_number=Calculations!EY$25,Calculations!EY$20,""))</f>
        <v>#VALUE!</v>
      </c>
      <c r="P125" s="4" t="e">
        <f>IF(COUNTIF(Calculations!DP:DP,Subgroup_number)=1,INDEX(Calculations!DP:EU,MATCH(Subgroup_number,Calculations!DP:DP,0),10),IF(Subgroup_number=Calculations!EY$25,Calculations!EY$21,""))</f>
        <v>#VALUE!</v>
      </c>
      <c r="Q12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2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25" s="125"/>
      <c r="U125" s="123"/>
      <c r="W125" s="123"/>
      <c r="Y125" s="123"/>
      <c r="AA125" s="123"/>
    </row>
    <row r="126" spans="6:27">
      <c r="F126" s="48">
        <v>125</v>
      </c>
      <c r="G12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2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2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2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2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26" s="4" t="e">
        <f>IF(COUNTIF(Calculations!DP:DP,Subgroup_number)=1,INDEX(Calculations!DP:EU,MATCH(Subgroup_number,Calculations!DP:DP,0),5),IF(Subgroup_number=Calculations!EY$25,Calculations!EY$17,""))</f>
        <v>#VALUE!</v>
      </c>
      <c r="M126" s="26" t="e">
        <f>IF(COUNTIF(Calculations!DP:DP,Subgroup_number)=1,INDEX(Calculations!DP:EU,MATCH(Subgroup_number,Calculations!DP:DP,0),6),IF(Subgroup_number=Calculations!EY$25,Calculations!EY$18,""))</f>
        <v>#VALUE!</v>
      </c>
      <c r="N126" s="8" t="e">
        <f>IF(COUNTIF(Calculations!DP:DP,Subgroup_number)=1,INDEX(Calculations!DP:EU,MATCH(Subgroup_number,Calculations!DP:DP,0),7),IF(Subgroup_number=Calculations!EY$25,Calculations!EY$19,""))</f>
        <v>#VALUE!</v>
      </c>
      <c r="O126" s="4" t="e">
        <f>IF(COUNTIF(Calculations!DP:DP,Subgroup_number)=1,INDEX(Calculations!DP:EU,MATCH(Subgroup_number,Calculations!DP:DP,0),9),IF(Subgroup_number=Calculations!EY$25,Calculations!EY$20,""))</f>
        <v>#VALUE!</v>
      </c>
      <c r="P126" s="4" t="e">
        <f>IF(COUNTIF(Calculations!DP:DP,Subgroup_number)=1,INDEX(Calculations!DP:EU,MATCH(Subgroup_number,Calculations!DP:DP,0),10),IF(Subgroup_number=Calculations!EY$25,Calculations!EY$21,""))</f>
        <v>#VALUE!</v>
      </c>
      <c r="Q12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2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26" s="125"/>
      <c r="U126" s="123"/>
      <c r="W126" s="123"/>
      <c r="Y126" s="123"/>
      <c r="AA126" s="123"/>
    </row>
    <row r="127" spans="6:27">
      <c r="F127" s="48">
        <v>126</v>
      </c>
      <c r="G12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2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2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2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2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27" s="4" t="e">
        <f>IF(COUNTIF(Calculations!DP:DP,Subgroup_number)=1,INDEX(Calculations!DP:EU,MATCH(Subgroup_number,Calculations!DP:DP,0),5),IF(Subgroup_number=Calculations!EY$25,Calculations!EY$17,""))</f>
        <v>#VALUE!</v>
      </c>
      <c r="M127" s="26" t="e">
        <f>IF(COUNTIF(Calculations!DP:DP,Subgroup_number)=1,INDEX(Calculations!DP:EU,MATCH(Subgroup_number,Calculations!DP:DP,0),6),IF(Subgroup_number=Calculations!EY$25,Calculations!EY$18,""))</f>
        <v>#VALUE!</v>
      </c>
      <c r="N127" s="8" t="e">
        <f>IF(COUNTIF(Calculations!DP:DP,Subgroup_number)=1,INDEX(Calculations!DP:EU,MATCH(Subgroup_number,Calculations!DP:DP,0),7),IF(Subgroup_number=Calculations!EY$25,Calculations!EY$19,""))</f>
        <v>#VALUE!</v>
      </c>
      <c r="O127" s="4" t="e">
        <f>IF(COUNTIF(Calculations!DP:DP,Subgroup_number)=1,INDEX(Calculations!DP:EU,MATCH(Subgroup_number,Calculations!DP:DP,0),9),IF(Subgroup_number=Calculations!EY$25,Calculations!EY$20,""))</f>
        <v>#VALUE!</v>
      </c>
      <c r="P127" s="4" t="e">
        <f>IF(COUNTIF(Calculations!DP:DP,Subgroup_number)=1,INDEX(Calculations!DP:EU,MATCH(Subgroup_number,Calculations!DP:DP,0),10),IF(Subgroup_number=Calculations!EY$25,Calculations!EY$21,""))</f>
        <v>#VALUE!</v>
      </c>
      <c r="Q12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2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27" s="125"/>
      <c r="U127" s="123"/>
      <c r="W127" s="123"/>
      <c r="Y127" s="123"/>
      <c r="AA127" s="123"/>
    </row>
    <row r="128" spans="6:27">
      <c r="F128" s="48">
        <v>127</v>
      </c>
      <c r="G12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2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2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2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2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28" s="4" t="e">
        <f>IF(COUNTIF(Calculations!DP:DP,Subgroup_number)=1,INDEX(Calculations!DP:EU,MATCH(Subgroup_number,Calculations!DP:DP,0),5),IF(Subgroup_number=Calculations!EY$25,Calculations!EY$17,""))</f>
        <v>#VALUE!</v>
      </c>
      <c r="M128" s="26" t="e">
        <f>IF(COUNTIF(Calculations!DP:DP,Subgroup_number)=1,INDEX(Calculations!DP:EU,MATCH(Subgroup_number,Calculations!DP:DP,0),6),IF(Subgroup_number=Calculations!EY$25,Calculations!EY$18,""))</f>
        <v>#VALUE!</v>
      </c>
      <c r="N128" s="8" t="e">
        <f>IF(COUNTIF(Calculations!DP:DP,Subgroup_number)=1,INDEX(Calculations!DP:EU,MATCH(Subgroup_number,Calculations!DP:DP,0),7),IF(Subgroup_number=Calculations!EY$25,Calculations!EY$19,""))</f>
        <v>#VALUE!</v>
      </c>
      <c r="O128" s="4" t="e">
        <f>IF(COUNTIF(Calculations!DP:DP,Subgroup_number)=1,INDEX(Calculations!DP:EU,MATCH(Subgroup_number,Calculations!DP:DP,0),9),IF(Subgroup_number=Calculations!EY$25,Calculations!EY$20,""))</f>
        <v>#VALUE!</v>
      </c>
      <c r="P128" s="4" t="e">
        <f>IF(COUNTIF(Calculations!DP:DP,Subgroup_number)=1,INDEX(Calculations!DP:EU,MATCH(Subgroup_number,Calculations!DP:DP,0),10),IF(Subgroup_number=Calculations!EY$25,Calculations!EY$21,""))</f>
        <v>#VALUE!</v>
      </c>
      <c r="Q12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2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28" s="125"/>
      <c r="U128" s="123"/>
      <c r="W128" s="123"/>
      <c r="Y128" s="123"/>
      <c r="AA128" s="123"/>
    </row>
    <row r="129" spans="6:27">
      <c r="F129" s="48">
        <v>128</v>
      </c>
      <c r="G12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2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2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2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2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29" s="4" t="e">
        <f>IF(COUNTIF(Calculations!DP:DP,Subgroup_number)=1,INDEX(Calculations!DP:EU,MATCH(Subgroup_number,Calculations!DP:DP,0),5),IF(Subgroup_number=Calculations!EY$25,Calculations!EY$17,""))</f>
        <v>#VALUE!</v>
      </c>
      <c r="M129" s="26" t="e">
        <f>IF(COUNTIF(Calculations!DP:DP,Subgroup_number)=1,INDEX(Calculations!DP:EU,MATCH(Subgroup_number,Calculations!DP:DP,0),6),IF(Subgroup_number=Calculations!EY$25,Calculations!EY$18,""))</f>
        <v>#VALUE!</v>
      </c>
      <c r="N129" s="8" t="e">
        <f>IF(COUNTIF(Calculations!DP:DP,Subgroup_number)=1,INDEX(Calculations!DP:EU,MATCH(Subgroup_number,Calculations!DP:DP,0),7),IF(Subgroup_number=Calculations!EY$25,Calculations!EY$19,""))</f>
        <v>#VALUE!</v>
      </c>
      <c r="O129" s="4" t="e">
        <f>IF(COUNTIF(Calculations!DP:DP,Subgroup_number)=1,INDEX(Calculations!DP:EU,MATCH(Subgroup_number,Calculations!DP:DP,0),9),IF(Subgroup_number=Calculations!EY$25,Calculations!EY$20,""))</f>
        <v>#VALUE!</v>
      </c>
      <c r="P129" s="4" t="e">
        <f>IF(COUNTIF(Calculations!DP:DP,Subgroup_number)=1,INDEX(Calculations!DP:EU,MATCH(Subgroup_number,Calculations!DP:DP,0),10),IF(Subgroup_number=Calculations!EY$25,Calculations!EY$21,""))</f>
        <v>#VALUE!</v>
      </c>
      <c r="Q12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2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29" s="125"/>
      <c r="U129" s="123"/>
      <c r="W129" s="123"/>
      <c r="Y129" s="123"/>
      <c r="AA129" s="123"/>
    </row>
    <row r="130" spans="6:27">
      <c r="F130" s="48">
        <v>129</v>
      </c>
      <c r="G13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3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3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3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3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30" s="4" t="e">
        <f>IF(COUNTIF(Calculations!DP:DP,Subgroup_number)=1,INDEX(Calculations!DP:EU,MATCH(Subgroup_number,Calculations!DP:DP,0),5),IF(Subgroup_number=Calculations!EY$25,Calculations!EY$17,""))</f>
        <v>#VALUE!</v>
      </c>
      <c r="M130" s="26" t="e">
        <f>IF(COUNTIF(Calculations!DP:DP,Subgroup_number)=1,INDEX(Calculations!DP:EU,MATCH(Subgroup_number,Calculations!DP:DP,0),6),IF(Subgroup_number=Calculations!EY$25,Calculations!EY$18,""))</f>
        <v>#VALUE!</v>
      </c>
      <c r="N130" s="8" t="e">
        <f>IF(COUNTIF(Calculations!DP:DP,Subgroup_number)=1,INDEX(Calculations!DP:EU,MATCH(Subgroup_number,Calculations!DP:DP,0),7),IF(Subgroup_number=Calculations!EY$25,Calculations!EY$19,""))</f>
        <v>#VALUE!</v>
      </c>
      <c r="O130" s="4" t="e">
        <f>IF(COUNTIF(Calculations!DP:DP,Subgroup_number)=1,INDEX(Calculations!DP:EU,MATCH(Subgroup_number,Calculations!DP:DP,0),9),IF(Subgroup_number=Calculations!EY$25,Calculations!EY$20,""))</f>
        <v>#VALUE!</v>
      </c>
      <c r="P130" s="4" t="e">
        <f>IF(COUNTIF(Calculations!DP:DP,Subgroup_number)=1,INDEX(Calculations!DP:EU,MATCH(Subgroup_number,Calculations!DP:DP,0),10),IF(Subgroup_number=Calculations!EY$25,Calculations!EY$21,""))</f>
        <v>#VALUE!</v>
      </c>
      <c r="Q13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3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30" s="125"/>
      <c r="U130" s="123"/>
      <c r="W130" s="123"/>
      <c r="Y130" s="123"/>
      <c r="AA130" s="123"/>
    </row>
    <row r="131" spans="6:27">
      <c r="F131" s="48">
        <v>130</v>
      </c>
      <c r="G13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3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3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3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3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31" s="4" t="e">
        <f>IF(COUNTIF(Calculations!DP:DP,Subgroup_number)=1,INDEX(Calculations!DP:EU,MATCH(Subgroup_number,Calculations!DP:DP,0),5),IF(Subgroup_number=Calculations!EY$25,Calculations!EY$17,""))</f>
        <v>#VALUE!</v>
      </c>
      <c r="M131" s="26" t="e">
        <f>IF(COUNTIF(Calculations!DP:DP,Subgroup_number)=1,INDEX(Calculations!DP:EU,MATCH(Subgroup_number,Calculations!DP:DP,0),6),IF(Subgroup_number=Calculations!EY$25,Calculations!EY$18,""))</f>
        <v>#VALUE!</v>
      </c>
      <c r="N131" s="8" t="e">
        <f>IF(COUNTIF(Calculations!DP:DP,Subgroup_number)=1,INDEX(Calculations!DP:EU,MATCH(Subgroup_number,Calculations!DP:DP,0),7),IF(Subgroup_number=Calculations!EY$25,Calculations!EY$19,""))</f>
        <v>#VALUE!</v>
      </c>
      <c r="O131" s="4" t="e">
        <f>IF(COUNTIF(Calculations!DP:DP,Subgroup_number)=1,INDEX(Calculations!DP:EU,MATCH(Subgroup_number,Calculations!DP:DP,0),9),IF(Subgroup_number=Calculations!EY$25,Calculations!EY$20,""))</f>
        <v>#VALUE!</v>
      </c>
      <c r="P131" s="4" t="e">
        <f>IF(COUNTIF(Calculations!DP:DP,Subgroup_number)=1,INDEX(Calculations!DP:EU,MATCH(Subgroup_number,Calculations!DP:DP,0),10),IF(Subgroup_number=Calculations!EY$25,Calculations!EY$21,""))</f>
        <v>#VALUE!</v>
      </c>
      <c r="Q13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3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31" s="125"/>
      <c r="U131" s="123"/>
      <c r="W131" s="123"/>
      <c r="Y131" s="123"/>
      <c r="AA131" s="123"/>
    </row>
    <row r="132" spans="6:27">
      <c r="F132" s="48">
        <v>131</v>
      </c>
      <c r="G13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3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3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3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3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32" s="4" t="e">
        <f>IF(COUNTIF(Calculations!DP:DP,Subgroup_number)=1,INDEX(Calculations!DP:EU,MATCH(Subgroup_number,Calculations!DP:DP,0),5),IF(Subgroup_number=Calculations!EY$25,Calculations!EY$17,""))</f>
        <v>#VALUE!</v>
      </c>
      <c r="M132" s="26" t="e">
        <f>IF(COUNTIF(Calculations!DP:DP,Subgroup_number)=1,INDEX(Calculations!DP:EU,MATCH(Subgroup_number,Calculations!DP:DP,0),6),IF(Subgroup_number=Calculations!EY$25,Calculations!EY$18,""))</f>
        <v>#VALUE!</v>
      </c>
      <c r="N132" s="8" t="e">
        <f>IF(COUNTIF(Calculations!DP:DP,Subgroup_number)=1,INDEX(Calculations!DP:EU,MATCH(Subgroup_number,Calculations!DP:DP,0),7),IF(Subgroup_number=Calculations!EY$25,Calculations!EY$19,""))</f>
        <v>#VALUE!</v>
      </c>
      <c r="O132" s="4" t="e">
        <f>IF(COUNTIF(Calculations!DP:DP,Subgroup_number)=1,INDEX(Calculations!DP:EU,MATCH(Subgroup_number,Calculations!DP:DP,0),9),IF(Subgroup_number=Calculations!EY$25,Calculations!EY$20,""))</f>
        <v>#VALUE!</v>
      </c>
      <c r="P132" s="4" t="e">
        <f>IF(COUNTIF(Calculations!DP:DP,Subgroup_number)=1,INDEX(Calculations!DP:EU,MATCH(Subgroup_number,Calculations!DP:DP,0),10),IF(Subgroup_number=Calculations!EY$25,Calculations!EY$21,""))</f>
        <v>#VALUE!</v>
      </c>
      <c r="Q13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3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32" s="125"/>
      <c r="U132" s="123"/>
      <c r="W132" s="123"/>
      <c r="Y132" s="123"/>
      <c r="AA132" s="123"/>
    </row>
    <row r="133" spans="6:27">
      <c r="F133" s="48">
        <v>132</v>
      </c>
      <c r="G13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3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3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3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3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33" s="4" t="e">
        <f>IF(COUNTIF(Calculations!DP:DP,Subgroup_number)=1,INDEX(Calculations!DP:EU,MATCH(Subgroup_number,Calculations!DP:DP,0),5),IF(Subgroup_number=Calculations!EY$25,Calculations!EY$17,""))</f>
        <v>#VALUE!</v>
      </c>
      <c r="M133" s="26" t="e">
        <f>IF(COUNTIF(Calculations!DP:DP,Subgroup_number)=1,INDEX(Calculations!DP:EU,MATCH(Subgroup_number,Calculations!DP:DP,0),6),IF(Subgroup_number=Calculations!EY$25,Calculations!EY$18,""))</f>
        <v>#VALUE!</v>
      </c>
      <c r="N133" s="8" t="e">
        <f>IF(COUNTIF(Calculations!DP:DP,Subgroup_number)=1,INDEX(Calculations!DP:EU,MATCH(Subgroup_number,Calculations!DP:DP,0),7),IF(Subgroup_number=Calculations!EY$25,Calculations!EY$19,""))</f>
        <v>#VALUE!</v>
      </c>
      <c r="O133" s="4" t="e">
        <f>IF(COUNTIF(Calculations!DP:DP,Subgroup_number)=1,INDEX(Calculations!DP:EU,MATCH(Subgroup_number,Calculations!DP:DP,0),9),IF(Subgroup_number=Calculations!EY$25,Calculations!EY$20,""))</f>
        <v>#VALUE!</v>
      </c>
      <c r="P133" s="4" t="e">
        <f>IF(COUNTIF(Calculations!DP:DP,Subgroup_number)=1,INDEX(Calculations!DP:EU,MATCH(Subgroup_number,Calculations!DP:DP,0),10),IF(Subgroup_number=Calculations!EY$25,Calculations!EY$21,""))</f>
        <v>#VALUE!</v>
      </c>
      <c r="Q13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3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33" s="125"/>
      <c r="U133" s="123"/>
      <c r="W133" s="123"/>
      <c r="Y133" s="123"/>
      <c r="AA133" s="123"/>
    </row>
    <row r="134" spans="6:27">
      <c r="F134" s="48">
        <v>133</v>
      </c>
      <c r="G13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3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3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3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3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34" s="4" t="e">
        <f>IF(COUNTIF(Calculations!DP:DP,Subgroup_number)=1,INDEX(Calculations!DP:EU,MATCH(Subgroup_number,Calculations!DP:DP,0),5),IF(Subgroup_number=Calculations!EY$25,Calculations!EY$17,""))</f>
        <v>#VALUE!</v>
      </c>
      <c r="M134" s="26" t="e">
        <f>IF(COUNTIF(Calculations!DP:DP,Subgroup_number)=1,INDEX(Calculations!DP:EU,MATCH(Subgroup_number,Calculations!DP:DP,0),6),IF(Subgroup_number=Calculations!EY$25,Calculations!EY$18,""))</f>
        <v>#VALUE!</v>
      </c>
      <c r="N134" s="8" t="e">
        <f>IF(COUNTIF(Calculations!DP:DP,Subgroup_number)=1,INDEX(Calculations!DP:EU,MATCH(Subgroup_number,Calculations!DP:DP,0),7),IF(Subgroup_number=Calculations!EY$25,Calculations!EY$19,""))</f>
        <v>#VALUE!</v>
      </c>
      <c r="O134" s="4" t="e">
        <f>IF(COUNTIF(Calculations!DP:DP,Subgroup_number)=1,INDEX(Calculations!DP:EU,MATCH(Subgroup_number,Calculations!DP:DP,0),9),IF(Subgroup_number=Calculations!EY$25,Calculations!EY$20,""))</f>
        <v>#VALUE!</v>
      </c>
      <c r="P134" s="4" t="e">
        <f>IF(COUNTIF(Calculations!DP:DP,Subgroup_number)=1,INDEX(Calculations!DP:EU,MATCH(Subgroup_number,Calculations!DP:DP,0),10),IF(Subgroup_number=Calculations!EY$25,Calculations!EY$21,""))</f>
        <v>#VALUE!</v>
      </c>
      <c r="Q13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3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34" s="125"/>
      <c r="U134" s="123"/>
      <c r="W134" s="123"/>
      <c r="Y134" s="123"/>
      <c r="AA134" s="123"/>
    </row>
    <row r="135" spans="6:27">
      <c r="F135" s="48">
        <v>134</v>
      </c>
      <c r="G13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3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3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3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3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35" s="4" t="e">
        <f>IF(COUNTIF(Calculations!DP:DP,Subgroup_number)=1,INDEX(Calculations!DP:EU,MATCH(Subgroup_number,Calculations!DP:DP,0),5),IF(Subgroup_number=Calculations!EY$25,Calculations!EY$17,""))</f>
        <v>#VALUE!</v>
      </c>
      <c r="M135" s="26" t="e">
        <f>IF(COUNTIF(Calculations!DP:DP,Subgroup_number)=1,INDEX(Calculations!DP:EU,MATCH(Subgroup_number,Calculations!DP:DP,0),6),IF(Subgroup_number=Calculations!EY$25,Calculations!EY$18,""))</f>
        <v>#VALUE!</v>
      </c>
      <c r="N135" s="8" t="e">
        <f>IF(COUNTIF(Calculations!DP:DP,Subgroup_number)=1,INDEX(Calculations!DP:EU,MATCH(Subgroup_number,Calculations!DP:DP,0),7),IF(Subgroup_number=Calculations!EY$25,Calculations!EY$19,""))</f>
        <v>#VALUE!</v>
      </c>
      <c r="O135" s="4" t="e">
        <f>IF(COUNTIF(Calculations!DP:DP,Subgroup_number)=1,INDEX(Calculations!DP:EU,MATCH(Subgroup_number,Calculations!DP:DP,0),9),IF(Subgroup_number=Calculations!EY$25,Calculations!EY$20,""))</f>
        <v>#VALUE!</v>
      </c>
      <c r="P135" s="4" t="e">
        <f>IF(COUNTIF(Calculations!DP:DP,Subgroup_number)=1,INDEX(Calculations!DP:EU,MATCH(Subgroup_number,Calculations!DP:DP,0),10),IF(Subgroup_number=Calculations!EY$25,Calculations!EY$21,""))</f>
        <v>#VALUE!</v>
      </c>
      <c r="Q13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3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35" s="125"/>
      <c r="U135" s="123"/>
      <c r="W135" s="123"/>
      <c r="Y135" s="123"/>
      <c r="AA135" s="123"/>
    </row>
    <row r="136" spans="6:27">
      <c r="F136" s="48">
        <v>135</v>
      </c>
      <c r="G13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3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3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3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3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36" s="4" t="e">
        <f>IF(COUNTIF(Calculations!DP:DP,Subgroup_number)=1,INDEX(Calculations!DP:EU,MATCH(Subgroup_number,Calculations!DP:DP,0),5),IF(Subgroup_number=Calculations!EY$25,Calculations!EY$17,""))</f>
        <v>#VALUE!</v>
      </c>
      <c r="M136" s="26" t="e">
        <f>IF(COUNTIF(Calculations!DP:DP,Subgroup_number)=1,INDEX(Calculations!DP:EU,MATCH(Subgroup_number,Calculations!DP:DP,0),6),IF(Subgroup_number=Calculations!EY$25,Calculations!EY$18,""))</f>
        <v>#VALUE!</v>
      </c>
      <c r="N136" s="8" t="e">
        <f>IF(COUNTIF(Calculations!DP:DP,Subgroup_number)=1,INDEX(Calculations!DP:EU,MATCH(Subgroup_number,Calculations!DP:DP,0),7),IF(Subgroup_number=Calculations!EY$25,Calculations!EY$19,""))</f>
        <v>#VALUE!</v>
      </c>
      <c r="O136" s="4" t="e">
        <f>IF(COUNTIF(Calculations!DP:DP,Subgroup_number)=1,INDEX(Calculations!DP:EU,MATCH(Subgroup_number,Calculations!DP:DP,0),9),IF(Subgroup_number=Calculations!EY$25,Calculations!EY$20,""))</f>
        <v>#VALUE!</v>
      </c>
      <c r="P136" s="4" t="e">
        <f>IF(COUNTIF(Calculations!DP:DP,Subgroup_number)=1,INDEX(Calculations!DP:EU,MATCH(Subgroup_number,Calculations!DP:DP,0),10),IF(Subgroup_number=Calculations!EY$25,Calculations!EY$21,""))</f>
        <v>#VALUE!</v>
      </c>
      <c r="Q13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3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36" s="125"/>
      <c r="U136" s="123"/>
      <c r="W136" s="123"/>
      <c r="Y136" s="123"/>
      <c r="AA136" s="123"/>
    </row>
    <row r="137" spans="6:27">
      <c r="F137" s="48">
        <v>136</v>
      </c>
      <c r="G13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3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3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3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3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37" s="4" t="e">
        <f>IF(COUNTIF(Calculations!DP:DP,Subgroup_number)=1,INDEX(Calculations!DP:EU,MATCH(Subgroup_number,Calculations!DP:DP,0),5),IF(Subgroup_number=Calculations!EY$25,Calculations!EY$17,""))</f>
        <v>#VALUE!</v>
      </c>
      <c r="M137" s="26" t="e">
        <f>IF(COUNTIF(Calculations!DP:DP,Subgroup_number)=1,INDEX(Calculations!DP:EU,MATCH(Subgroup_number,Calculations!DP:DP,0),6),IF(Subgroup_number=Calculations!EY$25,Calculations!EY$18,""))</f>
        <v>#VALUE!</v>
      </c>
      <c r="N137" s="8" t="e">
        <f>IF(COUNTIF(Calculations!DP:DP,Subgroup_number)=1,INDEX(Calculations!DP:EU,MATCH(Subgroup_number,Calculations!DP:DP,0),7),IF(Subgroup_number=Calculations!EY$25,Calculations!EY$19,""))</f>
        <v>#VALUE!</v>
      </c>
      <c r="O137" s="4" t="e">
        <f>IF(COUNTIF(Calculations!DP:DP,Subgroup_number)=1,INDEX(Calculations!DP:EU,MATCH(Subgroup_number,Calculations!DP:DP,0),9),IF(Subgroup_number=Calculations!EY$25,Calculations!EY$20,""))</f>
        <v>#VALUE!</v>
      </c>
      <c r="P137" s="4" t="e">
        <f>IF(COUNTIF(Calculations!DP:DP,Subgroup_number)=1,INDEX(Calculations!DP:EU,MATCH(Subgroup_number,Calculations!DP:DP,0),10),IF(Subgroup_number=Calculations!EY$25,Calculations!EY$21,""))</f>
        <v>#VALUE!</v>
      </c>
      <c r="Q13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3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37" s="125"/>
      <c r="U137" s="123"/>
      <c r="W137" s="123"/>
      <c r="Y137" s="123"/>
      <c r="AA137" s="123"/>
    </row>
    <row r="138" spans="6:27">
      <c r="F138" s="48">
        <v>137</v>
      </c>
      <c r="G13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3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3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3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3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38" s="4" t="e">
        <f>IF(COUNTIF(Calculations!DP:DP,Subgroup_number)=1,INDEX(Calculations!DP:EU,MATCH(Subgroup_number,Calculations!DP:DP,0),5),IF(Subgroup_number=Calculations!EY$25,Calculations!EY$17,""))</f>
        <v>#VALUE!</v>
      </c>
      <c r="M138" s="26" t="e">
        <f>IF(COUNTIF(Calculations!DP:DP,Subgroup_number)=1,INDEX(Calculations!DP:EU,MATCH(Subgroup_number,Calculations!DP:DP,0),6),IF(Subgroup_number=Calculations!EY$25,Calculations!EY$18,""))</f>
        <v>#VALUE!</v>
      </c>
      <c r="N138" s="8" t="e">
        <f>IF(COUNTIF(Calculations!DP:DP,Subgroup_number)=1,INDEX(Calculations!DP:EU,MATCH(Subgroup_number,Calculations!DP:DP,0),7),IF(Subgroup_number=Calculations!EY$25,Calculations!EY$19,""))</f>
        <v>#VALUE!</v>
      </c>
      <c r="O138" s="4" t="e">
        <f>IF(COUNTIF(Calculations!DP:DP,Subgroup_number)=1,INDEX(Calculations!DP:EU,MATCH(Subgroup_number,Calculations!DP:DP,0),9),IF(Subgroup_number=Calculations!EY$25,Calculations!EY$20,""))</f>
        <v>#VALUE!</v>
      </c>
      <c r="P138" s="4" t="e">
        <f>IF(COUNTIF(Calculations!DP:DP,Subgroup_number)=1,INDEX(Calculations!DP:EU,MATCH(Subgroup_number,Calculations!DP:DP,0),10),IF(Subgroup_number=Calculations!EY$25,Calculations!EY$21,""))</f>
        <v>#VALUE!</v>
      </c>
      <c r="Q13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3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38" s="125"/>
      <c r="U138" s="123"/>
      <c r="W138" s="123"/>
      <c r="Y138" s="123"/>
      <c r="AA138" s="123"/>
    </row>
    <row r="139" spans="6:27">
      <c r="F139" s="48">
        <v>138</v>
      </c>
      <c r="G13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3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3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3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3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39" s="4" t="e">
        <f>IF(COUNTIF(Calculations!DP:DP,Subgroup_number)=1,INDEX(Calculations!DP:EU,MATCH(Subgroup_number,Calculations!DP:DP,0),5),IF(Subgroup_number=Calculations!EY$25,Calculations!EY$17,""))</f>
        <v>#VALUE!</v>
      </c>
      <c r="M139" s="26" t="e">
        <f>IF(COUNTIF(Calculations!DP:DP,Subgroup_number)=1,INDEX(Calculations!DP:EU,MATCH(Subgroup_number,Calculations!DP:DP,0),6),IF(Subgroup_number=Calculations!EY$25,Calculations!EY$18,""))</f>
        <v>#VALUE!</v>
      </c>
      <c r="N139" s="8" t="e">
        <f>IF(COUNTIF(Calculations!DP:DP,Subgroup_number)=1,INDEX(Calculations!DP:EU,MATCH(Subgroup_number,Calculations!DP:DP,0),7),IF(Subgroup_number=Calculations!EY$25,Calculations!EY$19,""))</f>
        <v>#VALUE!</v>
      </c>
      <c r="O139" s="4" t="e">
        <f>IF(COUNTIF(Calculations!DP:DP,Subgroup_number)=1,INDEX(Calculations!DP:EU,MATCH(Subgroup_number,Calculations!DP:DP,0),9),IF(Subgroup_number=Calculations!EY$25,Calculations!EY$20,""))</f>
        <v>#VALUE!</v>
      </c>
      <c r="P139" s="4" t="e">
        <f>IF(COUNTIF(Calculations!DP:DP,Subgroup_number)=1,INDEX(Calculations!DP:EU,MATCH(Subgroup_number,Calculations!DP:DP,0),10),IF(Subgroup_number=Calculations!EY$25,Calculations!EY$21,""))</f>
        <v>#VALUE!</v>
      </c>
      <c r="Q13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3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39" s="125"/>
      <c r="U139" s="123"/>
      <c r="W139" s="123"/>
      <c r="Y139" s="123"/>
      <c r="AA139" s="123"/>
    </row>
    <row r="140" spans="6:27">
      <c r="F140" s="48">
        <v>139</v>
      </c>
      <c r="G14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4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4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4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4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40" s="4" t="e">
        <f>IF(COUNTIF(Calculations!DP:DP,Subgroup_number)=1,INDEX(Calculations!DP:EU,MATCH(Subgroup_number,Calculations!DP:DP,0),5),IF(Subgroup_number=Calculations!EY$25,Calculations!EY$17,""))</f>
        <v>#VALUE!</v>
      </c>
      <c r="M140" s="26" t="e">
        <f>IF(COUNTIF(Calculations!DP:DP,Subgroup_number)=1,INDEX(Calculations!DP:EU,MATCH(Subgroup_number,Calculations!DP:DP,0),6),IF(Subgroup_number=Calculations!EY$25,Calculations!EY$18,""))</f>
        <v>#VALUE!</v>
      </c>
      <c r="N140" s="8" t="e">
        <f>IF(COUNTIF(Calculations!DP:DP,Subgroup_number)=1,INDEX(Calculations!DP:EU,MATCH(Subgroup_number,Calculations!DP:DP,0),7),IF(Subgroup_number=Calculations!EY$25,Calculations!EY$19,""))</f>
        <v>#VALUE!</v>
      </c>
      <c r="O140" s="4" t="e">
        <f>IF(COUNTIF(Calculations!DP:DP,Subgroup_number)=1,INDEX(Calculations!DP:EU,MATCH(Subgroup_number,Calculations!DP:DP,0),9),IF(Subgroup_number=Calculations!EY$25,Calculations!EY$20,""))</f>
        <v>#VALUE!</v>
      </c>
      <c r="P140" s="4" t="e">
        <f>IF(COUNTIF(Calculations!DP:DP,Subgroup_number)=1,INDEX(Calculations!DP:EU,MATCH(Subgroup_number,Calculations!DP:DP,0),10),IF(Subgroup_number=Calculations!EY$25,Calculations!EY$21,""))</f>
        <v>#VALUE!</v>
      </c>
      <c r="Q14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4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40" s="125"/>
      <c r="U140" s="123"/>
      <c r="W140" s="123"/>
      <c r="Y140" s="123"/>
      <c r="AA140" s="123"/>
    </row>
    <row r="141" spans="6:27">
      <c r="F141" s="48">
        <v>140</v>
      </c>
      <c r="G14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4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4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4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4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41" s="4" t="e">
        <f>IF(COUNTIF(Calculations!DP:DP,Subgroup_number)=1,INDEX(Calculations!DP:EU,MATCH(Subgroup_number,Calculations!DP:DP,0),5),IF(Subgroup_number=Calculations!EY$25,Calculations!EY$17,""))</f>
        <v>#VALUE!</v>
      </c>
      <c r="M141" s="26" t="e">
        <f>IF(COUNTIF(Calculations!DP:DP,Subgroup_number)=1,INDEX(Calculations!DP:EU,MATCH(Subgroup_number,Calculations!DP:DP,0),6),IF(Subgroup_number=Calculations!EY$25,Calculations!EY$18,""))</f>
        <v>#VALUE!</v>
      </c>
      <c r="N141" s="8" t="e">
        <f>IF(COUNTIF(Calculations!DP:DP,Subgroup_number)=1,INDEX(Calculations!DP:EU,MATCH(Subgroup_number,Calculations!DP:DP,0),7),IF(Subgroup_number=Calculations!EY$25,Calculations!EY$19,""))</f>
        <v>#VALUE!</v>
      </c>
      <c r="O141" s="4" t="e">
        <f>IF(COUNTIF(Calculations!DP:DP,Subgroup_number)=1,INDEX(Calculations!DP:EU,MATCH(Subgroup_number,Calculations!DP:DP,0),9),IF(Subgroup_number=Calculations!EY$25,Calculations!EY$20,""))</f>
        <v>#VALUE!</v>
      </c>
      <c r="P141" s="4" t="e">
        <f>IF(COUNTIF(Calculations!DP:DP,Subgroup_number)=1,INDEX(Calculations!DP:EU,MATCH(Subgroup_number,Calculations!DP:DP,0),10),IF(Subgroup_number=Calculations!EY$25,Calculations!EY$21,""))</f>
        <v>#VALUE!</v>
      </c>
      <c r="Q14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4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41" s="125"/>
      <c r="U141" s="123"/>
      <c r="W141" s="123"/>
      <c r="Y141" s="123"/>
      <c r="AA141" s="123"/>
    </row>
    <row r="142" spans="6:27">
      <c r="F142" s="48">
        <v>141</v>
      </c>
      <c r="G14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4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4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4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4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42" s="4" t="e">
        <f>IF(COUNTIF(Calculations!DP:DP,Subgroup_number)=1,INDEX(Calculations!DP:EU,MATCH(Subgroup_number,Calculations!DP:DP,0),5),IF(Subgroup_number=Calculations!EY$25,Calculations!EY$17,""))</f>
        <v>#VALUE!</v>
      </c>
      <c r="M142" s="26" t="e">
        <f>IF(COUNTIF(Calculations!DP:DP,Subgroup_number)=1,INDEX(Calculations!DP:EU,MATCH(Subgroup_number,Calculations!DP:DP,0),6),IF(Subgroup_number=Calculations!EY$25,Calculations!EY$18,""))</f>
        <v>#VALUE!</v>
      </c>
      <c r="N142" s="8" t="e">
        <f>IF(COUNTIF(Calculations!DP:DP,Subgroup_number)=1,INDEX(Calculations!DP:EU,MATCH(Subgroup_number,Calculations!DP:DP,0),7),IF(Subgroup_number=Calculations!EY$25,Calculations!EY$19,""))</f>
        <v>#VALUE!</v>
      </c>
      <c r="O142" s="4" t="e">
        <f>IF(COUNTIF(Calculations!DP:DP,Subgroup_number)=1,INDEX(Calculations!DP:EU,MATCH(Subgroup_number,Calculations!DP:DP,0),9),IF(Subgroup_number=Calculations!EY$25,Calculations!EY$20,""))</f>
        <v>#VALUE!</v>
      </c>
      <c r="P142" s="4" t="e">
        <f>IF(COUNTIF(Calculations!DP:DP,Subgroup_number)=1,INDEX(Calculations!DP:EU,MATCH(Subgroup_number,Calculations!DP:DP,0),10),IF(Subgroup_number=Calculations!EY$25,Calculations!EY$21,""))</f>
        <v>#VALUE!</v>
      </c>
      <c r="Q14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4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42" s="125"/>
      <c r="U142" s="123"/>
      <c r="W142" s="123"/>
      <c r="Y142" s="123"/>
      <c r="AA142" s="123"/>
    </row>
    <row r="143" spans="6:27">
      <c r="F143" s="48">
        <v>142</v>
      </c>
      <c r="G14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4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4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4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4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43" s="4" t="e">
        <f>IF(COUNTIF(Calculations!DP:DP,Subgroup_number)=1,INDEX(Calculations!DP:EU,MATCH(Subgroup_number,Calculations!DP:DP,0),5),IF(Subgroup_number=Calculations!EY$25,Calculations!EY$17,""))</f>
        <v>#VALUE!</v>
      </c>
      <c r="M143" s="26" t="e">
        <f>IF(COUNTIF(Calculations!DP:DP,Subgroup_number)=1,INDEX(Calculations!DP:EU,MATCH(Subgroup_number,Calculations!DP:DP,0),6),IF(Subgroup_number=Calculations!EY$25,Calculations!EY$18,""))</f>
        <v>#VALUE!</v>
      </c>
      <c r="N143" s="8" t="e">
        <f>IF(COUNTIF(Calculations!DP:DP,Subgroup_number)=1,INDEX(Calculations!DP:EU,MATCH(Subgroup_number,Calculations!DP:DP,0),7),IF(Subgroup_number=Calculations!EY$25,Calculations!EY$19,""))</f>
        <v>#VALUE!</v>
      </c>
      <c r="O143" s="4" t="e">
        <f>IF(COUNTIF(Calculations!DP:DP,Subgroup_number)=1,INDEX(Calculations!DP:EU,MATCH(Subgroup_number,Calculations!DP:DP,0),9),IF(Subgroup_number=Calculations!EY$25,Calculations!EY$20,""))</f>
        <v>#VALUE!</v>
      </c>
      <c r="P143" s="4" t="e">
        <f>IF(COUNTIF(Calculations!DP:DP,Subgroup_number)=1,INDEX(Calculations!DP:EU,MATCH(Subgroup_number,Calculations!DP:DP,0),10),IF(Subgroup_number=Calculations!EY$25,Calculations!EY$21,""))</f>
        <v>#VALUE!</v>
      </c>
      <c r="Q14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4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43" s="125"/>
      <c r="U143" s="123"/>
      <c r="W143" s="123"/>
      <c r="Y143" s="123"/>
      <c r="AA143" s="123"/>
    </row>
    <row r="144" spans="6:27">
      <c r="F144" s="48">
        <v>143</v>
      </c>
      <c r="G14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4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4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4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4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44" s="4" t="e">
        <f>IF(COUNTIF(Calculations!DP:DP,Subgroup_number)=1,INDEX(Calculations!DP:EU,MATCH(Subgroup_number,Calculations!DP:DP,0),5),IF(Subgroup_number=Calculations!EY$25,Calculations!EY$17,""))</f>
        <v>#VALUE!</v>
      </c>
      <c r="M144" s="26" t="e">
        <f>IF(COUNTIF(Calculations!DP:DP,Subgroup_number)=1,INDEX(Calculations!DP:EU,MATCH(Subgroup_number,Calculations!DP:DP,0),6),IF(Subgroup_number=Calculations!EY$25,Calculations!EY$18,""))</f>
        <v>#VALUE!</v>
      </c>
      <c r="N144" s="8" t="e">
        <f>IF(COUNTIF(Calculations!DP:DP,Subgroup_number)=1,INDEX(Calculations!DP:EU,MATCH(Subgroup_number,Calculations!DP:DP,0),7),IF(Subgroup_number=Calculations!EY$25,Calculations!EY$19,""))</f>
        <v>#VALUE!</v>
      </c>
      <c r="O144" s="4" t="e">
        <f>IF(COUNTIF(Calculations!DP:DP,Subgroup_number)=1,INDEX(Calculations!DP:EU,MATCH(Subgroup_number,Calculations!DP:DP,0),9),IF(Subgroup_number=Calculations!EY$25,Calculations!EY$20,""))</f>
        <v>#VALUE!</v>
      </c>
      <c r="P144" s="4" t="e">
        <f>IF(COUNTIF(Calculations!DP:DP,Subgroup_number)=1,INDEX(Calculations!DP:EU,MATCH(Subgroup_number,Calculations!DP:DP,0),10),IF(Subgroup_number=Calculations!EY$25,Calculations!EY$21,""))</f>
        <v>#VALUE!</v>
      </c>
      <c r="Q14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4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44" s="125"/>
      <c r="U144" s="123"/>
      <c r="W144" s="123"/>
      <c r="Y144" s="123"/>
      <c r="AA144" s="123"/>
    </row>
    <row r="145" spans="6:27">
      <c r="F145" s="48">
        <v>144</v>
      </c>
      <c r="G14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4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4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4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4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45" s="4" t="e">
        <f>IF(COUNTIF(Calculations!DP:DP,Subgroup_number)=1,INDEX(Calculations!DP:EU,MATCH(Subgroup_number,Calculations!DP:DP,0),5),IF(Subgroup_number=Calculations!EY$25,Calculations!EY$17,""))</f>
        <v>#VALUE!</v>
      </c>
      <c r="M145" s="26" t="e">
        <f>IF(COUNTIF(Calculations!DP:DP,Subgroup_number)=1,INDEX(Calculations!DP:EU,MATCH(Subgroup_number,Calculations!DP:DP,0),6),IF(Subgroup_number=Calculations!EY$25,Calculations!EY$18,""))</f>
        <v>#VALUE!</v>
      </c>
      <c r="N145" s="8" t="e">
        <f>IF(COUNTIF(Calculations!DP:DP,Subgroup_number)=1,INDEX(Calculations!DP:EU,MATCH(Subgroup_number,Calculations!DP:DP,0),7),IF(Subgroup_number=Calculations!EY$25,Calculations!EY$19,""))</f>
        <v>#VALUE!</v>
      </c>
      <c r="O145" s="4" t="e">
        <f>IF(COUNTIF(Calculations!DP:DP,Subgroup_number)=1,INDEX(Calculations!DP:EU,MATCH(Subgroup_number,Calculations!DP:DP,0),9),IF(Subgroup_number=Calculations!EY$25,Calculations!EY$20,""))</f>
        <v>#VALUE!</v>
      </c>
      <c r="P145" s="4" t="e">
        <f>IF(COUNTIF(Calculations!DP:DP,Subgroup_number)=1,INDEX(Calculations!DP:EU,MATCH(Subgroup_number,Calculations!DP:DP,0),10),IF(Subgroup_number=Calculations!EY$25,Calculations!EY$21,""))</f>
        <v>#VALUE!</v>
      </c>
      <c r="Q14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4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45" s="125"/>
      <c r="U145" s="123"/>
      <c r="W145" s="123"/>
      <c r="Y145" s="123"/>
      <c r="AA145" s="123"/>
    </row>
    <row r="146" spans="6:27">
      <c r="F146" s="48">
        <v>145</v>
      </c>
      <c r="G14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4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4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4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4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46" s="4" t="e">
        <f>IF(COUNTIF(Calculations!DP:DP,Subgroup_number)=1,INDEX(Calculations!DP:EU,MATCH(Subgroup_number,Calculations!DP:DP,0),5),IF(Subgroup_number=Calculations!EY$25,Calculations!EY$17,""))</f>
        <v>#VALUE!</v>
      </c>
      <c r="M146" s="26" t="e">
        <f>IF(COUNTIF(Calculations!DP:DP,Subgroup_number)=1,INDEX(Calculations!DP:EU,MATCH(Subgroup_number,Calculations!DP:DP,0),6),IF(Subgroup_number=Calculations!EY$25,Calculations!EY$18,""))</f>
        <v>#VALUE!</v>
      </c>
      <c r="N146" s="8" t="e">
        <f>IF(COUNTIF(Calculations!DP:DP,Subgroup_number)=1,INDEX(Calculations!DP:EU,MATCH(Subgroup_number,Calculations!DP:DP,0),7),IF(Subgroup_number=Calculations!EY$25,Calculations!EY$19,""))</f>
        <v>#VALUE!</v>
      </c>
      <c r="O146" s="4" t="e">
        <f>IF(COUNTIF(Calculations!DP:DP,Subgroup_number)=1,INDEX(Calculations!DP:EU,MATCH(Subgroup_number,Calculations!DP:DP,0),9),IF(Subgroup_number=Calculations!EY$25,Calculations!EY$20,""))</f>
        <v>#VALUE!</v>
      </c>
      <c r="P146" s="4" t="e">
        <f>IF(COUNTIF(Calculations!DP:DP,Subgroup_number)=1,INDEX(Calculations!DP:EU,MATCH(Subgroup_number,Calculations!DP:DP,0),10),IF(Subgroup_number=Calculations!EY$25,Calculations!EY$21,""))</f>
        <v>#VALUE!</v>
      </c>
      <c r="Q14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4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46" s="125"/>
      <c r="U146" s="123"/>
      <c r="W146" s="123"/>
      <c r="Y146" s="123"/>
      <c r="AA146" s="123"/>
    </row>
    <row r="147" spans="6:27">
      <c r="F147" s="48">
        <v>146</v>
      </c>
      <c r="G14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4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4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4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4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47" s="4" t="e">
        <f>IF(COUNTIF(Calculations!DP:DP,Subgroup_number)=1,INDEX(Calculations!DP:EU,MATCH(Subgroup_number,Calculations!DP:DP,0),5),IF(Subgroup_number=Calculations!EY$25,Calculations!EY$17,""))</f>
        <v>#VALUE!</v>
      </c>
      <c r="M147" s="26" t="e">
        <f>IF(COUNTIF(Calculations!DP:DP,Subgroup_number)=1,INDEX(Calculations!DP:EU,MATCH(Subgroup_number,Calculations!DP:DP,0),6),IF(Subgroup_number=Calculations!EY$25,Calculations!EY$18,""))</f>
        <v>#VALUE!</v>
      </c>
      <c r="N147" s="8" t="e">
        <f>IF(COUNTIF(Calculations!DP:DP,Subgroup_number)=1,INDEX(Calculations!DP:EU,MATCH(Subgroup_number,Calculations!DP:DP,0),7),IF(Subgroup_number=Calculations!EY$25,Calculations!EY$19,""))</f>
        <v>#VALUE!</v>
      </c>
      <c r="O147" s="4" t="e">
        <f>IF(COUNTIF(Calculations!DP:DP,Subgroup_number)=1,INDEX(Calculations!DP:EU,MATCH(Subgroup_number,Calculations!DP:DP,0),9),IF(Subgroup_number=Calculations!EY$25,Calculations!EY$20,""))</f>
        <v>#VALUE!</v>
      </c>
      <c r="P147" s="4" t="e">
        <f>IF(COUNTIF(Calculations!DP:DP,Subgroup_number)=1,INDEX(Calculations!DP:EU,MATCH(Subgroup_number,Calculations!DP:DP,0),10),IF(Subgroup_number=Calculations!EY$25,Calculations!EY$21,""))</f>
        <v>#VALUE!</v>
      </c>
      <c r="Q14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4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47" s="125"/>
      <c r="U147" s="123"/>
      <c r="W147" s="123"/>
      <c r="Y147" s="123"/>
      <c r="AA147" s="123"/>
    </row>
    <row r="148" spans="6:27">
      <c r="F148" s="48">
        <v>147</v>
      </c>
      <c r="G14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4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4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4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4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48" s="4" t="e">
        <f>IF(COUNTIF(Calculations!DP:DP,Subgroup_number)=1,INDEX(Calculations!DP:EU,MATCH(Subgroup_number,Calculations!DP:DP,0),5),IF(Subgroup_number=Calculations!EY$25,Calculations!EY$17,""))</f>
        <v>#VALUE!</v>
      </c>
      <c r="M148" s="26" t="e">
        <f>IF(COUNTIF(Calculations!DP:DP,Subgroup_number)=1,INDEX(Calculations!DP:EU,MATCH(Subgroup_number,Calculations!DP:DP,0),6),IF(Subgroup_number=Calculations!EY$25,Calculations!EY$18,""))</f>
        <v>#VALUE!</v>
      </c>
      <c r="N148" s="8" t="e">
        <f>IF(COUNTIF(Calculations!DP:DP,Subgroup_number)=1,INDEX(Calculations!DP:EU,MATCH(Subgroup_number,Calculations!DP:DP,0),7),IF(Subgroup_number=Calculations!EY$25,Calculations!EY$19,""))</f>
        <v>#VALUE!</v>
      </c>
      <c r="O148" s="4" t="e">
        <f>IF(COUNTIF(Calculations!DP:DP,Subgroup_number)=1,INDEX(Calculations!DP:EU,MATCH(Subgroup_number,Calculations!DP:DP,0),9),IF(Subgroup_number=Calculations!EY$25,Calculations!EY$20,""))</f>
        <v>#VALUE!</v>
      </c>
      <c r="P148" s="4" t="e">
        <f>IF(COUNTIF(Calculations!DP:DP,Subgroup_number)=1,INDEX(Calculations!DP:EU,MATCH(Subgroup_number,Calculations!DP:DP,0),10),IF(Subgroup_number=Calculations!EY$25,Calculations!EY$21,""))</f>
        <v>#VALUE!</v>
      </c>
      <c r="Q14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4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48" s="125"/>
      <c r="U148" s="123"/>
      <c r="W148" s="123"/>
      <c r="Y148" s="123"/>
      <c r="AA148" s="123"/>
    </row>
    <row r="149" spans="6:27">
      <c r="F149" s="48">
        <v>148</v>
      </c>
      <c r="G14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4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4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4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4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49" s="4" t="e">
        <f>IF(COUNTIF(Calculations!DP:DP,Subgroup_number)=1,INDEX(Calculations!DP:EU,MATCH(Subgroup_number,Calculations!DP:DP,0),5),IF(Subgroup_number=Calculations!EY$25,Calculations!EY$17,""))</f>
        <v>#VALUE!</v>
      </c>
      <c r="M149" s="26" t="e">
        <f>IF(COUNTIF(Calculations!DP:DP,Subgroup_number)=1,INDEX(Calculations!DP:EU,MATCH(Subgroup_number,Calculations!DP:DP,0),6),IF(Subgroup_number=Calculations!EY$25,Calculations!EY$18,""))</f>
        <v>#VALUE!</v>
      </c>
      <c r="N149" s="8" t="e">
        <f>IF(COUNTIF(Calculations!DP:DP,Subgroup_number)=1,INDEX(Calculations!DP:EU,MATCH(Subgroup_number,Calculations!DP:DP,0),7),IF(Subgroup_number=Calculations!EY$25,Calculations!EY$19,""))</f>
        <v>#VALUE!</v>
      </c>
      <c r="O149" s="4" t="e">
        <f>IF(COUNTIF(Calculations!DP:DP,Subgroup_number)=1,INDEX(Calculations!DP:EU,MATCH(Subgroup_number,Calculations!DP:DP,0),9),IF(Subgroup_number=Calculations!EY$25,Calculations!EY$20,""))</f>
        <v>#VALUE!</v>
      </c>
      <c r="P149" s="4" t="e">
        <f>IF(COUNTIF(Calculations!DP:DP,Subgroup_number)=1,INDEX(Calculations!DP:EU,MATCH(Subgroup_number,Calculations!DP:DP,0),10),IF(Subgroup_number=Calculations!EY$25,Calculations!EY$21,""))</f>
        <v>#VALUE!</v>
      </c>
      <c r="Q14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4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49" s="125"/>
      <c r="U149" s="123"/>
      <c r="W149" s="123"/>
      <c r="Y149" s="123"/>
      <c r="AA149" s="123"/>
    </row>
    <row r="150" spans="6:27">
      <c r="F150" s="48">
        <v>149</v>
      </c>
      <c r="G15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5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5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5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5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50" s="4" t="e">
        <f>IF(COUNTIF(Calculations!DP:DP,Subgroup_number)=1,INDEX(Calculations!DP:EU,MATCH(Subgroup_number,Calculations!DP:DP,0),5),IF(Subgroup_number=Calculations!EY$25,Calculations!EY$17,""))</f>
        <v>#VALUE!</v>
      </c>
      <c r="M150" s="26" t="e">
        <f>IF(COUNTIF(Calculations!DP:DP,Subgroup_number)=1,INDEX(Calculations!DP:EU,MATCH(Subgroup_number,Calculations!DP:DP,0),6),IF(Subgroup_number=Calculations!EY$25,Calculations!EY$18,""))</f>
        <v>#VALUE!</v>
      </c>
      <c r="N150" s="8" t="e">
        <f>IF(COUNTIF(Calculations!DP:DP,Subgroup_number)=1,INDEX(Calculations!DP:EU,MATCH(Subgroup_number,Calculations!DP:DP,0),7),IF(Subgroup_number=Calculations!EY$25,Calculations!EY$19,""))</f>
        <v>#VALUE!</v>
      </c>
      <c r="O150" s="4" t="e">
        <f>IF(COUNTIF(Calculations!DP:DP,Subgroup_number)=1,INDEX(Calculations!DP:EU,MATCH(Subgroup_number,Calculations!DP:DP,0),9),IF(Subgroup_number=Calculations!EY$25,Calculations!EY$20,""))</f>
        <v>#VALUE!</v>
      </c>
      <c r="P150" s="4" t="e">
        <f>IF(COUNTIF(Calculations!DP:DP,Subgroup_number)=1,INDEX(Calculations!DP:EU,MATCH(Subgroup_number,Calculations!DP:DP,0),10),IF(Subgroup_number=Calculations!EY$25,Calculations!EY$21,""))</f>
        <v>#VALUE!</v>
      </c>
      <c r="Q15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5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50" s="125"/>
      <c r="U150" s="123"/>
      <c r="W150" s="123"/>
      <c r="Y150" s="123"/>
      <c r="AA150" s="123"/>
    </row>
    <row r="151" spans="6:27">
      <c r="F151" s="48">
        <v>150</v>
      </c>
      <c r="G15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5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5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5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5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51" s="4" t="e">
        <f>IF(COUNTIF(Calculations!DP:DP,Subgroup_number)=1,INDEX(Calculations!DP:EU,MATCH(Subgroup_number,Calculations!DP:DP,0),5),IF(Subgroup_number=Calculations!EY$25,Calculations!EY$17,""))</f>
        <v>#VALUE!</v>
      </c>
      <c r="M151" s="26" t="e">
        <f>IF(COUNTIF(Calculations!DP:DP,Subgroup_number)=1,INDEX(Calculations!DP:EU,MATCH(Subgroup_number,Calculations!DP:DP,0),6),IF(Subgroup_number=Calculations!EY$25,Calculations!EY$18,""))</f>
        <v>#VALUE!</v>
      </c>
      <c r="N151" s="8" t="e">
        <f>IF(COUNTIF(Calculations!DP:DP,Subgroup_number)=1,INDEX(Calculations!DP:EU,MATCH(Subgroup_number,Calculations!DP:DP,0),7),IF(Subgroup_number=Calculations!EY$25,Calculations!EY$19,""))</f>
        <v>#VALUE!</v>
      </c>
      <c r="O151" s="4" t="e">
        <f>IF(COUNTIF(Calculations!DP:DP,Subgroup_number)=1,INDEX(Calculations!DP:EU,MATCH(Subgroup_number,Calculations!DP:DP,0),9),IF(Subgroup_number=Calculations!EY$25,Calculations!EY$20,""))</f>
        <v>#VALUE!</v>
      </c>
      <c r="P151" s="4" t="e">
        <f>IF(COUNTIF(Calculations!DP:DP,Subgroup_number)=1,INDEX(Calculations!DP:EU,MATCH(Subgroup_number,Calculations!DP:DP,0),10),IF(Subgroup_number=Calculations!EY$25,Calculations!EY$21,""))</f>
        <v>#VALUE!</v>
      </c>
      <c r="Q15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5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51" s="125"/>
      <c r="U151" s="123"/>
      <c r="W151" s="123"/>
      <c r="Y151" s="123"/>
      <c r="AA151" s="123"/>
    </row>
    <row r="152" spans="6:27">
      <c r="F152" s="48">
        <v>151</v>
      </c>
      <c r="G15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5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5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5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5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52" s="4" t="e">
        <f>IF(COUNTIF(Calculations!DP:DP,Subgroup_number)=1,INDEX(Calculations!DP:EU,MATCH(Subgroup_number,Calculations!DP:DP,0),5),IF(Subgroup_number=Calculations!EY$25,Calculations!EY$17,""))</f>
        <v>#VALUE!</v>
      </c>
      <c r="M152" s="26" t="e">
        <f>IF(COUNTIF(Calculations!DP:DP,Subgroup_number)=1,INDEX(Calculations!DP:EU,MATCH(Subgroup_number,Calculations!DP:DP,0),6),IF(Subgroup_number=Calculations!EY$25,Calculations!EY$18,""))</f>
        <v>#VALUE!</v>
      </c>
      <c r="N152" s="8" t="e">
        <f>IF(COUNTIF(Calculations!DP:DP,Subgroup_number)=1,INDEX(Calculations!DP:EU,MATCH(Subgroup_number,Calculations!DP:DP,0),7),IF(Subgroup_number=Calculations!EY$25,Calculations!EY$19,""))</f>
        <v>#VALUE!</v>
      </c>
      <c r="O152" s="4" t="e">
        <f>IF(COUNTIF(Calculations!DP:DP,Subgroup_number)=1,INDEX(Calculations!DP:EU,MATCH(Subgroup_number,Calculations!DP:DP,0),9),IF(Subgroup_number=Calculations!EY$25,Calculations!EY$20,""))</f>
        <v>#VALUE!</v>
      </c>
      <c r="P152" s="4" t="e">
        <f>IF(COUNTIF(Calculations!DP:DP,Subgroup_number)=1,INDEX(Calculations!DP:EU,MATCH(Subgroup_number,Calculations!DP:DP,0),10),IF(Subgroup_number=Calculations!EY$25,Calculations!EY$21,""))</f>
        <v>#VALUE!</v>
      </c>
      <c r="Q15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5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52" s="125"/>
      <c r="U152" s="123"/>
      <c r="W152" s="123"/>
      <c r="Y152" s="123"/>
      <c r="AA152" s="123"/>
    </row>
    <row r="153" spans="6:27">
      <c r="F153" s="48">
        <v>152</v>
      </c>
      <c r="G15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5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5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5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5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53" s="4" t="e">
        <f>IF(COUNTIF(Calculations!DP:DP,Subgroup_number)=1,INDEX(Calculations!DP:EU,MATCH(Subgroup_number,Calculations!DP:DP,0),5),IF(Subgroup_number=Calculations!EY$25,Calculations!EY$17,""))</f>
        <v>#VALUE!</v>
      </c>
      <c r="M153" s="26" t="e">
        <f>IF(COUNTIF(Calculations!DP:DP,Subgroup_number)=1,INDEX(Calculations!DP:EU,MATCH(Subgroup_number,Calculations!DP:DP,0),6),IF(Subgroup_number=Calculations!EY$25,Calculations!EY$18,""))</f>
        <v>#VALUE!</v>
      </c>
      <c r="N153" s="8" t="e">
        <f>IF(COUNTIF(Calculations!DP:DP,Subgroup_number)=1,INDEX(Calculations!DP:EU,MATCH(Subgroup_number,Calculations!DP:DP,0),7),IF(Subgroup_number=Calculations!EY$25,Calculations!EY$19,""))</f>
        <v>#VALUE!</v>
      </c>
      <c r="O153" s="4" t="e">
        <f>IF(COUNTIF(Calculations!DP:DP,Subgroup_number)=1,INDEX(Calculations!DP:EU,MATCH(Subgroup_number,Calculations!DP:DP,0),9),IF(Subgroup_number=Calculations!EY$25,Calculations!EY$20,""))</f>
        <v>#VALUE!</v>
      </c>
      <c r="P153" s="4" t="e">
        <f>IF(COUNTIF(Calculations!DP:DP,Subgroup_number)=1,INDEX(Calculations!DP:EU,MATCH(Subgroup_number,Calculations!DP:DP,0),10),IF(Subgroup_number=Calculations!EY$25,Calculations!EY$21,""))</f>
        <v>#VALUE!</v>
      </c>
      <c r="Q15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5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53" s="125"/>
      <c r="U153" s="123"/>
      <c r="W153" s="123"/>
      <c r="Y153" s="123"/>
      <c r="AA153" s="123"/>
    </row>
    <row r="154" spans="6:27">
      <c r="F154" s="48">
        <v>153</v>
      </c>
      <c r="G15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5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5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5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5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54" s="4" t="e">
        <f>IF(COUNTIF(Calculations!DP:DP,Subgroup_number)=1,INDEX(Calculations!DP:EU,MATCH(Subgroup_number,Calculations!DP:DP,0),5),IF(Subgroup_number=Calculations!EY$25,Calculations!EY$17,""))</f>
        <v>#VALUE!</v>
      </c>
      <c r="M154" s="26" t="e">
        <f>IF(COUNTIF(Calculations!DP:DP,Subgroup_number)=1,INDEX(Calculations!DP:EU,MATCH(Subgroup_number,Calculations!DP:DP,0),6),IF(Subgroup_number=Calculations!EY$25,Calculations!EY$18,""))</f>
        <v>#VALUE!</v>
      </c>
      <c r="N154" s="8" t="e">
        <f>IF(COUNTIF(Calculations!DP:DP,Subgroup_number)=1,INDEX(Calculations!DP:EU,MATCH(Subgroup_number,Calculations!DP:DP,0),7),IF(Subgroup_number=Calculations!EY$25,Calculations!EY$19,""))</f>
        <v>#VALUE!</v>
      </c>
      <c r="O154" s="4" t="e">
        <f>IF(COUNTIF(Calculations!DP:DP,Subgroup_number)=1,INDEX(Calculations!DP:EU,MATCH(Subgroup_number,Calculations!DP:DP,0),9),IF(Subgroup_number=Calculations!EY$25,Calculations!EY$20,""))</f>
        <v>#VALUE!</v>
      </c>
      <c r="P154" s="4" t="e">
        <f>IF(COUNTIF(Calculations!DP:DP,Subgroup_number)=1,INDEX(Calculations!DP:EU,MATCH(Subgroup_number,Calculations!DP:DP,0),10),IF(Subgroup_number=Calculations!EY$25,Calculations!EY$21,""))</f>
        <v>#VALUE!</v>
      </c>
      <c r="Q15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5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54" s="125"/>
      <c r="U154" s="123"/>
      <c r="W154" s="123"/>
      <c r="Y154" s="123"/>
      <c r="AA154" s="123"/>
    </row>
    <row r="155" spans="6:27">
      <c r="F155" s="48">
        <v>154</v>
      </c>
      <c r="G15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5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5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5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5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55" s="4" t="e">
        <f>IF(COUNTIF(Calculations!DP:DP,Subgroup_number)=1,INDEX(Calculations!DP:EU,MATCH(Subgroup_number,Calculations!DP:DP,0),5),IF(Subgroup_number=Calculations!EY$25,Calculations!EY$17,""))</f>
        <v>#VALUE!</v>
      </c>
      <c r="M155" s="26" t="e">
        <f>IF(COUNTIF(Calculations!DP:DP,Subgroup_number)=1,INDEX(Calculations!DP:EU,MATCH(Subgroup_number,Calculations!DP:DP,0),6),IF(Subgroup_number=Calculations!EY$25,Calculations!EY$18,""))</f>
        <v>#VALUE!</v>
      </c>
      <c r="N155" s="8" t="e">
        <f>IF(COUNTIF(Calculations!DP:DP,Subgroup_number)=1,INDEX(Calculations!DP:EU,MATCH(Subgroup_number,Calculations!DP:DP,0),7),IF(Subgroup_number=Calculations!EY$25,Calculations!EY$19,""))</f>
        <v>#VALUE!</v>
      </c>
      <c r="O155" s="4" t="e">
        <f>IF(COUNTIF(Calculations!DP:DP,Subgroup_number)=1,INDEX(Calculations!DP:EU,MATCH(Subgroup_number,Calculations!DP:DP,0),9),IF(Subgroup_number=Calculations!EY$25,Calculations!EY$20,""))</f>
        <v>#VALUE!</v>
      </c>
      <c r="P155" s="4" t="e">
        <f>IF(COUNTIF(Calculations!DP:DP,Subgroup_number)=1,INDEX(Calculations!DP:EU,MATCH(Subgroup_number,Calculations!DP:DP,0),10),IF(Subgroup_number=Calculations!EY$25,Calculations!EY$21,""))</f>
        <v>#VALUE!</v>
      </c>
      <c r="Q15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5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55" s="125"/>
      <c r="U155" s="123"/>
      <c r="W155" s="123"/>
      <c r="Y155" s="123"/>
      <c r="AA155" s="123"/>
    </row>
    <row r="156" spans="6:27">
      <c r="F156" s="48">
        <v>155</v>
      </c>
      <c r="G15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5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5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5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5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56" s="4" t="e">
        <f>IF(COUNTIF(Calculations!DP:DP,Subgroup_number)=1,INDEX(Calculations!DP:EU,MATCH(Subgroup_number,Calculations!DP:DP,0),5),IF(Subgroup_number=Calculations!EY$25,Calculations!EY$17,""))</f>
        <v>#VALUE!</v>
      </c>
      <c r="M156" s="26" t="e">
        <f>IF(COUNTIF(Calculations!DP:DP,Subgroup_number)=1,INDEX(Calculations!DP:EU,MATCH(Subgroup_number,Calculations!DP:DP,0),6),IF(Subgroup_number=Calculations!EY$25,Calculations!EY$18,""))</f>
        <v>#VALUE!</v>
      </c>
      <c r="N156" s="8" t="e">
        <f>IF(COUNTIF(Calculations!DP:DP,Subgroup_number)=1,INDEX(Calculations!DP:EU,MATCH(Subgroup_number,Calculations!DP:DP,0),7),IF(Subgroup_number=Calculations!EY$25,Calculations!EY$19,""))</f>
        <v>#VALUE!</v>
      </c>
      <c r="O156" s="4" t="e">
        <f>IF(COUNTIF(Calculations!DP:DP,Subgroup_number)=1,INDEX(Calculations!DP:EU,MATCH(Subgroup_number,Calculations!DP:DP,0),9),IF(Subgroup_number=Calculations!EY$25,Calculations!EY$20,""))</f>
        <v>#VALUE!</v>
      </c>
      <c r="P156" s="4" t="e">
        <f>IF(COUNTIF(Calculations!DP:DP,Subgroup_number)=1,INDEX(Calculations!DP:EU,MATCH(Subgroup_number,Calculations!DP:DP,0),10),IF(Subgroup_number=Calculations!EY$25,Calculations!EY$21,""))</f>
        <v>#VALUE!</v>
      </c>
      <c r="Q15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5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56" s="125"/>
      <c r="U156" s="123"/>
      <c r="W156" s="123"/>
      <c r="Y156" s="123"/>
      <c r="AA156" s="123"/>
    </row>
    <row r="157" spans="6:27">
      <c r="F157" s="48">
        <v>156</v>
      </c>
      <c r="G15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5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5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5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5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57" s="4" t="e">
        <f>IF(COUNTIF(Calculations!DP:DP,Subgroup_number)=1,INDEX(Calculations!DP:EU,MATCH(Subgroup_number,Calculations!DP:DP,0),5),IF(Subgroup_number=Calculations!EY$25,Calculations!EY$17,""))</f>
        <v>#VALUE!</v>
      </c>
      <c r="M157" s="26" t="e">
        <f>IF(COUNTIF(Calculations!DP:DP,Subgroup_number)=1,INDEX(Calculations!DP:EU,MATCH(Subgroup_number,Calculations!DP:DP,0),6),IF(Subgroup_number=Calculations!EY$25,Calculations!EY$18,""))</f>
        <v>#VALUE!</v>
      </c>
      <c r="N157" s="8" t="e">
        <f>IF(COUNTIF(Calculations!DP:DP,Subgroup_number)=1,INDEX(Calculations!DP:EU,MATCH(Subgroup_number,Calculations!DP:DP,0),7),IF(Subgroup_number=Calculations!EY$25,Calculations!EY$19,""))</f>
        <v>#VALUE!</v>
      </c>
      <c r="O157" s="4" t="e">
        <f>IF(COUNTIF(Calculations!DP:DP,Subgroup_number)=1,INDEX(Calculations!DP:EU,MATCH(Subgroup_number,Calculations!DP:DP,0),9),IF(Subgroup_number=Calculations!EY$25,Calculations!EY$20,""))</f>
        <v>#VALUE!</v>
      </c>
      <c r="P157" s="4" t="e">
        <f>IF(COUNTIF(Calculations!DP:DP,Subgroup_number)=1,INDEX(Calculations!DP:EU,MATCH(Subgroup_number,Calculations!DP:DP,0),10),IF(Subgroup_number=Calculations!EY$25,Calculations!EY$21,""))</f>
        <v>#VALUE!</v>
      </c>
      <c r="Q15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5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57" s="125"/>
      <c r="U157" s="123"/>
      <c r="W157" s="123"/>
      <c r="Y157" s="123"/>
      <c r="AA157" s="123"/>
    </row>
    <row r="158" spans="6:27">
      <c r="F158" s="48">
        <v>157</v>
      </c>
      <c r="G15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5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5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5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5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58" s="4" t="e">
        <f>IF(COUNTIF(Calculations!DP:DP,Subgroup_number)=1,INDEX(Calculations!DP:EU,MATCH(Subgroup_number,Calculations!DP:DP,0),5),IF(Subgroup_number=Calculations!EY$25,Calculations!EY$17,""))</f>
        <v>#VALUE!</v>
      </c>
      <c r="M158" s="26" t="e">
        <f>IF(COUNTIF(Calculations!DP:DP,Subgroup_number)=1,INDEX(Calculations!DP:EU,MATCH(Subgroup_number,Calculations!DP:DP,0),6),IF(Subgroup_number=Calculations!EY$25,Calculations!EY$18,""))</f>
        <v>#VALUE!</v>
      </c>
      <c r="N158" s="8" t="e">
        <f>IF(COUNTIF(Calculations!DP:DP,Subgroup_number)=1,INDEX(Calculations!DP:EU,MATCH(Subgroup_number,Calculations!DP:DP,0),7),IF(Subgroup_number=Calculations!EY$25,Calculations!EY$19,""))</f>
        <v>#VALUE!</v>
      </c>
      <c r="O158" s="4" t="e">
        <f>IF(COUNTIF(Calculations!DP:DP,Subgroup_number)=1,INDEX(Calculations!DP:EU,MATCH(Subgroup_number,Calculations!DP:DP,0),9),IF(Subgroup_number=Calculations!EY$25,Calculations!EY$20,""))</f>
        <v>#VALUE!</v>
      </c>
      <c r="P158" s="4" t="e">
        <f>IF(COUNTIF(Calculations!DP:DP,Subgroup_number)=1,INDEX(Calculations!DP:EU,MATCH(Subgroup_number,Calculations!DP:DP,0),10),IF(Subgroup_number=Calculations!EY$25,Calculations!EY$21,""))</f>
        <v>#VALUE!</v>
      </c>
      <c r="Q15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5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58" s="125"/>
      <c r="U158" s="123"/>
      <c r="W158" s="123"/>
      <c r="Y158" s="123"/>
      <c r="AA158" s="123"/>
    </row>
    <row r="159" spans="6:27">
      <c r="F159" s="48">
        <v>158</v>
      </c>
      <c r="G15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5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5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5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5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59" s="4" t="e">
        <f>IF(COUNTIF(Calculations!DP:DP,Subgroup_number)=1,INDEX(Calculations!DP:EU,MATCH(Subgroup_number,Calculations!DP:DP,0),5),IF(Subgroup_number=Calculations!EY$25,Calculations!EY$17,""))</f>
        <v>#VALUE!</v>
      </c>
      <c r="M159" s="26" t="e">
        <f>IF(COUNTIF(Calculations!DP:DP,Subgroup_number)=1,INDEX(Calculations!DP:EU,MATCH(Subgroup_number,Calculations!DP:DP,0),6),IF(Subgroup_number=Calculations!EY$25,Calculations!EY$18,""))</f>
        <v>#VALUE!</v>
      </c>
      <c r="N159" s="8" t="e">
        <f>IF(COUNTIF(Calculations!DP:DP,Subgroup_number)=1,INDEX(Calculations!DP:EU,MATCH(Subgroup_number,Calculations!DP:DP,0),7),IF(Subgroup_number=Calculations!EY$25,Calculations!EY$19,""))</f>
        <v>#VALUE!</v>
      </c>
      <c r="O159" s="4" t="e">
        <f>IF(COUNTIF(Calculations!DP:DP,Subgroup_number)=1,INDEX(Calculations!DP:EU,MATCH(Subgroup_number,Calculations!DP:DP,0),9),IF(Subgroup_number=Calculations!EY$25,Calculations!EY$20,""))</f>
        <v>#VALUE!</v>
      </c>
      <c r="P159" s="4" t="e">
        <f>IF(COUNTIF(Calculations!DP:DP,Subgroup_number)=1,INDEX(Calculations!DP:EU,MATCH(Subgroup_number,Calculations!DP:DP,0),10),IF(Subgroup_number=Calculations!EY$25,Calculations!EY$21,""))</f>
        <v>#VALUE!</v>
      </c>
      <c r="Q15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5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59" s="125"/>
      <c r="U159" s="123"/>
      <c r="W159" s="123"/>
      <c r="Y159" s="123"/>
      <c r="AA159" s="123"/>
    </row>
    <row r="160" spans="6:27">
      <c r="F160" s="48">
        <v>159</v>
      </c>
      <c r="G16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6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6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6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6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60" s="4" t="e">
        <f>IF(COUNTIF(Calculations!DP:DP,Subgroup_number)=1,INDEX(Calculations!DP:EU,MATCH(Subgroup_number,Calculations!DP:DP,0),5),IF(Subgroup_number=Calculations!EY$25,Calculations!EY$17,""))</f>
        <v>#VALUE!</v>
      </c>
      <c r="M160" s="26" t="e">
        <f>IF(COUNTIF(Calculations!DP:DP,Subgroup_number)=1,INDEX(Calculations!DP:EU,MATCH(Subgroup_number,Calculations!DP:DP,0),6),IF(Subgroup_number=Calculations!EY$25,Calculations!EY$18,""))</f>
        <v>#VALUE!</v>
      </c>
      <c r="N160" s="8" t="e">
        <f>IF(COUNTIF(Calculations!DP:DP,Subgroup_number)=1,INDEX(Calculations!DP:EU,MATCH(Subgroup_number,Calculations!DP:DP,0),7),IF(Subgroup_number=Calculations!EY$25,Calculations!EY$19,""))</f>
        <v>#VALUE!</v>
      </c>
      <c r="O160" s="4" t="e">
        <f>IF(COUNTIF(Calculations!DP:DP,Subgroup_number)=1,INDEX(Calculations!DP:EU,MATCH(Subgroup_number,Calculations!DP:DP,0),9),IF(Subgroup_number=Calculations!EY$25,Calculations!EY$20,""))</f>
        <v>#VALUE!</v>
      </c>
      <c r="P160" s="4" t="e">
        <f>IF(COUNTIF(Calculations!DP:DP,Subgroup_number)=1,INDEX(Calculations!DP:EU,MATCH(Subgroup_number,Calculations!DP:DP,0),10),IF(Subgroup_number=Calculations!EY$25,Calculations!EY$21,""))</f>
        <v>#VALUE!</v>
      </c>
      <c r="Q16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6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60" s="125"/>
      <c r="U160" s="123"/>
      <c r="W160" s="123"/>
      <c r="Y160" s="123"/>
      <c r="AA160" s="123"/>
    </row>
    <row r="161" spans="6:27">
      <c r="F161" s="48">
        <v>160</v>
      </c>
      <c r="G16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6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6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6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6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61" s="4" t="e">
        <f>IF(COUNTIF(Calculations!DP:DP,Subgroup_number)=1,INDEX(Calculations!DP:EU,MATCH(Subgroup_number,Calculations!DP:DP,0),5),IF(Subgroup_number=Calculations!EY$25,Calculations!EY$17,""))</f>
        <v>#VALUE!</v>
      </c>
      <c r="M161" s="26" t="e">
        <f>IF(COUNTIF(Calculations!DP:DP,Subgroup_number)=1,INDEX(Calculations!DP:EU,MATCH(Subgroup_number,Calculations!DP:DP,0),6),IF(Subgroup_number=Calculations!EY$25,Calculations!EY$18,""))</f>
        <v>#VALUE!</v>
      </c>
      <c r="N161" s="8" t="e">
        <f>IF(COUNTIF(Calculations!DP:DP,Subgroup_number)=1,INDEX(Calculations!DP:EU,MATCH(Subgroup_number,Calculations!DP:DP,0),7),IF(Subgroup_number=Calculations!EY$25,Calculations!EY$19,""))</f>
        <v>#VALUE!</v>
      </c>
      <c r="O161" s="4" t="e">
        <f>IF(COUNTIF(Calculations!DP:DP,Subgroup_number)=1,INDEX(Calculations!DP:EU,MATCH(Subgroup_number,Calculations!DP:DP,0),9),IF(Subgroup_number=Calculations!EY$25,Calculations!EY$20,""))</f>
        <v>#VALUE!</v>
      </c>
      <c r="P161" s="4" t="e">
        <f>IF(COUNTIF(Calculations!DP:DP,Subgroup_number)=1,INDEX(Calculations!DP:EU,MATCH(Subgroup_number,Calculations!DP:DP,0),10),IF(Subgroup_number=Calculations!EY$25,Calculations!EY$21,""))</f>
        <v>#VALUE!</v>
      </c>
      <c r="Q16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6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61" s="125"/>
      <c r="U161" s="123"/>
      <c r="W161" s="123"/>
      <c r="Y161" s="123"/>
      <c r="AA161" s="123"/>
    </row>
    <row r="162" spans="6:27">
      <c r="F162" s="48">
        <v>161</v>
      </c>
      <c r="G16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6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6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6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6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62" s="4" t="e">
        <f>IF(COUNTIF(Calculations!DP:DP,Subgroup_number)=1,INDEX(Calculations!DP:EU,MATCH(Subgroup_number,Calculations!DP:DP,0),5),IF(Subgroup_number=Calculations!EY$25,Calculations!EY$17,""))</f>
        <v>#VALUE!</v>
      </c>
      <c r="M162" s="26" t="e">
        <f>IF(COUNTIF(Calculations!DP:DP,Subgroup_number)=1,INDEX(Calculations!DP:EU,MATCH(Subgroup_number,Calculations!DP:DP,0),6),IF(Subgroup_number=Calculations!EY$25,Calculations!EY$18,""))</f>
        <v>#VALUE!</v>
      </c>
      <c r="N162" s="8" t="e">
        <f>IF(COUNTIF(Calculations!DP:DP,Subgroup_number)=1,INDEX(Calculations!DP:EU,MATCH(Subgroup_number,Calculations!DP:DP,0),7),IF(Subgroup_number=Calculations!EY$25,Calculations!EY$19,""))</f>
        <v>#VALUE!</v>
      </c>
      <c r="O162" s="4" t="e">
        <f>IF(COUNTIF(Calculations!DP:DP,Subgroup_number)=1,INDEX(Calculations!DP:EU,MATCH(Subgroup_number,Calculations!DP:DP,0),9),IF(Subgroup_number=Calculations!EY$25,Calculations!EY$20,""))</f>
        <v>#VALUE!</v>
      </c>
      <c r="P162" s="4" t="e">
        <f>IF(COUNTIF(Calculations!DP:DP,Subgroup_number)=1,INDEX(Calculations!DP:EU,MATCH(Subgroup_number,Calculations!DP:DP,0),10),IF(Subgroup_number=Calculations!EY$25,Calculations!EY$21,""))</f>
        <v>#VALUE!</v>
      </c>
      <c r="Q16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6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62" s="125"/>
      <c r="U162" s="123"/>
      <c r="W162" s="123"/>
      <c r="Y162" s="123"/>
      <c r="AA162" s="123"/>
    </row>
    <row r="163" spans="6:27">
      <c r="F163" s="48">
        <v>162</v>
      </c>
      <c r="G16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6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6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6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6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63" s="4" t="e">
        <f>IF(COUNTIF(Calculations!DP:DP,Subgroup_number)=1,INDEX(Calculations!DP:EU,MATCH(Subgroup_number,Calculations!DP:DP,0),5),IF(Subgroup_number=Calculations!EY$25,Calculations!EY$17,""))</f>
        <v>#VALUE!</v>
      </c>
      <c r="M163" s="26" t="e">
        <f>IF(COUNTIF(Calculations!DP:DP,Subgroup_number)=1,INDEX(Calculations!DP:EU,MATCH(Subgroup_number,Calculations!DP:DP,0),6),IF(Subgroup_number=Calculations!EY$25,Calculations!EY$18,""))</f>
        <v>#VALUE!</v>
      </c>
      <c r="N163" s="8" t="e">
        <f>IF(COUNTIF(Calculations!DP:DP,Subgroup_number)=1,INDEX(Calculations!DP:EU,MATCH(Subgroup_number,Calculations!DP:DP,0),7),IF(Subgroup_number=Calculations!EY$25,Calculations!EY$19,""))</f>
        <v>#VALUE!</v>
      </c>
      <c r="O163" s="4" t="e">
        <f>IF(COUNTIF(Calculations!DP:DP,Subgroup_number)=1,INDEX(Calculations!DP:EU,MATCH(Subgroup_number,Calculations!DP:DP,0),9),IF(Subgroup_number=Calculations!EY$25,Calculations!EY$20,""))</f>
        <v>#VALUE!</v>
      </c>
      <c r="P163" s="4" t="e">
        <f>IF(COUNTIF(Calculations!DP:DP,Subgroup_number)=1,INDEX(Calculations!DP:EU,MATCH(Subgroup_number,Calculations!DP:DP,0),10),IF(Subgroup_number=Calculations!EY$25,Calculations!EY$21,""))</f>
        <v>#VALUE!</v>
      </c>
      <c r="Q16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6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63" s="125"/>
      <c r="U163" s="123"/>
      <c r="W163" s="123"/>
      <c r="Y163" s="123"/>
      <c r="AA163" s="123"/>
    </row>
    <row r="164" spans="6:27">
      <c r="F164" s="48">
        <v>163</v>
      </c>
      <c r="G16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6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6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6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6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64" s="4" t="e">
        <f>IF(COUNTIF(Calculations!DP:DP,Subgroup_number)=1,INDEX(Calculations!DP:EU,MATCH(Subgroup_number,Calculations!DP:DP,0),5),IF(Subgroup_number=Calculations!EY$25,Calculations!EY$17,""))</f>
        <v>#VALUE!</v>
      </c>
      <c r="M164" s="26" t="e">
        <f>IF(COUNTIF(Calculations!DP:DP,Subgroup_number)=1,INDEX(Calculations!DP:EU,MATCH(Subgroup_number,Calculations!DP:DP,0),6),IF(Subgroup_number=Calculations!EY$25,Calculations!EY$18,""))</f>
        <v>#VALUE!</v>
      </c>
      <c r="N164" s="8" t="e">
        <f>IF(COUNTIF(Calculations!DP:DP,Subgroup_number)=1,INDEX(Calculations!DP:EU,MATCH(Subgroup_number,Calculations!DP:DP,0),7),IF(Subgroup_number=Calculations!EY$25,Calculations!EY$19,""))</f>
        <v>#VALUE!</v>
      </c>
      <c r="O164" s="4" t="e">
        <f>IF(COUNTIF(Calculations!DP:DP,Subgroup_number)=1,INDEX(Calculations!DP:EU,MATCH(Subgroup_number,Calculations!DP:DP,0),9),IF(Subgroup_number=Calculations!EY$25,Calculations!EY$20,""))</f>
        <v>#VALUE!</v>
      </c>
      <c r="P164" s="4" t="e">
        <f>IF(COUNTIF(Calculations!DP:DP,Subgroup_number)=1,INDEX(Calculations!DP:EU,MATCH(Subgroup_number,Calculations!DP:DP,0),10),IF(Subgroup_number=Calculations!EY$25,Calculations!EY$21,""))</f>
        <v>#VALUE!</v>
      </c>
      <c r="Q16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6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64" s="125"/>
      <c r="U164" s="123"/>
      <c r="W164" s="123"/>
      <c r="Y164" s="123"/>
      <c r="AA164" s="123"/>
    </row>
    <row r="165" spans="6:27">
      <c r="F165" s="48">
        <v>164</v>
      </c>
      <c r="G16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6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6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6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6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65" s="4" t="e">
        <f>IF(COUNTIF(Calculations!DP:DP,Subgroup_number)=1,INDEX(Calculations!DP:EU,MATCH(Subgroup_number,Calculations!DP:DP,0),5),IF(Subgroup_number=Calculations!EY$25,Calculations!EY$17,""))</f>
        <v>#VALUE!</v>
      </c>
      <c r="M165" s="26" t="e">
        <f>IF(COUNTIF(Calculations!DP:DP,Subgroup_number)=1,INDEX(Calculations!DP:EU,MATCH(Subgroup_number,Calculations!DP:DP,0),6),IF(Subgroup_number=Calculations!EY$25,Calculations!EY$18,""))</f>
        <v>#VALUE!</v>
      </c>
      <c r="N165" s="8" t="e">
        <f>IF(COUNTIF(Calculations!DP:DP,Subgroup_number)=1,INDEX(Calculations!DP:EU,MATCH(Subgroup_number,Calculations!DP:DP,0),7),IF(Subgroup_number=Calculations!EY$25,Calculations!EY$19,""))</f>
        <v>#VALUE!</v>
      </c>
      <c r="O165" s="4" t="e">
        <f>IF(COUNTIF(Calculations!DP:DP,Subgroup_number)=1,INDEX(Calculations!DP:EU,MATCH(Subgroup_number,Calculations!DP:DP,0),9),IF(Subgroup_number=Calculations!EY$25,Calculations!EY$20,""))</f>
        <v>#VALUE!</v>
      </c>
      <c r="P165" s="4" t="e">
        <f>IF(COUNTIF(Calculations!DP:DP,Subgroup_number)=1,INDEX(Calculations!DP:EU,MATCH(Subgroup_number,Calculations!DP:DP,0),10),IF(Subgroup_number=Calculations!EY$25,Calculations!EY$21,""))</f>
        <v>#VALUE!</v>
      </c>
      <c r="Q16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6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65" s="125"/>
      <c r="U165" s="123"/>
      <c r="W165" s="123"/>
      <c r="Y165" s="123"/>
      <c r="AA165" s="123"/>
    </row>
    <row r="166" spans="6:27">
      <c r="F166" s="48">
        <v>165</v>
      </c>
      <c r="G16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6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6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6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6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66" s="4" t="e">
        <f>IF(COUNTIF(Calculations!DP:DP,Subgroup_number)=1,INDEX(Calculations!DP:EU,MATCH(Subgroup_number,Calculations!DP:DP,0),5),IF(Subgroup_number=Calculations!EY$25,Calculations!EY$17,""))</f>
        <v>#VALUE!</v>
      </c>
      <c r="M166" s="26" t="e">
        <f>IF(COUNTIF(Calculations!DP:DP,Subgroup_number)=1,INDEX(Calculations!DP:EU,MATCH(Subgroup_number,Calculations!DP:DP,0),6),IF(Subgroup_number=Calculations!EY$25,Calculations!EY$18,""))</f>
        <v>#VALUE!</v>
      </c>
      <c r="N166" s="8" t="e">
        <f>IF(COUNTIF(Calculations!DP:DP,Subgroup_number)=1,INDEX(Calculations!DP:EU,MATCH(Subgroup_number,Calculations!DP:DP,0),7),IF(Subgroup_number=Calculations!EY$25,Calculations!EY$19,""))</f>
        <v>#VALUE!</v>
      </c>
      <c r="O166" s="4" t="e">
        <f>IF(COUNTIF(Calculations!DP:DP,Subgroup_number)=1,INDEX(Calculations!DP:EU,MATCH(Subgroup_number,Calculations!DP:DP,0),9),IF(Subgroup_number=Calculations!EY$25,Calculations!EY$20,""))</f>
        <v>#VALUE!</v>
      </c>
      <c r="P166" s="4" t="e">
        <f>IF(COUNTIF(Calculations!DP:DP,Subgroup_number)=1,INDEX(Calculations!DP:EU,MATCH(Subgroup_number,Calculations!DP:DP,0),10),IF(Subgroup_number=Calculations!EY$25,Calculations!EY$21,""))</f>
        <v>#VALUE!</v>
      </c>
      <c r="Q16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6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66" s="125"/>
      <c r="U166" s="123"/>
      <c r="W166" s="123"/>
      <c r="Y166" s="123"/>
      <c r="AA166" s="123"/>
    </row>
    <row r="167" spans="6:27">
      <c r="F167" s="48">
        <v>166</v>
      </c>
      <c r="G16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6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6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6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6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67" s="4" t="e">
        <f>IF(COUNTIF(Calculations!DP:DP,Subgroup_number)=1,INDEX(Calculations!DP:EU,MATCH(Subgroup_number,Calculations!DP:DP,0),5),IF(Subgroup_number=Calculations!EY$25,Calculations!EY$17,""))</f>
        <v>#VALUE!</v>
      </c>
      <c r="M167" s="26" t="e">
        <f>IF(COUNTIF(Calculations!DP:DP,Subgroup_number)=1,INDEX(Calculations!DP:EU,MATCH(Subgroup_number,Calculations!DP:DP,0),6),IF(Subgroup_number=Calculations!EY$25,Calculations!EY$18,""))</f>
        <v>#VALUE!</v>
      </c>
      <c r="N167" s="8" t="e">
        <f>IF(COUNTIF(Calculations!DP:DP,Subgroup_number)=1,INDEX(Calculations!DP:EU,MATCH(Subgroup_number,Calculations!DP:DP,0),7),IF(Subgroup_number=Calculations!EY$25,Calculations!EY$19,""))</f>
        <v>#VALUE!</v>
      </c>
      <c r="O167" s="4" t="e">
        <f>IF(COUNTIF(Calculations!DP:DP,Subgroup_number)=1,INDEX(Calculations!DP:EU,MATCH(Subgroup_number,Calculations!DP:DP,0),9),IF(Subgroup_number=Calculations!EY$25,Calculations!EY$20,""))</f>
        <v>#VALUE!</v>
      </c>
      <c r="P167" s="4" t="e">
        <f>IF(COUNTIF(Calculations!DP:DP,Subgroup_number)=1,INDEX(Calculations!DP:EU,MATCH(Subgroup_number,Calculations!DP:DP,0),10),IF(Subgroup_number=Calculations!EY$25,Calculations!EY$21,""))</f>
        <v>#VALUE!</v>
      </c>
      <c r="Q16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6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67" s="125"/>
      <c r="U167" s="123"/>
      <c r="W167" s="123"/>
      <c r="Y167" s="123"/>
      <c r="AA167" s="123"/>
    </row>
    <row r="168" spans="6:27">
      <c r="F168" s="48">
        <v>167</v>
      </c>
      <c r="G16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6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6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6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6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68" s="4" t="e">
        <f>IF(COUNTIF(Calculations!DP:DP,Subgroup_number)=1,INDEX(Calculations!DP:EU,MATCH(Subgroup_number,Calculations!DP:DP,0),5),IF(Subgroup_number=Calculations!EY$25,Calculations!EY$17,""))</f>
        <v>#VALUE!</v>
      </c>
      <c r="M168" s="26" t="e">
        <f>IF(COUNTIF(Calculations!DP:DP,Subgroup_number)=1,INDEX(Calculations!DP:EU,MATCH(Subgroup_number,Calculations!DP:DP,0),6),IF(Subgroup_number=Calculations!EY$25,Calculations!EY$18,""))</f>
        <v>#VALUE!</v>
      </c>
      <c r="N168" s="8" t="e">
        <f>IF(COUNTIF(Calculations!DP:DP,Subgroup_number)=1,INDEX(Calculations!DP:EU,MATCH(Subgroup_number,Calculations!DP:DP,0),7),IF(Subgroup_number=Calculations!EY$25,Calculations!EY$19,""))</f>
        <v>#VALUE!</v>
      </c>
      <c r="O168" s="4" t="e">
        <f>IF(COUNTIF(Calculations!DP:DP,Subgroup_number)=1,INDEX(Calculations!DP:EU,MATCH(Subgroup_number,Calculations!DP:DP,0),9),IF(Subgroup_number=Calculations!EY$25,Calculations!EY$20,""))</f>
        <v>#VALUE!</v>
      </c>
      <c r="P168" s="4" t="e">
        <f>IF(COUNTIF(Calculations!DP:DP,Subgroup_number)=1,INDEX(Calculations!DP:EU,MATCH(Subgroup_number,Calculations!DP:DP,0),10),IF(Subgroup_number=Calculations!EY$25,Calculations!EY$21,""))</f>
        <v>#VALUE!</v>
      </c>
      <c r="Q16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6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68" s="125"/>
      <c r="U168" s="123"/>
      <c r="W168" s="123"/>
      <c r="Y168" s="123"/>
      <c r="AA168" s="123"/>
    </row>
    <row r="169" spans="6:27">
      <c r="F169" s="48">
        <v>168</v>
      </c>
      <c r="G16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6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6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6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6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69" s="4" t="e">
        <f>IF(COUNTIF(Calculations!DP:DP,Subgroup_number)=1,INDEX(Calculations!DP:EU,MATCH(Subgroup_number,Calculations!DP:DP,0),5),IF(Subgroup_number=Calculations!EY$25,Calculations!EY$17,""))</f>
        <v>#VALUE!</v>
      </c>
      <c r="M169" s="26" t="e">
        <f>IF(COUNTIF(Calculations!DP:DP,Subgroup_number)=1,INDEX(Calculations!DP:EU,MATCH(Subgroup_number,Calculations!DP:DP,0),6),IF(Subgroup_number=Calculations!EY$25,Calculations!EY$18,""))</f>
        <v>#VALUE!</v>
      </c>
      <c r="N169" s="8" t="e">
        <f>IF(COUNTIF(Calculations!DP:DP,Subgroup_number)=1,INDEX(Calculations!DP:EU,MATCH(Subgroup_number,Calculations!DP:DP,0),7),IF(Subgroup_number=Calculations!EY$25,Calculations!EY$19,""))</f>
        <v>#VALUE!</v>
      </c>
      <c r="O169" s="4" t="e">
        <f>IF(COUNTIF(Calculations!DP:DP,Subgroup_number)=1,INDEX(Calculations!DP:EU,MATCH(Subgroup_number,Calculations!DP:DP,0),9),IF(Subgroup_number=Calculations!EY$25,Calculations!EY$20,""))</f>
        <v>#VALUE!</v>
      </c>
      <c r="P169" s="4" t="e">
        <f>IF(COUNTIF(Calculations!DP:DP,Subgroup_number)=1,INDEX(Calculations!DP:EU,MATCH(Subgroup_number,Calculations!DP:DP,0),10),IF(Subgroup_number=Calculations!EY$25,Calculations!EY$21,""))</f>
        <v>#VALUE!</v>
      </c>
      <c r="Q16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6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69" s="125"/>
      <c r="U169" s="123"/>
      <c r="W169" s="123"/>
      <c r="Y169" s="123"/>
      <c r="AA169" s="123"/>
    </row>
    <row r="170" spans="6:27">
      <c r="F170" s="48">
        <v>169</v>
      </c>
      <c r="G17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7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7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7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7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70" s="4" t="e">
        <f>IF(COUNTIF(Calculations!DP:DP,Subgroup_number)=1,INDEX(Calculations!DP:EU,MATCH(Subgroup_number,Calculations!DP:DP,0),5),IF(Subgroup_number=Calculations!EY$25,Calculations!EY$17,""))</f>
        <v>#VALUE!</v>
      </c>
      <c r="M170" s="26" t="e">
        <f>IF(COUNTIF(Calculations!DP:DP,Subgroup_number)=1,INDEX(Calculations!DP:EU,MATCH(Subgroup_number,Calculations!DP:DP,0),6),IF(Subgroup_number=Calculations!EY$25,Calculations!EY$18,""))</f>
        <v>#VALUE!</v>
      </c>
      <c r="N170" s="8" t="e">
        <f>IF(COUNTIF(Calculations!DP:DP,Subgroup_number)=1,INDEX(Calculations!DP:EU,MATCH(Subgroup_number,Calculations!DP:DP,0),7),IF(Subgroup_number=Calculations!EY$25,Calculations!EY$19,""))</f>
        <v>#VALUE!</v>
      </c>
      <c r="O170" s="4" t="e">
        <f>IF(COUNTIF(Calculations!DP:DP,Subgroup_number)=1,INDEX(Calculations!DP:EU,MATCH(Subgroup_number,Calculations!DP:DP,0),9),IF(Subgroup_number=Calculations!EY$25,Calculations!EY$20,""))</f>
        <v>#VALUE!</v>
      </c>
      <c r="P170" s="4" t="e">
        <f>IF(COUNTIF(Calculations!DP:DP,Subgroup_number)=1,INDEX(Calculations!DP:EU,MATCH(Subgroup_number,Calculations!DP:DP,0),10),IF(Subgroup_number=Calculations!EY$25,Calculations!EY$21,""))</f>
        <v>#VALUE!</v>
      </c>
      <c r="Q17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7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70" s="125"/>
      <c r="U170" s="123"/>
      <c r="W170" s="123"/>
      <c r="Y170" s="123"/>
      <c r="AA170" s="123"/>
    </row>
    <row r="171" spans="6:27">
      <c r="F171" s="48">
        <v>170</v>
      </c>
      <c r="G17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7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7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7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7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71" s="4" t="e">
        <f>IF(COUNTIF(Calculations!DP:DP,Subgroup_number)=1,INDEX(Calculations!DP:EU,MATCH(Subgroup_number,Calculations!DP:DP,0),5),IF(Subgroup_number=Calculations!EY$25,Calculations!EY$17,""))</f>
        <v>#VALUE!</v>
      </c>
      <c r="M171" s="26" t="e">
        <f>IF(COUNTIF(Calculations!DP:DP,Subgroup_number)=1,INDEX(Calculations!DP:EU,MATCH(Subgroup_number,Calculations!DP:DP,0),6),IF(Subgroup_number=Calculations!EY$25,Calculations!EY$18,""))</f>
        <v>#VALUE!</v>
      </c>
      <c r="N171" s="8" t="e">
        <f>IF(COUNTIF(Calculations!DP:DP,Subgroup_number)=1,INDEX(Calculations!DP:EU,MATCH(Subgroup_number,Calculations!DP:DP,0),7),IF(Subgroup_number=Calculations!EY$25,Calculations!EY$19,""))</f>
        <v>#VALUE!</v>
      </c>
      <c r="O171" s="4" t="e">
        <f>IF(COUNTIF(Calculations!DP:DP,Subgroup_number)=1,INDEX(Calculations!DP:EU,MATCH(Subgroup_number,Calculations!DP:DP,0),9),IF(Subgroup_number=Calculations!EY$25,Calculations!EY$20,""))</f>
        <v>#VALUE!</v>
      </c>
      <c r="P171" s="4" t="e">
        <f>IF(COUNTIF(Calculations!DP:DP,Subgroup_number)=1,INDEX(Calculations!DP:EU,MATCH(Subgroup_number,Calculations!DP:DP,0),10),IF(Subgroup_number=Calculations!EY$25,Calculations!EY$21,""))</f>
        <v>#VALUE!</v>
      </c>
      <c r="Q17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7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71" s="125"/>
      <c r="U171" s="123"/>
      <c r="W171" s="123"/>
      <c r="Y171" s="123"/>
      <c r="AA171" s="123"/>
    </row>
    <row r="172" spans="6:27">
      <c r="F172" s="48">
        <v>171</v>
      </c>
      <c r="G17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7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7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7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7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72" s="4" t="e">
        <f>IF(COUNTIF(Calculations!DP:DP,Subgroup_number)=1,INDEX(Calculations!DP:EU,MATCH(Subgroup_number,Calculations!DP:DP,0),5),IF(Subgroup_number=Calculations!EY$25,Calculations!EY$17,""))</f>
        <v>#VALUE!</v>
      </c>
      <c r="M172" s="26" t="e">
        <f>IF(COUNTIF(Calculations!DP:DP,Subgroup_number)=1,INDEX(Calculations!DP:EU,MATCH(Subgroup_number,Calculations!DP:DP,0),6),IF(Subgroup_number=Calculations!EY$25,Calculations!EY$18,""))</f>
        <v>#VALUE!</v>
      </c>
      <c r="N172" s="8" t="e">
        <f>IF(COUNTIF(Calculations!DP:DP,Subgroup_number)=1,INDEX(Calculations!DP:EU,MATCH(Subgroup_number,Calculations!DP:DP,0),7),IF(Subgroup_number=Calculations!EY$25,Calculations!EY$19,""))</f>
        <v>#VALUE!</v>
      </c>
      <c r="O172" s="4" t="e">
        <f>IF(COUNTIF(Calculations!DP:DP,Subgroup_number)=1,INDEX(Calculations!DP:EU,MATCH(Subgroup_number,Calculations!DP:DP,0),9),IF(Subgroup_number=Calculations!EY$25,Calculations!EY$20,""))</f>
        <v>#VALUE!</v>
      </c>
      <c r="P172" s="4" t="e">
        <f>IF(COUNTIF(Calculations!DP:DP,Subgroup_number)=1,INDEX(Calculations!DP:EU,MATCH(Subgroup_number,Calculations!DP:DP,0),10),IF(Subgroup_number=Calculations!EY$25,Calculations!EY$21,""))</f>
        <v>#VALUE!</v>
      </c>
      <c r="Q17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7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72" s="125"/>
      <c r="U172" s="123"/>
      <c r="W172" s="123"/>
      <c r="Y172" s="123"/>
      <c r="AA172" s="123"/>
    </row>
    <row r="173" spans="6:27">
      <c r="F173" s="48">
        <v>172</v>
      </c>
      <c r="G17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7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7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7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7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73" s="4" t="e">
        <f>IF(COUNTIF(Calculations!DP:DP,Subgroup_number)=1,INDEX(Calculations!DP:EU,MATCH(Subgroup_number,Calculations!DP:DP,0),5),IF(Subgroup_number=Calculations!EY$25,Calculations!EY$17,""))</f>
        <v>#VALUE!</v>
      </c>
      <c r="M173" s="26" t="e">
        <f>IF(COUNTIF(Calculations!DP:DP,Subgroup_number)=1,INDEX(Calculations!DP:EU,MATCH(Subgroup_number,Calculations!DP:DP,0),6),IF(Subgroup_number=Calculations!EY$25,Calculations!EY$18,""))</f>
        <v>#VALUE!</v>
      </c>
      <c r="N173" s="8" t="e">
        <f>IF(COUNTIF(Calculations!DP:DP,Subgroup_number)=1,INDEX(Calculations!DP:EU,MATCH(Subgroup_number,Calculations!DP:DP,0),7),IF(Subgroup_number=Calculations!EY$25,Calculations!EY$19,""))</f>
        <v>#VALUE!</v>
      </c>
      <c r="O173" s="4" t="e">
        <f>IF(COUNTIF(Calculations!DP:DP,Subgroup_number)=1,INDEX(Calculations!DP:EU,MATCH(Subgroup_number,Calculations!DP:DP,0),9),IF(Subgroup_number=Calculations!EY$25,Calculations!EY$20,""))</f>
        <v>#VALUE!</v>
      </c>
      <c r="P173" s="4" t="e">
        <f>IF(COUNTIF(Calculations!DP:DP,Subgroup_number)=1,INDEX(Calculations!DP:EU,MATCH(Subgroup_number,Calculations!DP:DP,0),10),IF(Subgroup_number=Calculations!EY$25,Calculations!EY$21,""))</f>
        <v>#VALUE!</v>
      </c>
      <c r="Q17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7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73" s="125"/>
      <c r="U173" s="123"/>
      <c r="W173" s="123"/>
      <c r="Y173" s="123"/>
      <c r="AA173" s="123"/>
    </row>
    <row r="174" spans="6:27">
      <c r="F174" s="48">
        <v>173</v>
      </c>
      <c r="G17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7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7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7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7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74" s="4" t="e">
        <f>IF(COUNTIF(Calculations!DP:DP,Subgroup_number)=1,INDEX(Calculations!DP:EU,MATCH(Subgroup_number,Calculations!DP:DP,0),5),IF(Subgroup_number=Calculations!EY$25,Calculations!EY$17,""))</f>
        <v>#VALUE!</v>
      </c>
      <c r="M174" s="26" t="e">
        <f>IF(COUNTIF(Calculations!DP:DP,Subgroup_number)=1,INDEX(Calculations!DP:EU,MATCH(Subgroup_number,Calculations!DP:DP,0),6),IF(Subgroup_number=Calculations!EY$25,Calculations!EY$18,""))</f>
        <v>#VALUE!</v>
      </c>
      <c r="N174" s="8" t="e">
        <f>IF(COUNTIF(Calculations!DP:DP,Subgroup_number)=1,INDEX(Calculations!DP:EU,MATCH(Subgroup_number,Calculations!DP:DP,0),7),IF(Subgroup_number=Calculations!EY$25,Calculations!EY$19,""))</f>
        <v>#VALUE!</v>
      </c>
      <c r="O174" s="4" t="e">
        <f>IF(COUNTIF(Calculations!DP:DP,Subgroup_number)=1,INDEX(Calculations!DP:EU,MATCH(Subgroup_number,Calculations!DP:DP,0),9),IF(Subgroup_number=Calculations!EY$25,Calculations!EY$20,""))</f>
        <v>#VALUE!</v>
      </c>
      <c r="P174" s="4" t="e">
        <f>IF(COUNTIF(Calculations!DP:DP,Subgroup_number)=1,INDEX(Calculations!DP:EU,MATCH(Subgroup_number,Calculations!DP:DP,0),10),IF(Subgroup_number=Calculations!EY$25,Calculations!EY$21,""))</f>
        <v>#VALUE!</v>
      </c>
      <c r="Q17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7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74" s="125"/>
      <c r="U174" s="123"/>
      <c r="W174" s="123"/>
      <c r="Y174" s="123"/>
      <c r="AA174" s="123"/>
    </row>
    <row r="175" spans="6:27">
      <c r="F175" s="48">
        <v>174</v>
      </c>
      <c r="G17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7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7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7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7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75" s="4" t="e">
        <f>IF(COUNTIF(Calculations!DP:DP,Subgroup_number)=1,INDEX(Calculations!DP:EU,MATCH(Subgroup_number,Calculations!DP:DP,0),5),IF(Subgroup_number=Calculations!EY$25,Calculations!EY$17,""))</f>
        <v>#VALUE!</v>
      </c>
      <c r="M175" s="26" t="e">
        <f>IF(COUNTIF(Calculations!DP:DP,Subgroup_number)=1,INDEX(Calculations!DP:EU,MATCH(Subgroup_number,Calculations!DP:DP,0),6),IF(Subgroup_number=Calculations!EY$25,Calculations!EY$18,""))</f>
        <v>#VALUE!</v>
      </c>
      <c r="N175" s="8" t="e">
        <f>IF(COUNTIF(Calculations!DP:DP,Subgroup_number)=1,INDEX(Calculations!DP:EU,MATCH(Subgroup_number,Calculations!DP:DP,0),7),IF(Subgroup_number=Calculations!EY$25,Calculations!EY$19,""))</f>
        <v>#VALUE!</v>
      </c>
      <c r="O175" s="4" t="e">
        <f>IF(COUNTIF(Calculations!DP:DP,Subgroup_number)=1,INDEX(Calculations!DP:EU,MATCH(Subgroup_number,Calculations!DP:DP,0),9),IF(Subgroup_number=Calculations!EY$25,Calculations!EY$20,""))</f>
        <v>#VALUE!</v>
      </c>
      <c r="P175" s="4" t="e">
        <f>IF(COUNTIF(Calculations!DP:DP,Subgroup_number)=1,INDEX(Calculations!DP:EU,MATCH(Subgroup_number,Calculations!DP:DP,0),10),IF(Subgroup_number=Calculations!EY$25,Calculations!EY$21,""))</f>
        <v>#VALUE!</v>
      </c>
      <c r="Q17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7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75" s="125"/>
      <c r="U175" s="123"/>
      <c r="W175" s="123"/>
      <c r="Y175" s="123"/>
      <c r="AA175" s="123"/>
    </row>
    <row r="176" spans="6:27">
      <c r="F176" s="48">
        <v>175</v>
      </c>
      <c r="G17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7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7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7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7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76" s="4" t="e">
        <f>IF(COUNTIF(Calculations!DP:DP,Subgroup_number)=1,INDEX(Calculations!DP:EU,MATCH(Subgroup_number,Calculations!DP:DP,0),5),IF(Subgroup_number=Calculations!EY$25,Calculations!EY$17,""))</f>
        <v>#VALUE!</v>
      </c>
      <c r="M176" s="26" t="e">
        <f>IF(COUNTIF(Calculations!DP:DP,Subgroup_number)=1,INDEX(Calculations!DP:EU,MATCH(Subgroup_number,Calculations!DP:DP,0),6),IF(Subgroup_number=Calculations!EY$25,Calculations!EY$18,""))</f>
        <v>#VALUE!</v>
      </c>
      <c r="N176" s="8" t="e">
        <f>IF(COUNTIF(Calculations!DP:DP,Subgroup_number)=1,INDEX(Calculations!DP:EU,MATCH(Subgroup_number,Calculations!DP:DP,0),7),IF(Subgroup_number=Calculations!EY$25,Calculations!EY$19,""))</f>
        <v>#VALUE!</v>
      </c>
      <c r="O176" s="4" t="e">
        <f>IF(COUNTIF(Calculations!DP:DP,Subgroup_number)=1,INDEX(Calculations!DP:EU,MATCH(Subgroup_number,Calculations!DP:DP,0),9),IF(Subgroup_number=Calculations!EY$25,Calculations!EY$20,""))</f>
        <v>#VALUE!</v>
      </c>
      <c r="P176" s="4" t="e">
        <f>IF(COUNTIF(Calculations!DP:DP,Subgroup_number)=1,INDEX(Calculations!DP:EU,MATCH(Subgroup_number,Calculations!DP:DP,0),10),IF(Subgroup_number=Calculations!EY$25,Calculations!EY$21,""))</f>
        <v>#VALUE!</v>
      </c>
      <c r="Q17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7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76" s="125"/>
      <c r="U176" s="123"/>
      <c r="W176" s="123"/>
      <c r="Y176" s="123"/>
      <c r="AA176" s="123"/>
    </row>
    <row r="177" spans="6:27">
      <c r="F177" s="48">
        <v>176</v>
      </c>
      <c r="G17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7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7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7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7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77" s="4" t="e">
        <f>IF(COUNTIF(Calculations!DP:DP,Subgroup_number)=1,INDEX(Calculations!DP:EU,MATCH(Subgroup_number,Calculations!DP:DP,0),5),IF(Subgroup_number=Calculations!EY$25,Calculations!EY$17,""))</f>
        <v>#VALUE!</v>
      </c>
      <c r="M177" s="26" t="e">
        <f>IF(COUNTIF(Calculations!DP:DP,Subgroup_number)=1,INDEX(Calculations!DP:EU,MATCH(Subgroup_number,Calculations!DP:DP,0),6),IF(Subgroup_number=Calculations!EY$25,Calculations!EY$18,""))</f>
        <v>#VALUE!</v>
      </c>
      <c r="N177" s="8" t="e">
        <f>IF(COUNTIF(Calculations!DP:DP,Subgroup_number)=1,INDEX(Calculations!DP:EU,MATCH(Subgroup_number,Calculations!DP:DP,0),7),IF(Subgroup_number=Calculations!EY$25,Calculations!EY$19,""))</f>
        <v>#VALUE!</v>
      </c>
      <c r="O177" s="4" t="e">
        <f>IF(COUNTIF(Calculations!DP:DP,Subgroup_number)=1,INDEX(Calculations!DP:EU,MATCH(Subgroup_number,Calculations!DP:DP,0),9),IF(Subgroup_number=Calculations!EY$25,Calculations!EY$20,""))</f>
        <v>#VALUE!</v>
      </c>
      <c r="P177" s="4" t="e">
        <f>IF(COUNTIF(Calculations!DP:DP,Subgroup_number)=1,INDEX(Calculations!DP:EU,MATCH(Subgroup_number,Calculations!DP:DP,0),10),IF(Subgroup_number=Calculations!EY$25,Calculations!EY$21,""))</f>
        <v>#VALUE!</v>
      </c>
      <c r="Q17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7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77" s="125"/>
      <c r="U177" s="123"/>
      <c r="W177" s="123"/>
      <c r="Y177" s="123"/>
      <c r="AA177" s="123"/>
    </row>
    <row r="178" spans="6:27">
      <c r="F178" s="48">
        <v>177</v>
      </c>
      <c r="G17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7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7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7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7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78" s="4" t="e">
        <f>IF(COUNTIF(Calculations!DP:DP,Subgroup_number)=1,INDEX(Calculations!DP:EU,MATCH(Subgroup_number,Calculations!DP:DP,0),5),IF(Subgroup_number=Calculations!EY$25,Calculations!EY$17,""))</f>
        <v>#VALUE!</v>
      </c>
      <c r="M178" s="26" t="e">
        <f>IF(COUNTIF(Calculations!DP:DP,Subgroup_number)=1,INDEX(Calculations!DP:EU,MATCH(Subgroup_number,Calculations!DP:DP,0),6),IF(Subgroup_number=Calculations!EY$25,Calculations!EY$18,""))</f>
        <v>#VALUE!</v>
      </c>
      <c r="N178" s="8" t="e">
        <f>IF(COUNTIF(Calculations!DP:DP,Subgroup_number)=1,INDEX(Calculations!DP:EU,MATCH(Subgroup_number,Calculations!DP:DP,0),7),IF(Subgroup_number=Calculations!EY$25,Calculations!EY$19,""))</f>
        <v>#VALUE!</v>
      </c>
      <c r="O178" s="4" t="e">
        <f>IF(COUNTIF(Calculations!DP:DP,Subgroup_number)=1,INDEX(Calculations!DP:EU,MATCH(Subgroup_number,Calculations!DP:DP,0),9),IF(Subgroup_number=Calculations!EY$25,Calculations!EY$20,""))</f>
        <v>#VALUE!</v>
      </c>
      <c r="P178" s="4" t="e">
        <f>IF(COUNTIF(Calculations!DP:DP,Subgroup_number)=1,INDEX(Calculations!DP:EU,MATCH(Subgroup_number,Calculations!DP:DP,0),10),IF(Subgroup_number=Calculations!EY$25,Calculations!EY$21,""))</f>
        <v>#VALUE!</v>
      </c>
      <c r="Q17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7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78" s="125"/>
      <c r="U178" s="123"/>
      <c r="W178" s="123"/>
      <c r="Y178" s="123"/>
      <c r="AA178" s="123"/>
    </row>
    <row r="179" spans="6:27">
      <c r="F179" s="48">
        <v>178</v>
      </c>
      <c r="G17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7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7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7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7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79" s="4" t="e">
        <f>IF(COUNTIF(Calculations!DP:DP,Subgroup_number)=1,INDEX(Calculations!DP:EU,MATCH(Subgroup_number,Calculations!DP:DP,0),5),IF(Subgroup_number=Calculations!EY$25,Calculations!EY$17,""))</f>
        <v>#VALUE!</v>
      </c>
      <c r="M179" s="26" t="e">
        <f>IF(COUNTIF(Calculations!DP:DP,Subgroup_number)=1,INDEX(Calculations!DP:EU,MATCH(Subgroup_number,Calculations!DP:DP,0),6),IF(Subgroup_number=Calculations!EY$25,Calculations!EY$18,""))</f>
        <v>#VALUE!</v>
      </c>
      <c r="N179" s="8" t="e">
        <f>IF(COUNTIF(Calculations!DP:DP,Subgroup_number)=1,INDEX(Calculations!DP:EU,MATCH(Subgroup_number,Calculations!DP:DP,0),7),IF(Subgroup_number=Calculations!EY$25,Calculations!EY$19,""))</f>
        <v>#VALUE!</v>
      </c>
      <c r="O179" s="4" t="e">
        <f>IF(COUNTIF(Calculations!DP:DP,Subgroup_number)=1,INDEX(Calculations!DP:EU,MATCH(Subgroup_number,Calculations!DP:DP,0),9),IF(Subgroup_number=Calculations!EY$25,Calculations!EY$20,""))</f>
        <v>#VALUE!</v>
      </c>
      <c r="P179" s="4" t="e">
        <f>IF(COUNTIF(Calculations!DP:DP,Subgroup_number)=1,INDEX(Calculations!DP:EU,MATCH(Subgroup_number,Calculations!DP:DP,0),10),IF(Subgroup_number=Calculations!EY$25,Calculations!EY$21,""))</f>
        <v>#VALUE!</v>
      </c>
      <c r="Q17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7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79" s="125"/>
      <c r="U179" s="123"/>
      <c r="W179" s="123"/>
      <c r="Y179" s="123"/>
      <c r="AA179" s="123"/>
    </row>
    <row r="180" spans="6:27">
      <c r="F180" s="48">
        <v>179</v>
      </c>
      <c r="G18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8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8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8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8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80" s="4" t="e">
        <f>IF(COUNTIF(Calculations!DP:DP,Subgroup_number)=1,INDEX(Calculations!DP:EU,MATCH(Subgroup_number,Calculations!DP:DP,0),5),IF(Subgroup_number=Calculations!EY$25,Calculations!EY$17,""))</f>
        <v>#VALUE!</v>
      </c>
      <c r="M180" s="26" t="e">
        <f>IF(COUNTIF(Calculations!DP:DP,Subgroup_number)=1,INDEX(Calculations!DP:EU,MATCH(Subgroup_number,Calculations!DP:DP,0),6),IF(Subgroup_number=Calculations!EY$25,Calculations!EY$18,""))</f>
        <v>#VALUE!</v>
      </c>
      <c r="N180" s="8" t="e">
        <f>IF(COUNTIF(Calculations!DP:DP,Subgroup_number)=1,INDEX(Calculations!DP:EU,MATCH(Subgroup_number,Calculations!DP:DP,0),7),IF(Subgroup_number=Calculations!EY$25,Calculations!EY$19,""))</f>
        <v>#VALUE!</v>
      </c>
      <c r="O180" s="4" t="e">
        <f>IF(COUNTIF(Calculations!DP:DP,Subgroup_number)=1,INDEX(Calculations!DP:EU,MATCH(Subgroup_number,Calculations!DP:DP,0),9),IF(Subgroup_number=Calculations!EY$25,Calculations!EY$20,""))</f>
        <v>#VALUE!</v>
      </c>
      <c r="P180" s="4" t="e">
        <f>IF(COUNTIF(Calculations!DP:DP,Subgroup_number)=1,INDEX(Calculations!DP:EU,MATCH(Subgroup_number,Calculations!DP:DP,0),10),IF(Subgroup_number=Calculations!EY$25,Calculations!EY$21,""))</f>
        <v>#VALUE!</v>
      </c>
      <c r="Q18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8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80" s="125"/>
      <c r="U180" s="123"/>
      <c r="W180" s="123"/>
      <c r="Y180" s="123"/>
      <c r="AA180" s="123"/>
    </row>
    <row r="181" spans="6:27">
      <c r="F181" s="48">
        <v>180</v>
      </c>
      <c r="G18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8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8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8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8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81" s="4" t="e">
        <f>IF(COUNTIF(Calculations!DP:DP,Subgroup_number)=1,INDEX(Calculations!DP:EU,MATCH(Subgroup_number,Calculations!DP:DP,0),5),IF(Subgroup_number=Calculations!EY$25,Calculations!EY$17,""))</f>
        <v>#VALUE!</v>
      </c>
      <c r="M181" s="26" t="e">
        <f>IF(COUNTIF(Calculations!DP:DP,Subgroup_number)=1,INDEX(Calculations!DP:EU,MATCH(Subgroup_number,Calculations!DP:DP,0),6),IF(Subgroup_number=Calculations!EY$25,Calculations!EY$18,""))</f>
        <v>#VALUE!</v>
      </c>
      <c r="N181" s="8" t="e">
        <f>IF(COUNTIF(Calculations!DP:DP,Subgroup_number)=1,INDEX(Calculations!DP:EU,MATCH(Subgroup_number,Calculations!DP:DP,0),7),IF(Subgroup_number=Calculations!EY$25,Calculations!EY$19,""))</f>
        <v>#VALUE!</v>
      </c>
      <c r="O181" s="4" t="e">
        <f>IF(COUNTIF(Calculations!DP:DP,Subgroup_number)=1,INDEX(Calculations!DP:EU,MATCH(Subgroup_number,Calculations!DP:DP,0),9),IF(Subgroup_number=Calculations!EY$25,Calculations!EY$20,""))</f>
        <v>#VALUE!</v>
      </c>
      <c r="P181" s="4" t="e">
        <f>IF(COUNTIF(Calculations!DP:DP,Subgroup_number)=1,INDEX(Calculations!DP:EU,MATCH(Subgroup_number,Calculations!DP:DP,0),10),IF(Subgroup_number=Calculations!EY$25,Calculations!EY$21,""))</f>
        <v>#VALUE!</v>
      </c>
      <c r="Q18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8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81" s="125"/>
      <c r="U181" s="123"/>
      <c r="W181" s="123"/>
      <c r="Y181" s="123"/>
      <c r="AA181" s="123"/>
    </row>
    <row r="182" spans="6:27">
      <c r="F182" s="48">
        <v>181</v>
      </c>
      <c r="G18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8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8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8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8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82" s="4" t="e">
        <f>IF(COUNTIF(Calculations!DP:DP,Subgroup_number)=1,INDEX(Calculations!DP:EU,MATCH(Subgroup_number,Calculations!DP:DP,0),5),IF(Subgroup_number=Calculations!EY$25,Calculations!EY$17,""))</f>
        <v>#VALUE!</v>
      </c>
      <c r="M182" s="26" t="e">
        <f>IF(COUNTIF(Calculations!DP:DP,Subgroup_number)=1,INDEX(Calculations!DP:EU,MATCH(Subgroup_number,Calculations!DP:DP,0),6),IF(Subgroup_number=Calculations!EY$25,Calculations!EY$18,""))</f>
        <v>#VALUE!</v>
      </c>
      <c r="N182" s="8" t="e">
        <f>IF(COUNTIF(Calculations!DP:DP,Subgroup_number)=1,INDEX(Calculations!DP:EU,MATCH(Subgroup_number,Calculations!DP:DP,0),7),IF(Subgroup_number=Calculations!EY$25,Calculations!EY$19,""))</f>
        <v>#VALUE!</v>
      </c>
      <c r="O182" s="4" t="e">
        <f>IF(COUNTIF(Calculations!DP:DP,Subgroup_number)=1,INDEX(Calculations!DP:EU,MATCH(Subgroup_number,Calculations!DP:DP,0),9),IF(Subgroup_number=Calculations!EY$25,Calculations!EY$20,""))</f>
        <v>#VALUE!</v>
      </c>
      <c r="P182" s="4" t="e">
        <f>IF(COUNTIF(Calculations!DP:DP,Subgroup_number)=1,INDEX(Calculations!DP:EU,MATCH(Subgroup_number,Calculations!DP:DP,0),10),IF(Subgroup_number=Calculations!EY$25,Calculations!EY$21,""))</f>
        <v>#VALUE!</v>
      </c>
      <c r="Q18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8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82" s="125"/>
      <c r="U182" s="123"/>
      <c r="W182" s="123"/>
      <c r="Y182" s="123"/>
      <c r="AA182" s="123"/>
    </row>
    <row r="183" spans="6:27">
      <c r="F183" s="48">
        <v>182</v>
      </c>
      <c r="G18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8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8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8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8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83" s="4" t="e">
        <f>IF(COUNTIF(Calculations!DP:DP,Subgroup_number)=1,INDEX(Calculations!DP:EU,MATCH(Subgroup_number,Calculations!DP:DP,0),5),IF(Subgroup_number=Calculations!EY$25,Calculations!EY$17,""))</f>
        <v>#VALUE!</v>
      </c>
      <c r="M183" s="26" t="e">
        <f>IF(COUNTIF(Calculations!DP:DP,Subgroup_number)=1,INDEX(Calculations!DP:EU,MATCH(Subgroup_number,Calculations!DP:DP,0),6),IF(Subgroup_number=Calculations!EY$25,Calculations!EY$18,""))</f>
        <v>#VALUE!</v>
      </c>
      <c r="N183" s="8" t="e">
        <f>IF(COUNTIF(Calculations!DP:DP,Subgroup_number)=1,INDEX(Calculations!DP:EU,MATCH(Subgroup_number,Calculations!DP:DP,0),7),IF(Subgroup_number=Calculations!EY$25,Calculations!EY$19,""))</f>
        <v>#VALUE!</v>
      </c>
      <c r="O183" s="4" t="e">
        <f>IF(COUNTIF(Calculations!DP:DP,Subgroup_number)=1,INDEX(Calculations!DP:EU,MATCH(Subgroup_number,Calculations!DP:DP,0),9),IF(Subgroup_number=Calculations!EY$25,Calculations!EY$20,""))</f>
        <v>#VALUE!</v>
      </c>
      <c r="P183" s="4" t="e">
        <f>IF(COUNTIF(Calculations!DP:DP,Subgroup_number)=1,INDEX(Calculations!DP:EU,MATCH(Subgroup_number,Calculations!DP:DP,0),10),IF(Subgroup_number=Calculations!EY$25,Calculations!EY$21,""))</f>
        <v>#VALUE!</v>
      </c>
      <c r="Q18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8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83" s="125"/>
      <c r="U183" s="123"/>
      <c r="W183" s="123"/>
      <c r="Y183" s="123"/>
      <c r="AA183" s="123"/>
    </row>
    <row r="184" spans="6:27">
      <c r="F184" s="48">
        <v>183</v>
      </c>
      <c r="G18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8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8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8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8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84" s="4" t="e">
        <f>IF(COUNTIF(Calculations!DP:DP,Subgroup_number)=1,INDEX(Calculations!DP:EU,MATCH(Subgroup_number,Calculations!DP:DP,0),5),IF(Subgroup_number=Calculations!EY$25,Calculations!EY$17,""))</f>
        <v>#VALUE!</v>
      </c>
      <c r="M184" s="26" t="e">
        <f>IF(COUNTIF(Calculations!DP:DP,Subgroup_number)=1,INDEX(Calculations!DP:EU,MATCH(Subgroup_number,Calculations!DP:DP,0),6),IF(Subgroup_number=Calculations!EY$25,Calculations!EY$18,""))</f>
        <v>#VALUE!</v>
      </c>
      <c r="N184" s="8" t="e">
        <f>IF(COUNTIF(Calculations!DP:DP,Subgroup_number)=1,INDEX(Calculations!DP:EU,MATCH(Subgroup_number,Calculations!DP:DP,0),7),IF(Subgroup_number=Calculations!EY$25,Calculations!EY$19,""))</f>
        <v>#VALUE!</v>
      </c>
      <c r="O184" s="4" t="e">
        <f>IF(COUNTIF(Calculations!DP:DP,Subgroup_number)=1,INDEX(Calculations!DP:EU,MATCH(Subgroup_number,Calculations!DP:DP,0),9),IF(Subgroup_number=Calculations!EY$25,Calculations!EY$20,""))</f>
        <v>#VALUE!</v>
      </c>
      <c r="P184" s="4" t="e">
        <f>IF(COUNTIF(Calculations!DP:DP,Subgroup_number)=1,INDEX(Calculations!DP:EU,MATCH(Subgroup_number,Calculations!DP:DP,0),10),IF(Subgroup_number=Calculations!EY$25,Calculations!EY$21,""))</f>
        <v>#VALUE!</v>
      </c>
      <c r="Q18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8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84" s="125"/>
      <c r="U184" s="123"/>
      <c r="W184" s="123"/>
      <c r="Y184" s="123"/>
      <c r="AA184" s="123"/>
    </row>
    <row r="185" spans="6:27">
      <c r="F185" s="48">
        <v>184</v>
      </c>
      <c r="G18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8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8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8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8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85" s="4" t="e">
        <f>IF(COUNTIF(Calculations!DP:DP,Subgroup_number)=1,INDEX(Calculations!DP:EU,MATCH(Subgroup_number,Calculations!DP:DP,0),5),IF(Subgroup_number=Calculations!EY$25,Calculations!EY$17,""))</f>
        <v>#VALUE!</v>
      </c>
      <c r="M185" s="26" t="e">
        <f>IF(COUNTIF(Calculations!DP:DP,Subgroup_number)=1,INDEX(Calculations!DP:EU,MATCH(Subgroup_number,Calculations!DP:DP,0),6),IF(Subgroup_number=Calculations!EY$25,Calculations!EY$18,""))</f>
        <v>#VALUE!</v>
      </c>
      <c r="N185" s="8" t="e">
        <f>IF(COUNTIF(Calculations!DP:DP,Subgroup_number)=1,INDEX(Calculations!DP:EU,MATCH(Subgroup_number,Calculations!DP:DP,0),7),IF(Subgroup_number=Calculations!EY$25,Calculations!EY$19,""))</f>
        <v>#VALUE!</v>
      </c>
      <c r="O185" s="4" t="e">
        <f>IF(COUNTIF(Calculations!DP:DP,Subgroup_number)=1,INDEX(Calculations!DP:EU,MATCH(Subgroup_number,Calculations!DP:DP,0),9),IF(Subgroup_number=Calculations!EY$25,Calculations!EY$20,""))</f>
        <v>#VALUE!</v>
      </c>
      <c r="P185" s="4" t="e">
        <f>IF(COUNTIF(Calculations!DP:DP,Subgroup_number)=1,INDEX(Calculations!DP:EU,MATCH(Subgroup_number,Calculations!DP:DP,0),10),IF(Subgroup_number=Calculations!EY$25,Calculations!EY$21,""))</f>
        <v>#VALUE!</v>
      </c>
      <c r="Q18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8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85" s="125"/>
      <c r="U185" s="123"/>
      <c r="W185" s="123"/>
      <c r="Y185" s="123"/>
      <c r="AA185" s="123"/>
    </row>
    <row r="186" spans="6:27">
      <c r="F186" s="48">
        <v>185</v>
      </c>
      <c r="G18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8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8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8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8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86" s="4" t="e">
        <f>IF(COUNTIF(Calculations!DP:DP,Subgroup_number)=1,INDEX(Calculations!DP:EU,MATCH(Subgroup_number,Calculations!DP:DP,0),5),IF(Subgroup_number=Calculations!EY$25,Calculations!EY$17,""))</f>
        <v>#VALUE!</v>
      </c>
      <c r="M186" s="26" t="e">
        <f>IF(COUNTIF(Calculations!DP:DP,Subgroup_number)=1,INDEX(Calculations!DP:EU,MATCH(Subgroup_number,Calculations!DP:DP,0),6),IF(Subgroup_number=Calculations!EY$25,Calculations!EY$18,""))</f>
        <v>#VALUE!</v>
      </c>
      <c r="N186" s="8" t="e">
        <f>IF(COUNTIF(Calculations!DP:DP,Subgroup_number)=1,INDEX(Calculations!DP:EU,MATCH(Subgroup_number,Calculations!DP:DP,0),7),IF(Subgroup_number=Calculations!EY$25,Calculations!EY$19,""))</f>
        <v>#VALUE!</v>
      </c>
      <c r="O186" s="4" t="e">
        <f>IF(COUNTIF(Calculations!DP:DP,Subgroup_number)=1,INDEX(Calculations!DP:EU,MATCH(Subgroup_number,Calculations!DP:DP,0),9),IF(Subgroup_number=Calculations!EY$25,Calculations!EY$20,""))</f>
        <v>#VALUE!</v>
      </c>
      <c r="P186" s="4" t="e">
        <f>IF(COUNTIF(Calculations!DP:DP,Subgroup_number)=1,INDEX(Calculations!DP:EU,MATCH(Subgroup_number,Calculations!DP:DP,0),10),IF(Subgroup_number=Calculations!EY$25,Calculations!EY$21,""))</f>
        <v>#VALUE!</v>
      </c>
      <c r="Q18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8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86" s="125"/>
      <c r="U186" s="123"/>
      <c r="W186" s="123"/>
      <c r="Y186" s="123"/>
      <c r="AA186" s="123"/>
    </row>
    <row r="187" spans="6:27">
      <c r="F187" s="48">
        <v>186</v>
      </c>
      <c r="G18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8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8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8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8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87" s="4" t="e">
        <f>IF(COUNTIF(Calculations!DP:DP,Subgroup_number)=1,INDEX(Calculations!DP:EU,MATCH(Subgroup_number,Calculations!DP:DP,0),5),IF(Subgroup_number=Calculations!EY$25,Calculations!EY$17,""))</f>
        <v>#VALUE!</v>
      </c>
      <c r="M187" s="26" t="e">
        <f>IF(COUNTIF(Calculations!DP:DP,Subgroup_number)=1,INDEX(Calculations!DP:EU,MATCH(Subgroup_number,Calculations!DP:DP,0),6),IF(Subgroup_number=Calculations!EY$25,Calculations!EY$18,""))</f>
        <v>#VALUE!</v>
      </c>
      <c r="N187" s="8" t="e">
        <f>IF(COUNTIF(Calculations!DP:DP,Subgroup_number)=1,INDEX(Calculations!DP:EU,MATCH(Subgroup_number,Calculations!DP:DP,0),7),IF(Subgroup_number=Calculations!EY$25,Calculations!EY$19,""))</f>
        <v>#VALUE!</v>
      </c>
      <c r="O187" s="4" t="e">
        <f>IF(COUNTIF(Calculations!DP:DP,Subgroup_number)=1,INDEX(Calculations!DP:EU,MATCH(Subgroup_number,Calculations!DP:DP,0),9),IF(Subgroup_number=Calculations!EY$25,Calculations!EY$20,""))</f>
        <v>#VALUE!</v>
      </c>
      <c r="P187" s="4" t="e">
        <f>IF(COUNTIF(Calculations!DP:DP,Subgroup_number)=1,INDEX(Calculations!DP:EU,MATCH(Subgroup_number,Calculations!DP:DP,0),10),IF(Subgroup_number=Calculations!EY$25,Calculations!EY$21,""))</f>
        <v>#VALUE!</v>
      </c>
      <c r="Q18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8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87" s="125"/>
      <c r="U187" s="123"/>
      <c r="W187" s="123"/>
      <c r="Y187" s="123"/>
      <c r="AA187" s="123"/>
    </row>
    <row r="188" spans="6:27">
      <c r="F188" s="48">
        <v>187</v>
      </c>
      <c r="G18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8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8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8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8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88" s="4" t="e">
        <f>IF(COUNTIF(Calculations!DP:DP,Subgroup_number)=1,INDEX(Calculations!DP:EU,MATCH(Subgroup_number,Calculations!DP:DP,0),5),IF(Subgroup_number=Calculations!EY$25,Calculations!EY$17,""))</f>
        <v>#VALUE!</v>
      </c>
      <c r="M188" s="26" t="e">
        <f>IF(COUNTIF(Calculations!DP:DP,Subgroup_number)=1,INDEX(Calculations!DP:EU,MATCH(Subgroup_number,Calculations!DP:DP,0),6),IF(Subgroup_number=Calculations!EY$25,Calculations!EY$18,""))</f>
        <v>#VALUE!</v>
      </c>
      <c r="N188" s="8" t="e">
        <f>IF(COUNTIF(Calculations!DP:DP,Subgroup_number)=1,INDEX(Calculations!DP:EU,MATCH(Subgroup_number,Calculations!DP:DP,0),7),IF(Subgroup_number=Calculations!EY$25,Calculations!EY$19,""))</f>
        <v>#VALUE!</v>
      </c>
      <c r="O188" s="4" t="e">
        <f>IF(COUNTIF(Calculations!DP:DP,Subgroup_number)=1,INDEX(Calculations!DP:EU,MATCH(Subgroup_number,Calculations!DP:DP,0),9),IF(Subgroup_number=Calculations!EY$25,Calculations!EY$20,""))</f>
        <v>#VALUE!</v>
      </c>
      <c r="P188" s="4" t="e">
        <f>IF(COUNTIF(Calculations!DP:DP,Subgroup_number)=1,INDEX(Calculations!DP:EU,MATCH(Subgroup_number,Calculations!DP:DP,0),10),IF(Subgroup_number=Calculations!EY$25,Calculations!EY$21,""))</f>
        <v>#VALUE!</v>
      </c>
      <c r="Q18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8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88" s="125"/>
      <c r="U188" s="123"/>
      <c r="W188" s="123"/>
      <c r="Y188" s="123"/>
      <c r="AA188" s="123"/>
    </row>
    <row r="189" spans="6:27">
      <c r="F189" s="48">
        <v>188</v>
      </c>
      <c r="G18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8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8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8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8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89" s="4" t="e">
        <f>IF(COUNTIF(Calculations!DP:DP,Subgroup_number)=1,INDEX(Calculations!DP:EU,MATCH(Subgroup_number,Calculations!DP:DP,0),5),IF(Subgroup_number=Calculations!EY$25,Calculations!EY$17,""))</f>
        <v>#VALUE!</v>
      </c>
      <c r="M189" s="26" t="e">
        <f>IF(COUNTIF(Calculations!DP:DP,Subgroup_number)=1,INDEX(Calculations!DP:EU,MATCH(Subgroup_number,Calculations!DP:DP,0),6),IF(Subgroup_number=Calculations!EY$25,Calculations!EY$18,""))</f>
        <v>#VALUE!</v>
      </c>
      <c r="N189" s="8" t="e">
        <f>IF(COUNTIF(Calculations!DP:DP,Subgroup_number)=1,INDEX(Calculations!DP:EU,MATCH(Subgroup_number,Calculations!DP:DP,0),7),IF(Subgroup_number=Calculations!EY$25,Calculations!EY$19,""))</f>
        <v>#VALUE!</v>
      </c>
      <c r="O189" s="4" t="e">
        <f>IF(COUNTIF(Calculations!DP:DP,Subgroup_number)=1,INDEX(Calculations!DP:EU,MATCH(Subgroup_number,Calculations!DP:DP,0),9),IF(Subgroup_number=Calculations!EY$25,Calculations!EY$20,""))</f>
        <v>#VALUE!</v>
      </c>
      <c r="P189" s="4" t="e">
        <f>IF(COUNTIF(Calculations!DP:DP,Subgroup_number)=1,INDEX(Calculations!DP:EU,MATCH(Subgroup_number,Calculations!DP:DP,0),10),IF(Subgroup_number=Calculations!EY$25,Calculations!EY$21,""))</f>
        <v>#VALUE!</v>
      </c>
      <c r="Q18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8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89" s="125"/>
      <c r="U189" s="123"/>
      <c r="W189" s="123"/>
      <c r="Y189" s="123"/>
      <c r="AA189" s="123"/>
    </row>
    <row r="190" spans="6:27">
      <c r="F190" s="48">
        <v>189</v>
      </c>
      <c r="G19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9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9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9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9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90" s="4" t="e">
        <f>IF(COUNTIF(Calculations!DP:DP,Subgroup_number)=1,INDEX(Calculations!DP:EU,MATCH(Subgroup_number,Calculations!DP:DP,0),5),IF(Subgroup_number=Calculations!EY$25,Calculations!EY$17,""))</f>
        <v>#VALUE!</v>
      </c>
      <c r="M190" s="26" t="e">
        <f>IF(COUNTIF(Calculations!DP:DP,Subgroup_number)=1,INDEX(Calculations!DP:EU,MATCH(Subgroup_number,Calculations!DP:DP,0),6),IF(Subgroup_number=Calculations!EY$25,Calculations!EY$18,""))</f>
        <v>#VALUE!</v>
      </c>
      <c r="N190" s="8" t="e">
        <f>IF(COUNTIF(Calculations!DP:DP,Subgroup_number)=1,INDEX(Calculations!DP:EU,MATCH(Subgroup_number,Calculations!DP:DP,0),7),IF(Subgroup_number=Calculations!EY$25,Calculations!EY$19,""))</f>
        <v>#VALUE!</v>
      </c>
      <c r="O190" s="4" t="e">
        <f>IF(COUNTIF(Calculations!DP:DP,Subgroup_number)=1,INDEX(Calculations!DP:EU,MATCH(Subgroup_number,Calculations!DP:DP,0),9),IF(Subgroup_number=Calculations!EY$25,Calculations!EY$20,""))</f>
        <v>#VALUE!</v>
      </c>
      <c r="P190" s="4" t="e">
        <f>IF(COUNTIF(Calculations!DP:DP,Subgroup_number)=1,INDEX(Calculations!DP:EU,MATCH(Subgroup_number,Calculations!DP:DP,0),10),IF(Subgroup_number=Calculations!EY$25,Calculations!EY$21,""))</f>
        <v>#VALUE!</v>
      </c>
      <c r="Q19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9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90" s="125"/>
      <c r="U190" s="123"/>
      <c r="W190" s="123"/>
      <c r="Y190" s="123"/>
      <c r="AA190" s="123"/>
    </row>
    <row r="191" spans="6:27">
      <c r="F191" s="48">
        <v>190</v>
      </c>
      <c r="G19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9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9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9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9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91" s="4" t="e">
        <f>IF(COUNTIF(Calculations!DP:DP,Subgroup_number)=1,INDEX(Calculations!DP:EU,MATCH(Subgroup_number,Calculations!DP:DP,0),5),IF(Subgroup_number=Calculations!EY$25,Calculations!EY$17,""))</f>
        <v>#VALUE!</v>
      </c>
      <c r="M191" s="26" t="e">
        <f>IF(COUNTIF(Calculations!DP:DP,Subgroup_number)=1,INDEX(Calculations!DP:EU,MATCH(Subgroup_number,Calculations!DP:DP,0),6),IF(Subgroup_number=Calculations!EY$25,Calculations!EY$18,""))</f>
        <v>#VALUE!</v>
      </c>
      <c r="N191" s="8" t="e">
        <f>IF(COUNTIF(Calculations!DP:DP,Subgroup_number)=1,INDEX(Calculations!DP:EU,MATCH(Subgroup_number,Calculations!DP:DP,0),7),IF(Subgroup_number=Calculations!EY$25,Calculations!EY$19,""))</f>
        <v>#VALUE!</v>
      </c>
      <c r="O191" s="4" t="e">
        <f>IF(COUNTIF(Calculations!DP:DP,Subgroup_number)=1,INDEX(Calculations!DP:EU,MATCH(Subgroup_number,Calculations!DP:DP,0),9),IF(Subgroup_number=Calculations!EY$25,Calculations!EY$20,""))</f>
        <v>#VALUE!</v>
      </c>
      <c r="P191" s="4" t="e">
        <f>IF(COUNTIF(Calculations!DP:DP,Subgroup_number)=1,INDEX(Calculations!DP:EU,MATCH(Subgroup_number,Calculations!DP:DP,0),10),IF(Subgroup_number=Calculations!EY$25,Calculations!EY$21,""))</f>
        <v>#VALUE!</v>
      </c>
      <c r="Q19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9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91" s="125"/>
      <c r="U191" s="123"/>
      <c r="W191" s="123"/>
      <c r="Y191" s="123"/>
      <c r="AA191" s="123"/>
    </row>
    <row r="192" spans="6:27">
      <c r="F192" s="48">
        <v>191</v>
      </c>
      <c r="G19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9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9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9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9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92" s="4" t="e">
        <f>IF(COUNTIF(Calculations!DP:DP,Subgroup_number)=1,INDEX(Calculations!DP:EU,MATCH(Subgroup_number,Calculations!DP:DP,0),5),IF(Subgroup_number=Calculations!EY$25,Calculations!EY$17,""))</f>
        <v>#VALUE!</v>
      </c>
      <c r="M192" s="26" t="e">
        <f>IF(COUNTIF(Calculations!DP:DP,Subgroup_number)=1,INDEX(Calculations!DP:EU,MATCH(Subgroup_number,Calculations!DP:DP,0),6),IF(Subgroup_number=Calculations!EY$25,Calculations!EY$18,""))</f>
        <v>#VALUE!</v>
      </c>
      <c r="N192" s="8" t="e">
        <f>IF(COUNTIF(Calculations!DP:DP,Subgroup_number)=1,INDEX(Calculations!DP:EU,MATCH(Subgroup_number,Calculations!DP:DP,0),7),IF(Subgroup_number=Calculations!EY$25,Calculations!EY$19,""))</f>
        <v>#VALUE!</v>
      </c>
      <c r="O192" s="4" t="e">
        <f>IF(COUNTIF(Calculations!DP:DP,Subgroup_number)=1,INDEX(Calculations!DP:EU,MATCH(Subgroup_number,Calculations!DP:DP,0),9),IF(Subgroup_number=Calculations!EY$25,Calculations!EY$20,""))</f>
        <v>#VALUE!</v>
      </c>
      <c r="P192" s="4" t="e">
        <f>IF(COUNTIF(Calculations!DP:DP,Subgroup_number)=1,INDEX(Calculations!DP:EU,MATCH(Subgroup_number,Calculations!DP:DP,0),10),IF(Subgroup_number=Calculations!EY$25,Calculations!EY$21,""))</f>
        <v>#VALUE!</v>
      </c>
      <c r="Q19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9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92" s="125"/>
      <c r="U192" s="123"/>
      <c r="W192" s="123"/>
      <c r="Y192" s="123"/>
      <c r="AA192" s="123"/>
    </row>
    <row r="193" spans="6:27">
      <c r="F193" s="48">
        <v>192</v>
      </c>
      <c r="G19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9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9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9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9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93" s="4" t="e">
        <f>IF(COUNTIF(Calculations!DP:DP,Subgroup_number)=1,INDEX(Calculations!DP:EU,MATCH(Subgroup_number,Calculations!DP:DP,0),5),IF(Subgroup_number=Calculations!EY$25,Calculations!EY$17,""))</f>
        <v>#VALUE!</v>
      </c>
      <c r="M193" s="26" t="e">
        <f>IF(COUNTIF(Calculations!DP:DP,Subgroup_number)=1,INDEX(Calculations!DP:EU,MATCH(Subgroup_number,Calculations!DP:DP,0),6),IF(Subgroup_number=Calculations!EY$25,Calculations!EY$18,""))</f>
        <v>#VALUE!</v>
      </c>
      <c r="N193" s="8" t="e">
        <f>IF(COUNTIF(Calculations!DP:DP,Subgroup_number)=1,INDEX(Calculations!DP:EU,MATCH(Subgroup_number,Calculations!DP:DP,0),7),IF(Subgroup_number=Calculations!EY$25,Calculations!EY$19,""))</f>
        <v>#VALUE!</v>
      </c>
      <c r="O193" s="4" t="e">
        <f>IF(COUNTIF(Calculations!DP:DP,Subgroup_number)=1,INDEX(Calculations!DP:EU,MATCH(Subgroup_number,Calculations!DP:DP,0),9),IF(Subgroup_number=Calculations!EY$25,Calculations!EY$20,""))</f>
        <v>#VALUE!</v>
      </c>
      <c r="P193" s="4" t="e">
        <f>IF(COUNTIF(Calculations!DP:DP,Subgroup_number)=1,INDEX(Calculations!DP:EU,MATCH(Subgroup_number,Calculations!DP:DP,0),10),IF(Subgroup_number=Calculations!EY$25,Calculations!EY$21,""))</f>
        <v>#VALUE!</v>
      </c>
      <c r="Q19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9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93" s="125"/>
      <c r="U193" s="123"/>
      <c r="W193" s="123"/>
      <c r="Y193" s="123"/>
      <c r="AA193" s="123"/>
    </row>
    <row r="194" spans="6:27">
      <c r="F194" s="48">
        <v>193</v>
      </c>
      <c r="G19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9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9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9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9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94" s="4" t="e">
        <f>IF(COUNTIF(Calculations!DP:DP,Subgroup_number)=1,INDEX(Calculations!DP:EU,MATCH(Subgroup_number,Calculations!DP:DP,0),5),IF(Subgroup_number=Calculations!EY$25,Calculations!EY$17,""))</f>
        <v>#VALUE!</v>
      </c>
      <c r="M194" s="26" t="e">
        <f>IF(COUNTIF(Calculations!DP:DP,Subgroup_number)=1,INDEX(Calculations!DP:EU,MATCH(Subgroup_number,Calculations!DP:DP,0),6),IF(Subgroup_number=Calculations!EY$25,Calculations!EY$18,""))</f>
        <v>#VALUE!</v>
      </c>
      <c r="N194" s="8" t="e">
        <f>IF(COUNTIF(Calculations!DP:DP,Subgroup_number)=1,INDEX(Calculations!DP:EU,MATCH(Subgroup_number,Calculations!DP:DP,0),7),IF(Subgroup_number=Calculations!EY$25,Calculations!EY$19,""))</f>
        <v>#VALUE!</v>
      </c>
      <c r="O194" s="4" t="e">
        <f>IF(COUNTIF(Calculations!DP:DP,Subgroup_number)=1,INDEX(Calculations!DP:EU,MATCH(Subgroup_number,Calculations!DP:DP,0),9),IF(Subgroup_number=Calculations!EY$25,Calculations!EY$20,""))</f>
        <v>#VALUE!</v>
      </c>
      <c r="P194" s="4" t="e">
        <f>IF(COUNTIF(Calculations!DP:DP,Subgroup_number)=1,INDEX(Calculations!DP:EU,MATCH(Subgroup_number,Calculations!DP:DP,0),10),IF(Subgroup_number=Calculations!EY$25,Calculations!EY$21,""))</f>
        <v>#VALUE!</v>
      </c>
      <c r="Q19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9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94" s="125"/>
      <c r="U194" s="123"/>
      <c r="W194" s="123"/>
      <c r="Y194" s="123"/>
      <c r="AA194" s="123"/>
    </row>
    <row r="195" spans="6:27">
      <c r="F195" s="48">
        <v>194</v>
      </c>
      <c r="G19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9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9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9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9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95" s="4" t="e">
        <f>IF(COUNTIF(Calculations!DP:DP,Subgroup_number)=1,INDEX(Calculations!DP:EU,MATCH(Subgroup_number,Calculations!DP:DP,0),5),IF(Subgroup_number=Calculations!EY$25,Calculations!EY$17,""))</f>
        <v>#VALUE!</v>
      </c>
      <c r="M195" s="26" t="e">
        <f>IF(COUNTIF(Calculations!DP:DP,Subgroup_number)=1,INDEX(Calculations!DP:EU,MATCH(Subgroup_number,Calculations!DP:DP,0),6),IF(Subgroup_number=Calculations!EY$25,Calculations!EY$18,""))</f>
        <v>#VALUE!</v>
      </c>
      <c r="N195" s="8" t="e">
        <f>IF(COUNTIF(Calculations!DP:DP,Subgroup_number)=1,INDEX(Calculations!DP:EU,MATCH(Subgroup_number,Calculations!DP:DP,0),7),IF(Subgroup_number=Calculations!EY$25,Calculations!EY$19,""))</f>
        <v>#VALUE!</v>
      </c>
      <c r="O195" s="4" t="e">
        <f>IF(COUNTIF(Calculations!DP:DP,Subgroup_number)=1,INDEX(Calculations!DP:EU,MATCH(Subgroup_number,Calculations!DP:DP,0),9),IF(Subgroup_number=Calculations!EY$25,Calculations!EY$20,""))</f>
        <v>#VALUE!</v>
      </c>
      <c r="P195" s="4" t="e">
        <f>IF(COUNTIF(Calculations!DP:DP,Subgroup_number)=1,INDEX(Calculations!DP:EU,MATCH(Subgroup_number,Calculations!DP:DP,0),10),IF(Subgroup_number=Calculations!EY$25,Calculations!EY$21,""))</f>
        <v>#VALUE!</v>
      </c>
      <c r="Q19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9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95" s="125"/>
      <c r="U195" s="123"/>
      <c r="W195" s="123"/>
      <c r="Y195" s="123"/>
      <c r="AA195" s="123"/>
    </row>
    <row r="196" spans="6:27">
      <c r="F196" s="48">
        <v>195</v>
      </c>
      <c r="G19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9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9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9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9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96" s="4" t="e">
        <f>IF(COUNTIF(Calculations!DP:DP,Subgroup_number)=1,INDEX(Calculations!DP:EU,MATCH(Subgroup_number,Calculations!DP:DP,0),5),IF(Subgroup_number=Calculations!EY$25,Calculations!EY$17,""))</f>
        <v>#VALUE!</v>
      </c>
      <c r="M196" s="26" t="e">
        <f>IF(COUNTIF(Calculations!DP:DP,Subgroup_number)=1,INDEX(Calculations!DP:EU,MATCH(Subgroup_number,Calculations!DP:DP,0),6),IF(Subgroup_number=Calculations!EY$25,Calculations!EY$18,""))</f>
        <v>#VALUE!</v>
      </c>
      <c r="N196" s="8" t="e">
        <f>IF(COUNTIF(Calculations!DP:DP,Subgroup_number)=1,INDEX(Calculations!DP:EU,MATCH(Subgroup_number,Calculations!DP:DP,0),7),IF(Subgroup_number=Calculations!EY$25,Calculations!EY$19,""))</f>
        <v>#VALUE!</v>
      </c>
      <c r="O196" s="4" t="e">
        <f>IF(COUNTIF(Calculations!DP:DP,Subgroup_number)=1,INDEX(Calculations!DP:EU,MATCH(Subgroup_number,Calculations!DP:DP,0),9),IF(Subgroup_number=Calculations!EY$25,Calculations!EY$20,""))</f>
        <v>#VALUE!</v>
      </c>
      <c r="P196" s="4" t="e">
        <f>IF(COUNTIF(Calculations!DP:DP,Subgroup_number)=1,INDEX(Calculations!DP:EU,MATCH(Subgroup_number,Calculations!DP:DP,0),10),IF(Subgroup_number=Calculations!EY$25,Calculations!EY$21,""))</f>
        <v>#VALUE!</v>
      </c>
      <c r="Q19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9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96" s="125"/>
      <c r="U196" s="123"/>
      <c r="W196" s="123"/>
      <c r="Y196" s="123"/>
      <c r="AA196" s="123"/>
    </row>
    <row r="197" spans="6:27">
      <c r="F197" s="48">
        <v>196</v>
      </c>
      <c r="G19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9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9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9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9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97" s="4" t="e">
        <f>IF(COUNTIF(Calculations!DP:DP,Subgroup_number)=1,INDEX(Calculations!DP:EU,MATCH(Subgroup_number,Calculations!DP:DP,0),5),IF(Subgroup_number=Calculations!EY$25,Calculations!EY$17,""))</f>
        <v>#VALUE!</v>
      </c>
      <c r="M197" s="26" t="e">
        <f>IF(COUNTIF(Calculations!DP:DP,Subgroup_number)=1,INDEX(Calculations!DP:EU,MATCH(Subgroup_number,Calculations!DP:DP,0),6),IF(Subgroup_number=Calculations!EY$25,Calculations!EY$18,""))</f>
        <v>#VALUE!</v>
      </c>
      <c r="N197" s="8" t="e">
        <f>IF(COUNTIF(Calculations!DP:DP,Subgroup_number)=1,INDEX(Calculations!DP:EU,MATCH(Subgroup_number,Calculations!DP:DP,0),7),IF(Subgroup_number=Calculations!EY$25,Calculations!EY$19,""))</f>
        <v>#VALUE!</v>
      </c>
      <c r="O197" s="4" t="e">
        <f>IF(COUNTIF(Calculations!DP:DP,Subgroup_number)=1,INDEX(Calculations!DP:EU,MATCH(Subgroup_number,Calculations!DP:DP,0),9),IF(Subgroup_number=Calculations!EY$25,Calculations!EY$20,""))</f>
        <v>#VALUE!</v>
      </c>
      <c r="P197" s="4" t="e">
        <f>IF(COUNTIF(Calculations!DP:DP,Subgroup_number)=1,INDEX(Calculations!DP:EU,MATCH(Subgroup_number,Calculations!DP:DP,0),10),IF(Subgroup_number=Calculations!EY$25,Calculations!EY$21,""))</f>
        <v>#VALUE!</v>
      </c>
      <c r="Q19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9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97" s="125"/>
      <c r="U197" s="123"/>
      <c r="W197" s="123"/>
      <c r="Y197" s="123"/>
      <c r="AA197" s="123"/>
    </row>
    <row r="198" spans="6:27">
      <c r="F198" s="48">
        <v>197</v>
      </c>
      <c r="G19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9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9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9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9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98" s="4" t="e">
        <f>IF(COUNTIF(Calculations!DP:DP,Subgroup_number)=1,INDEX(Calculations!DP:EU,MATCH(Subgroup_number,Calculations!DP:DP,0),5),IF(Subgroup_number=Calculations!EY$25,Calculations!EY$17,""))</f>
        <v>#VALUE!</v>
      </c>
      <c r="M198" s="26" t="e">
        <f>IF(COUNTIF(Calculations!DP:DP,Subgroup_number)=1,INDEX(Calculations!DP:EU,MATCH(Subgroup_number,Calculations!DP:DP,0),6),IF(Subgroup_number=Calculations!EY$25,Calculations!EY$18,""))</f>
        <v>#VALUE!</v>
      </c>
      <c r="N198" s="8" t="e">
        <f>IF(COUNTIF(Calculations!DP:DP,Subgroup_number)=1,INDEX(Calculations!DP:EU,MATCH(Subgroup_number,Calculations!DP:DP,0),7),IF(Subgroup_number=Calculations!EY$25,Calculations!EY$19,""))</f>
        <v>#VALUE!</v>
      </c>
      <c r="O198" s="4" t="e">
        <f>IF(COUNTIF(Calculations!DP:DP,Subgroup_number)=1,INDEX(Calculations!DP:EU,MATCH(Subgroup_number,Calculations!DP:DP,0),9),IF(Subgroup_number=Calculations!EY$25,Calculations!EY$20,""))</f>
        <v>#VALUE!</v>
      </c>
      <c r="P198" s="4" t="e">
        <f>IF(COUNTIF(Calculations!DP:DP,Subgroup_number)=1,INDEX(Calculations!DP:EU,MATCH(Subgroup_number,Calculations!DP:DP,0),10),IF(Subgroup_number=Calculations!EY$25,Calculations!EY$21,""))</f>
        <v>#VALUE!</v>
      </c>
      <c r="Q19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9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98" s="125"/>
      <c r="U198" s="123"/>
      <c r="W198" s="123"/>
      <c r="Y198" s="123"/>
      <c r="AA198" s="123"/>
    </row>
    <row r="199" spans="6:27">
      <c r="F199" s="48">
        <v>198</v>
      </c>
      <c r="G19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9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9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9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9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99" s="4" t="e">
        <f>IF(COUNTIF(Calculations!DP:DP,Subgroup_number)=1,INDEX(Calculations!DP:EU,MATCH(Subgroup_number,Calculations!DP:DP,0),5),IF(Subgroup_number=Calculations!EY$25,Calculations!EY$17,""))</f>
        <v>#VALUE!</v>
      </c>
      <c r="M199" s="26" t="e">
        <f>IF(COUNTIF(Calculations!DP:DP,Subgroup_number)=1,INDEX(Calculations!DP:EU,MATCH(Subgroup_number,Calculations!DP:DP,0),6),IF(Subgroup_number=Calculations!EY$25,Calculations!EY$18,""))</f>
        <v>#VALUE!</v>
      </c>
      <c r="N199" s="8" t="e">
        <f>IF(COUNTIF(Calculations!DP:DP,Subgroup_number)=1,INDEX(Calculations!DP:EU,MATCH(Subgroup_number,Calculations!DP:DP,0),7),IF(Subgroup_number=Calculations!EY$25,Calculations!EY$19,""))</f>
        <v>#VALUE!</v>
      </c>
      <c r="O199" s="4" t="e">
        <f>IF(COUNTIF(Calculations!DP:DP,Subgroup_number)=1,INDEX(Calculations!DP:EU,MATCH(Subgroup_number,Calculations!DP:DP,0),9),IF(Subgroup_number=Calculations!EY$25,Calculations!EY$20,""))</f>
        <v>#VALUE!</v>
      </c>
      <c r="P199" s="4" t="e">
        <f>IF(COUNTIF(Calculations!DP:DP,Subgroup_number)=1,INDEX(Calculations!DP:EU,MATCH(Subgroup_number,Calculations!DP:DP,0),10),IF(Subgroup_number=Calculations!EY$25,Calculations!EY$21,""))</f>
        <v>#VALUE!</v>
      </c>
      <c r="Q19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9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99" s="125"/>
      <c r="U199" s="123"/>
      <c r="W199" s="123"/>
      <c r="Y199" s="123"/>
      <c r="AA199" s="123"/>
    </row>
    <row r="200" spans="6:27">
      <c r="F200" s="48">
        <v>199</v>
      </c>
      <c r="G20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20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20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20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20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200" s="4" t="e">
        <f>IF(COUNTIF(Calculations!DP:DP,Subgroup_number)=1,INDEX(Calculations!DP:EU,MATCH(Subgroup_number,Calculations!DP:DP,0),5),IF(Subgroup_number=Calculations!EY$25,Calculations!EY$17,""))</f>
        <v>#VALUE!</v>
      </c>
      <c r="M200" s="26" t="e">
        <f>IF(COUNTIF(Calculations!DP:DP,Subgroup_number)=1,INDEX(Calculations!DP:EU,MATCH(Subgroup_number,Calculations!DP:DP,0),6),IF(Subgroup_number=Calculations!EY$25,Calculations!EY$18,""))</f>
        <v>#VALUE!</v>
      </c>
      <c r="N200" s="8" t="e">
        <f>IF(COUNTIF(Calculations!DP:DP,Subgroup_number)=1,INDEX(Calculations!DP:EU,MATCH(Subgroup_number,Calculations!DP:DP,0),7),IF(Subgroup_number=Calculations!EY$25,Calculations!EY$19,""))</f>
        <v>#VALUE!</v>
      </c>
      <c r="O200" s="4" t="e">
        <f>IF(COUNTIF(Calculations!DP:DP,Subgroup_number)=1,INDEX(Calculations!DP:EU,MATCH(Subgroup_number,Calculations!DP:DP,0),9),IF(Subgroup_number=Calculations!EY$25,Calculations!EY$20,""))</f>
        <v>#VALUE!</v>
      </c>
      <c r="P200" s="4" t="e">
        <f>IF(COUNTIF(Calculations!DP:DP,Subgroup_number)=1,INDEX(Calculations!DP:EU,MATCH(Subgroup_number,Calculations!DP:DP,0),10),IF(Subgroup_number=Calculations!EY$25,Calculations!EY$21,""))</f>
        <v>#VALUE!</v>
      </c>
      <c r="Q20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20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200" s="125"/>
      <c r="U200" s="123"/>
      <c r="W200" s="123"/>
      <c r="Y200" s="123"/>
      <c r="AA200" s="123"/>
    </row>
    <row r="201" spans="6:27">
      <c r="F201" s="40">
        <v>200</v>
      </c>
      <c r="G201" s="68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201" s="68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201" s="68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201" s="68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201" s="69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201" s="68" t="e">
        <f>IF(COUNTIF(Calculations!DP:DP,Subgroup_number)=1,INDEX(Calculations!DP:EU,MATCH(Subgroup_number,Calculations!DP:DP,0),5),IF(Subgroup_number=Calculations!EY$25,Calculations!EY$17,""))</f>
        <v>#VALUE!</v>
      </c>
      <c r="M201" s="33" t="e">
        <f>IF(COUNTIF(Calculations!DP:DP,Subgroup_number)=1,INDEX(Calculations!DP:EU,MATCH(Subgroup_number,Calculations!DP:DP,0),6),IF(Subgroup_number=Calculations!EY$25,Calculations!EY$18,""))</f>
        <v>#VALUE!</v>
      </c>
      <c r="N201" s="69" t="e">
        <f>IF(COUNTIF(Calculations!DP:DP,Subgroup_number)=1,INDEX(Calculations!DP:EU,MATCH(Subgroup_number,Calculations!DP:DP,0),7),IF(Subgroup_number=Calculations!EY$25,Calculations!EY$19,""))</f>
        <v>#VALUE!</v>
      </c>
      <c r="O201" s="68" t="e">
        <f>IF(COUNTIF(Calculations!DP:DP,Subgroup_number)=1,INDEX(Calculations!DP:EU,MATCH(Subgroup_number,Calculations!DP:DP,0),9),IF(Subgroup_number=Calculations!EY$25,Calculations!EY$20,""))</f>
        <v>#VALUE!</v>
      </c>
      <c r="P201" s="68" t="e">
        <f>IF(COUNTIF(Calculations!DP:DP,Subgroup_number)=1,INDEX(Calculations!DP:EU,MATCH(Subgroup_number,Calculations!DP:DP,0),10),IF(Subgroup_number=Calculations!EY$25,Calculations!EY$21,""))</f>
        <v>#VALUE!</v>
      </c>
      <c r="Q201" s="68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201" s="71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201" s="129"/>
      <c r="U201" s="124"/>
      <c r="W201" s="124"/>
      <c r="Y201" s="124"/>
      <c r="AA201" s="124"/>
    </row>
  </sheetData>
  <mergeCells count="29">
    <mergeCell ref="Y2:Y201"/>
    <mergeCell ref="AA2:AA201"/>
    <mergeCell ref="S2:S201"/>
    <mergeCell ref="U2:U201"/>
    <mergeCell ref="W2:W201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B17:D17"/>
    <mergeCell ref="B18:D18"/>
    <mergeCell ref="B19:D19"/>
    <mergeCell ref="A34:D34"/>
    <mergeCell ref="A35:D35"/>
    <mergeCell ref="A30:D30"/>
    <mergeCell ref="A31:D31"/>
    <mergeCell ref="A33:D33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topLeftCell="B1" workbookViewId="0">
      <pane ySplit="1" topLeftCell="B2" activePane="bottomLeft" state="frozen"/>
      <selection pane="bottomLeft" activeCell="F7" sqref="F7"/>
    </sheetView>
  </sheetViews>
  <sheetFormatPr defaultRowHeight="12"/>
  <cols>
    <col min="1" max="1" width="20.83203125" bestFit="1" customWidth="1"/>
    <col min="2" max="2" width="19.5" bestFit="1" customWidth="1"/>
    <col min="3" max="3" width="3.33203125" customWidth="1"/>
    <col min="4" max="4" width="11" bestFit="1" customWidth="1"/>
    <col min="5" max="5" width="9.83203125" customWidth="1"/>
    <col min="6" max="6" width="12.83203125" bestFit="1" customWidth="1"/>
    <col min="7" max="7" width="7.1640625" bestFit="1" customWidth="1"/>
    <col min="8" max="8" width="3.33203125" customWidth="1"/>
    <col min="9" max="9" width="34.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83203125" customWidth="1"/>
    <col min="15" max="15" width="7.5" bestFit="1" customWidth="1"/>
    <col min="16" max="16" width="7.33203125" bestFit="1" customWidth="1"/>
  </cols>
  <sheetData>
    <row r="1" spans="1:7" ht="34.5" customHeight="1">
      <c r="A1" s="107" t="s">
        <v>31</v>
      </c>
      <c r="B1" s="107"/>
      <c r="D1" s="1" t="s">
        <v>1</v>
      </c>
      <c r="E1" s="1" t="s">
        <v>11</v>
      </c>
      <c r="F1" s="1" t="str">
        <f>Moderator_effect_size_measure</f>
        <v>Log Odds Ratio</v>
      </c>
      <c r="G1" s="1" t="s">
        <v>35</v>
      </c>
    </row>
    <row r="2" spans="1:7">
      <c r="A2" s="3" t="s">
        <v>44</v>
      </c>
      <c r="B2" s="5" t="s">
        <v>79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>
      <c r="A3" s="3" t="s">
        <v>85</v>
      </c>
      <c r="B3" s="5" t="s">
        <v>98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>
      <c r="A4" s="3" t="s">
        <v>51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>
      <c r="A6" s="3" t="s">
        <v>36</v>
      </c>
      <c r="B6" s="5" t="s">
        <v>99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>
      <c r="A7" s="3" t="s">
        <v>41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>
      <c r="A9" s="107" t="s">
        <v>68</v>
      </c>
      <c r="B9" s="107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>
      <c r="A10" s="109" t="s">
        <v>79</v>
      </c>
      <c r="B10" s="109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>
      <c r="A11" s="110" t="s">
        <v>69</v>
      </c>
      <c r="B11" s="110"/>
      <c r="D11" s="44" t="str">
        <f t="shared" si="0"/>
        <v>Law et al.</v>
      </c>
      <c r="E11" s="3">
        <f t="shared" si="1"/>
        <v>26</v>
      </c>
      <c r="F11" s="3">
        <f t="shared" si="2"/>
        <v>-0.19453338800807651</v>
      </c>
      <c r="G11" s="61">
        <f>IF(Moderator_valid_options="Yes",IF(AND(Sufficient_data="Yes",Include_study?="Yes",Moderator&lt;&gt;""),IF(Moderator_model="Fixed effect",Calculations!FE:FE/SUM(Calculations!FE:FE),Calculations!FJ:FJ/SUM(Calculations!FJ:FJ)),""),"")</f>
        <v>0.56863081686532579</v>
      </c>
    </row>
    <row r="12" spans="1:7" ht="12" customHeight="1">
      <c r="A12" s="110" t="s">
        <v>70</v>
      </c>
      <c r="B12" s="110"/>
      <c r="D12" s="44" t="str">
        <f t="shared" si="0"/>
        <v>Zou et al.</v>
      </c>
      <c r="E12" s="3">
        <f t="shared" si="1"/>
        <v>30</v>
      </c>
      <c r="F12" s="3">
        <f t="shared" si="2"/>
        <v>-0.28806871480402096</v>
      </c>
      <c r="G12" s="61">
        <f>IF(Moderator_valid_options="Yes",IF(AND(Sufficient_data="Yes",Include_study?="Yes",Moderator&lt;&gt;""),IF(Moderator_model="Fixed effect",Calculations!FE:FE/SUM(Calculations!FE:FE),Calculations!FJ:FJ/SUM(Calculations!FJ:FJ)),""),"")</f>
        <v>0.43136918313467415</v>
      </c>
    </row>
    <row r="13" spans="1:7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>
      <c r="A14" s="107" t="s">
        <v>97</v>
      </c>
      <c r="B14" s="107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>
      <c r="A15" s="109" t="str">
        <f>IF(Moderator_weighting_method="Peto","Log Peto Odds Ratio","Log Odds Ratio")</f>
        <v>Log Odds Ratio</v>
      </c>
      <c r="B15" s="109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>
      <c r="A16" s="110" t="str">
        <f>IF(Moderator_weighting_method="Inverse variance","Log Risk Ratio","")</f>
        <v>Log Risk Ratio</v>
      </c>
      <c r="B16" s="110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>
      <c r="A17" s="110" t="str">
        <f>IF(Moderator_weighting_method="Inverse Variance","Risk Difference","")</f>
        <v>Risk Difference</v>
      </c>
      <c r="B17" s="110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100</v>
      </c>
      <c r="K28" s="1" t="s">
        <v>101</v>
      </c>
      <c r="L28" s="1" t="s">
        <v>102</v>
      </c>
      <c r="M28" s="1" t="s">
        <v>103</v>
      </c>
      <c r="N28" s="25" t="s">
        <v>104</v>
      </c>
      <c r="O28" s="1" t="s">
        <v>59</v>
      </c>
      <c r="P28" s="1" t="s">
        <v>105</v>
      </c>
    </row>
    <row r="29" spans="1:16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106</v>
      </c>
      <c r="J29" s="4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>0.41344623616557674</v>
      </c>
      <c r="K29" s="4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>1.769176747628409</v>
      </c>
      <c r="L29" s="4">
        <f>IF(J30&lt;&gt;"",J29-K29*ABS(TINV((1-Moderator_confidence_level),Moderator_k-1)),"")</f>
        <v>-22.066075733680655</v>
      </c>
      <c r="M29" s="4">
        <f>IF(J30&lt;&gt;"",J29+K29*ABS(TINV((1-Moderator_confidence_level),Moderator_k-1)),"")</f>
        <v>22.892968206011808</v>
      </c>
      <c r="N29" s="4"/>
      <c r="O29" s="4">
        <f>IF(J30&lt;&gt;"",J29/K29,"")</f>
        <v>0.23369413865505731</v>
      </c>
      <c r="P29" s="26">
        <f>IF(J30&lt;&gt;"",2*(1-NORMSDIST(ABS(O29))),"")</f>
        <v>0.81522243845127074</v>
      </c>
    </row>
    <row r="30" spans="1:16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>-2.338383169898663E-2</v>
      </c>
      <c r="K30" s="4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>6.3648235380657198E-2</v>
      </c>
      <c r="L30" s="4">
        <f>IF(J30&lt;&gt;"",J30-K30*ABS(TINV((1-Moderator_confidence_level),Moderator_k-1)),"")</f>
        <v>-0.83211134154185484</v>
      </c>
      <c r="M30" s="4">
        <f>IF(J30&lt;&gt;"",J30+K30*ABS(TINV((1-Moderator_confidence_level),Moderator_k-1)),"")</f>
        <v>0.78534367814388162</v>
      </c>
      <c r="N30" s="4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>-1.000000000000022</v>
      </c>
      <c r="O30" s="4">
        <f>IF(J30&lt;&gt;"",J30/K30,"")</f>
        <v>-0.36739167329834588</v>
      </c>
      <c r="P30" s="26">
        <f>IF(J30&lt;&gt;"",2*(1-NORMSDIST(ABS(O30))),"")</f>
        <v>0.7133268817492695</v>
      </c>
    </row>
    <row r="31" spans="1:16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91</v>
      </c>
      <c r="J32" s="1" t="str">
        <f>IF(Moderator_model="Fixed effect","Sum of squares (Q)","Sum of squares (Q*)")</f>
        <v>Sum of squares (Q)</v>
      </c>
      <c r="K32" s="1" t="s">
        <v>92</v>
      </c>
      <c r="L32" s="1" t="s">
        <v>93</v>
      </c>
      <c r="N32" s="1" t="s">
        <v>107</v>
      </c>
      <c r="O32" s="1" t="s">
        <v>108</v>
      </c>
      <c r="P32" s="1" t="s">
        <v>105</v>
      </c>
    </row>
    <row r="33" spans="4:16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36</v>
      </c>
      <c r="J33" s="4">
        <f>IF(J30&lt;&gt;"",J35-J34,"")</f>
        <v>0.13497664160895306</v>
      </c>
      <c r="K33" s="7">
        <f>IF(J30&lt;&gt;"",1,"")</f>
        <v>1</v>
      </c>
      <c r="L33" s="26">
        <f>IF(J30&lt;&gt;"",CHIDIST(J33,K33),"")</f>
        <v>0.71332688174927505</v>
      </c>
      <c r="N33" s="4">
        <f>IF(J30&lt;&gt;"",J33/K33,"")</f>
        <v>0.13497664160895306</v>
      </c>
      <c r="O33" s="4" t="e">
        <f>IF(J30&lt;&gt;"",N33/N34,"")</f>
        <v>#DIV/0!</v>
      </c>
      <c r="P33" s="26" t="e">
        <f>IF(J30&lt;&gt;"",FDIST(ABS(O33),K33,K34),"")</f>
        <v>#DIV/0!</v>
      </c>
    </row>
    <row r="34" spans="4:16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109</v>
      </c>
      <c r="J34" s="4">
        <f>IF(J30&lt;&gt;"",IF(Moderator_model="Fixed effect",SUM(Calculations!FH:FH),SUM(Calculations!FM:FM)),"")</f>
        <v>0</v>
      </c>
      <c r="K34" s="7">
        <f>IF(J30&lt;&gt;"",Moderator_k-2,"")</f>
        <v>0</v>
      </c>
      <c r="L34" s="26" t="e">
        <f>IF(J30&lt;&gt;"",CHIDIST(J34,K34),"")</f>
        <v>#NUM!</v>
      </c>
      <c r="N34" s="4" t="e">
        <f>IF(J30&lt;&gt;"",J34/K34,"")</f>
        <v>#DIV/0!</v>
      </c>
      <c r="O34" s="4"/>
      <c r="P34" s="4"/>
    </row>
    <row r="35" spans="4:16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14</v>
      </c>
      <c r="J35" s="4">
        <f>IF(J30&lt;&gt;"",IF(Moderator_model="Fixed effect",SUMPRODUCT(Calculations!FE:FE,Calculations!FF:FF,Calculations!FF:FF),SUMPRODUCT(Calculations!FJ:FJ,Calculations!FK:FK,Calculations!FK:FK)),"")</f>
        <v>0.13497664160895306</v>
      </c>
      <c r="K35" s="7">
        <f>IF(J30&lt;&gt;"",Moderator_k-1,"")</f>
        <v>1</v>
      </c>
      <c r="L35" s="26">
        <f>IF(J30&lt;&gt;"",CHIDIST(J35,K35),"")</f>
        <v>0.71332688174927505</v>
      </c>
      <c r="N35" s="4"/>
      <c r="O35" s="4"/>
      <c r="P35" s="4"/>
    </row>
    <row r="36" spans="4:16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110</v>
      </c>
      <c r="J37" s="4">
        <f>IF(J30&lt;&gt;"",IF(Moderator_model="Fixed effect",SUMPRODUCT(F:F,Calculations!FE:FE)/SUM(Calculations!FE:FE),SUMPRODUCT(F:F,Calculations!FJ:FJ)/SUM(Calculations!FJ:FJ)),"")</f>
        <v>-0.23488164552227786</v>
      </c>
    </row>
    <row r="38" spans="4:16" ht="13.5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111</v>
      </c>
      <c r="J38" s="4">
        <f>IF(J30&lt;&gt;"",Calculations!FP7,"")</f>
        <v>0</v>
      </c>
    </row>
    <row r="39" spans="4:16" ht="13.5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112</v>
      </c>
      <c r="J39" s="8">
        <f>IF(J30&lt;&gt;"",J33/J35,"")</f>
        <v>1</v>
      </c>
    </row>
    <row r="40" spans="4:16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zoomScale="71" zoomScaleNormal="100" workbookViewId="0">
      <pane ySplit="1" topLeftCell="A17" activePane="bottomLeft" state="frozen"/>
      <selection pane="bottomLeft" activeCell="O25" sqref="O25"/>
    </sheetView>
  </sheetViews>
  <sheetFormatPr defaultRowHeight="12" outlineLevelCol="1"/>
  <cols>
    <col min="1" max="1" width="32.5" bestFit="1" customWidth="1"/>
    <col min="2" max="2" width="19.5" bestFit="1" customWidth="1"/>
    <col min="3" max="3" width="3.33203125" customWidth="1"/>
    <col min="4" max="4" width="30.5" customWidth="1" outlineLevel="1"/>
    <col min="5" max="5" width="12.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640625" customWidth="1" outlineLevel="1"/>
    <col min="10" max="10" width="3.33203125" customWidth="1" outlineLevel="1"/>
    <col min="11" max="11" width="28.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83203125" customWidth="1" outlineLevel="1"/>
    <col min="17" max="17" width="5.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83203125" customWidth="1" outlineLevel="1"/>
    <col min="23" max="23" width="15.5" customWidth="1" outlineLevel="1"/>
    <col min="24" max="24" width="3.33203125" customWidth="1" outlineLevel="1"/>
    <col min="25" max="25" width="9.5" bestFit="1" customWidth="1" outlineLevel="1"/>
    <col min="26" max="26" width="9.6640625" customWidth="1" outlineLevel="1"/>
    <col min="27" max="27" width="10" customWidth="1" outlineLevel="1"/>
    <col min="28" max="28" width="9.83203125" customWidth="1" outlineLevel="1"/>
    <col min="29" max="29" width="39.164062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8320312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83203125" customWidth="1" outlineLevel="1"/>
    <col min="58" max="58" width="9.5" customWidth="1" outlineLevel="1"/>
    <col min="59" max="59" width="7.83203125" customWidth="1" outlineLevel="1"/>
    <col min="60" max="60" width="3.33203125" customWidth="1" outlineLevel="1"/>
    <col min="61" max="61" width="25.83203125" customWidth="1" outlineLevel="1"/>
    <col min="62" max="62" width="22.8320312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8320312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83203125" customWidth="1" outlineLevel="1"/>
    <col min="72" max="72" width="6.33203125" customWidth="1"/>
  </cols>
  <sheetData>
    <row r="1" spans="1:72" ht="32.25" customHeight="1">
      <c r="A1" s="1" t="s">
        <v>31</v>
      </c>
      <c r="B1" s="1"/>
      <c r="D1" s="1" t="s">
        <v>1</v>
      </c>
      <c r="E1" s="1" t="str">
        <f>Additional_effect_size_measure</f>
        <v>Log Odds Ratio</v>
      </c>
      <c r="F1" s="1" t="s">
        <v>113</v>
      </c>
      <c r="M1" s="85"/>
      <c r="O1" s="107" t="s">
        <v>114</v>
      </c>
      <c r="P1" s="107"/>
      <c r="Q1" s="107"/>
      <c r="R1" s="107"/>
      <c r="S1" s="28"/>
      <c r="T1" s="85"/>
      <c r="V1" s="1" t="s">
        <v>1</v>
      </c>
      <c r="W1" s="1" t="s">
        <v>115</v>
      </c>
      <c r="AE1" s="85"/>
      <c r="AG1" s="1" t="s">
        <v>1</v>
      </c>
      <c r="AH1" s="1" t="s">
        <v>116</v>
      </c>
      <c r="AI1" s="1" t="s">
        <v>117</v>
      </c>
      <c r="AR1" s="85"/>
      <c r="AT1" s="1" t="s">
        <v>1</v>
      </c>
      <c r="AU1" s="1" t="s">
        <v>118</v>
      </c>
      <c r="AV1" s="1" t="s">
        <v>119</v>
      </c>
      <c r="BC1" s="85"/>
      <c r="BE1" s="1" t="s">
        <v>1</v>
      </c>
      <c r="BF1" s="75" t="s">
        <v>120</v>
      </c>
      <c r="BG1" s="1" t="s">
        <v>121</v>
      </c>
      <c r="BP1" s="85"/>
      <c r="BR1" s="1" t="s">
        <v>122</v>
      </c>
      <c r="BS1" s="1"/>
      <c r="BT1" s="85"/>
    </row>
    <row r="2" spans="1:72">
      <c r="A2" s="3" t="s">
        <v>44</v>
      </c>
      <c r="B2" s="5" t="s">
        <v>79</v>
      </c>
      <c r="D2" s="43" t="str">
        <f t="shared" ref="D2:D33" si="0">IF(AND(Include_study?="Yes",Sufficient_data="Yes"),Study_name,"")</f>
        <v/>
      </c>
      <c r="E2" s="3" t="str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2" s="74" t="str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2" s="123" t="s">
        <v>123</v>
      </c>
      <c r="O2" s="3"/>
      <c r="P2" s="3" t="s">
        <v>124</v>
      </c>
      <c r="Q2" s="3" t="s">
        <v>101</v>
      </c>
      <c r="R2" s="3" t="s">
        <v>102</v>
      </c>
      <c r="S2" s="3" t="s">
        <v>103</v>
      </c>
      <c r="T2" s="123" t="s">
        <v>125</v>
      </c>
      <c r="V2" s="77" t="str">
        <f t="shared" ref="V2:V33" si="3">IF(AND(Include_study?="Yes",Sufficient_data="Yes"),Study_name,"")</f>
        <v/>
      </c>
      <c r="W2" s="34" t="str">
        <f>IF(AND(Include_study?="Yes",Sufficient_data="Yes"),((E:E-I$29)*SQRT(Calculations!FU:FU))/SQRT(1-Calculations!FU:FU/SUM(Calculations!FU:FU)),"")</f>
        <v/>
      </c>
      <c r="AE2" s="123" t="s">
        <v>126</v>
      </c>
      <c r="AG2" s="77" t="str">
        <f t="shared" ref="AG2:AG33" si="4">IF(AND(Include_study?="Yes",Sufficient_data="Yes"),Study_name,"")</f>
        <v/>
      </c>
      <c r="AH2" s="74" t="str">
        <f t="shared" ref="AH2:AH65" si="5">IF(AND(Sufficient_data="Yes",Include_study?="Yes"),c_/(c_+d_),"")</f>
        <v/>
      </c>
      <c r="AI2" s="34" t="str">
        <f t="shared" ref="AI2:AI65" si="6">IF(AND(Sufficient_data="Yes",Include_study?="Yes"),a_/(a_+b_),"")</f>
        <v/>
      </c>
      <c r="AR2" s="123" t="s">
        <v>127</v>
      </c>
      <c r="AT2" s="77" t="str">
        <f t="shared" ref="AT2:AT33" si="7">IF(AND(Include_study?="Yes",Sufficient_data="Yes"),Study_name,"")</f>
        <v/>
      </c>
      <c r="AU2" s="74" t="str">
        <f t="shared" ref="AU2:AU33" si="8">IF(AND(Include_study?="Yes",Sufficient_data="Yes"),IF(AND(Additional_valid_options="No",Additional_model="Random effects"),NA(),Inverse_standard_error),"")</f>
        <v/>
      </c>
      <c r="AV2" s="34" t="str">
        <f t="shared" ref="AV2:AV33" si="9">IF(AND(Include_study?="Yes",Sufficient_data="Yes"),IF(AND(Additional_valid_options="No",Additional_model="Random effects"),NA(),Z_score),"")</f>
        <v/>
      </c>
      <c r="BC2" s="123" t="s">
        <v>128</v>
      </c>
      <c r="BE2" s="74" t="str">
        <f t="shared" ref="BE2:BE33" si="10">IF(AND(Include_study?="Yes",Sufficient_data="Yes"),Study_name,"")</f>
        <v/>
      </c>
      <c r="BF2" s="74" t="str">
        <f>IF(AND(Include_study?="Yes",Sufficient_data="Yes"),NORMSINV(Calculations!IW2),"")</f>
        <v/>
      </c>
      <c r="BG2" s="34" t="str">
        <f t="shared" ref="BG2:BG33" si="11">IF(AND(Include_study?="Yes",Sufficient_data="Yes"),IF(AND(Additional_valid_options="No",Additional_model="Random effects"),NA(),IF(BJ$33="Standardized residuals",Standardized_residual,Z_score)),"")</f>
        <v/>
      </c>
      <c r="BP2" s="123" t="s">
        <v>129</v>
      </c>
      <c r="BR2" s="117" t="s">
        <v>130</v>
      </c>
      <c r="BS2" s="117"/>
      <c r="BT2" s="123" t="s">
        <v>131</v>
      </c>
    </row>
    <row r="3" spans="1:72">
      <c r="A3" s="3" t="s">
        <v>85</v>
      </c>
      <c r="B3" s="5" t="s">
        <v>98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M3" s="123"/>
      <c r="O3" s="3" t="s">
        <v>106</v>
      </c>
      <c r="P3" s="4">
        <f>IF(Additional_valid_options="Yes",INTERCEPT(Z_score,Inverse_standard_error),NA())</f>
        <v>5.278603229036495</v>
      </c>
      <c r="Q3" s="4">
        <f>IF(Additional_valid_options="Yes",Q4*SQRT(1/k_*SUMPRODUCT(Inverse_standard_error,Inverse_standard_error)),NA())</f>
        <v>4.1599904611675314</v>
      </c>
      <c r="R3" s="4">
        <f>P3-ABS(TINV((1-Additional_confidence_level),k_-1))*Q3</f>
        <v>-3.9904331413831802</v>
      </c>
      <c r="S3" s="4">
        <f>P3+ABS(TINV((1-Additional_confidence_level),k_-1))*Q3</f>
        <v>14.54763959945617</v>
      </c>
      <c r="T3" s="123"/>
      <c r="V3" s="76" t="str">
        <f t="shared" si="3"/>
        <v/>
      </c>
      <c r="W3" s="35" t="str">
        <f>IF(AND(Include_study?="Yes",Sufficient_data="Yes"),((E:E-I$29)*SQRT(Calculations!FU:FU))/SQRT(1-Calculations!FU:FU/SUM(Calculations!FU:FU)),"")</f>
        <v/>
      </c>
      <c r="AE3" s="123"/>
      <c r="AG3" s="76" t="str">
        <f t="shared" si="4"/>
        <v/>
      </c>
      <c r="AH3" s="3" t="str">
        <f t="shared" si="5"/>
        <v/>
      </c>
      <c r="AI3" s="35" t="str">
        <f t="shared" si="6"/>
        <v/>
      </c>
      <c r="AR3" s="123"/>
      <c r="AT3" s="76" t="str">
        <f t="shared" si="7"/>
        <v/>
      </c>
      <c r="AU3" s="3" t="str">
        <f t="shared" si="8"/>
        <v/>
      </c>
      <c r="AV3" s="35" t="str">
        <f t="shared" si="9"/>
        <v/>
      </c>
      <c r="BC3" s="123"/>
      <c r="BE3" s="76" t="str">
        <f t="shared" si="10"/>
        <v/>
      </c>
      <c r="BF3" s="3" t="str">
        <f>IF(AND(Include_study?="Yes",Sufficient_data="Yes"),NORMSINV(Calculations!IW3),"")</f>
        <v/>
      </c>
      <c r="BG3" s="35" t="str">
        <f t="shared" si="11"/>
        <v/>
      </c>
      <c r="BP3" s="123"/>
      <c r="BR3" s="3" t="s">
        <v>132</v>
      </c>
      <c r="BS3" s="4">
        <f>SUM(Calculations!JH:JH)/SQRT(k_)</f>
        <v>-6.6490428463283635</v>
      </c>
      <c r="BT3" s="123"/>
    </row>
    <row r="4" spans="1:72">
      <c r="A4" s="3" t="s">
        <v>51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M4" s="123"/>
      <c r="O4" s="3" t="s">
        <v>133</v>
      </c>
      <c r="P4" s="4">
        <f>IF(Additional_valid_options="Yes",SLOPE(Z_score,Inverse_standard_error),NA())</f>
        <v>-1.3172047723508824</v>
      </c>
      <c r="Q4" s="4">
        <f>IF(Additional_valid_options="Yes",SQRT(((1/(k_-2))*SUMPRODUCT(Calculations!HM:HM,Calculations!HM:HM))/SUMPRODUCT(Calculations!HL:HL,Calculations!HL:HL)),NA())</f>
        <v>0.74831089524443162</v>
      </c>
      <c r="R4" s="4">
        <f>P4-ABS(TINV((1-Additional_confidence_level),k_-1))*Q4</f>
        <v>-2.9845453514096314</v>
      </c>
      <c r="S4" s="4">
        <f>P4+ABS(TINV((1-Additional_confidence_level),k_-1))*Q4</f>
        <v>0.35013580670786659</v>
      </c>
      <c r="T4" s="123"/>
      <c r="V4" s="76" t="str">
        <f t="shared" si="3"/>
        <v/>
      </c>
      <c r="W4" s="35" t="str">
        <f>IF(AND(Include_study?="Yes",Sufficient_data="Yes"),((E:E-I$29)*SQRT(Calculations!FU:FU))/SQRT(1-Calculations!FU:FU/SUM(Calculations!FU:FU)),"")</f>
        <v/>
      </c>
      <c r="AE4" s="123"/>
      <c r="AG4" s="76" t="str">
        <f t="shared" si="4"/>
        <v/>
      </c>
      <c r="AH4" s="3" t="str">
        <f t="shared" si="5"/>
        <v/>
      </c>
      <c r="AI4" s="35" t="str">
        <f t="shared" si="6"/>
        <v/>
      </c>
      <c r="AR4" s="123"/>
      <c r="AT4" s="76" t="str">
        <f t="shared" si="7"/>
        <v/>
      </c>
      <c r="AU4" s="3" t="str">
        <f t="shared" si="8"/>
        <v/>
      </c>
      <c r="AV4" s="35" t="str">
        <f t="shared" si="9"/>
        <v/>
      </c>
      <c r="BC4" s="123"/>
      <c r="BE4" s="76" t="str">
        <f t="shared" si="10"/>
        <v/>
      </c>
      <c r="BF4" s="3" t="str">
        <f>IF(AND(Include_study?="Yes",Sufficient_data="Yes"),NORMSINV(Calculations!IW4),"")</f>
        <v/>
      </c>
      <c r="BG4" s="35" t="str">
        <f t="shared" si="11"/>
        <v/>
      </c>
      <c r="BP4" s="123"/>
      <c r="BR4" s="3" t="s">
        <v>134</v>
      </c>
      <c r="BS4" s="7">
        <f>MAX(0,ROUNDUP(k_*(BS3/NORMSINV((1-Additional_confidence_level)))^2-k_,0))</f>
        <v>169</v>
      </c>
      <c r="BT4" s="123"/>
    </row>
    <row r="5" spans="1:72">
      <c r="D5" s="44" t="str">
        <f t="shared" si="0"/>
        <v/>
      </c>
      <c r="E5" s="3" t="str">
        <f t="shared" si="1"/>
        <v/>
      </c>
      <c r="F5" s="3" t="str">
        <f t="shared" si="2"/>
        <v/>
      </c>
      <c r="M5" s="123"/>
      <c r="T5" s="123"/>
      <c r="V5" s="76" t="str">
        <f t="shared" si="3"/>
        <v/>
      </c>
      <c r="W5" s="35" t="str">
        <f>IF(AND(Include_study?="Yes",Sufficient_data="Yes"),((E:E-I$29)*SQRT(Calculations!FU:FU))/SQRT(1-Calculations!FU:FU/SUM(Calculations!FU:FU)),"")</f>
        <v/>
      </c>
      <c r="AE5" s="123"/>
      <c r="AG5" s="76" t="str">
        <f t="shared" si="4"/>
        <v/>
      </c>
      <c r="AH5" s="3" t="str">
        <f t="shared" si="5"/>
        <v/>
      </c>
      <c r="AI5" s="35" t="str">
        <f t="shared" si="6"/>
        <v/>
      </c>
      <c r="AR5" s="123"/>
      <c r="AT5" s="76" t="str">
        <f t="shared" si="7"/>
        <v/>
      </c>
      <c r="AU5" s="3" t="str">
        <f t="shared" si="8"/>
        <v/>
      </c>
      <c r="AV5" s="35" t="str">
        <f t="shared" si="9"/>
        <v/>
      </c>
      <c r="BC5" s="123"/>
      <c r="BE5" s="76" t="str">
        <f t="shared" si="10"/>
        <v/>
      </c>
      <c r="BF5" s="3" t="str">
        <f>IF(AND(Include_study?="Yes",Sufficient_data="Yes"),NORMSINV(Calculations!IW5),"")</f>
        <v/>
      </c>
      <c r="BG5" s="35" t="str">
        <f t="shared" si="11"/>
        <v/>
      </c>
      <c r="BP5" s="123"/>
      <c r="BR5" s="3" t="s">
        <v>135</v>
      </c>
      <c r="BS5" s="4" t="b">
        <f>BS4&lt;5*k_+10</f>
        <v>0</v>
      </c>
      <c r="BT5" s="123"/>
    </row>
    <row r="6" spans="1:72">
      <c r="A6" s="3" t="s">
        <v>36</v>
      </c>
      <c r="B6" s="5" t="s">
        <v>99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M6" s="123"/>
      <c r="O6" s="3" t="s">
        <v>136</v>
      </c>
      <c r="P6" s="4">
        <f>P3/Q3</f>
        <v>1.2688979165483512</v>
      </c>
      <c r="T6" s="123"/>
      <c r="V6" s="76" t="str">
        <f t="shared" si="3"/>
        <v/>
      </c>
      <c r="W6" s="35" t="str">
        <f>IF(AND(Include_study?="Yes",Sufficient_data="Yes"),((E:E-I$29)*SQRT(Calculations!FU:FU))/SQRT(1-Calculations!FU:FU/SUM(Calculations!FU:FU)),"")</f>
        <v/>
      </c>
      <c r="AE6" s="123"/>
      <c r="AG6" s="76" t="str">
        <f t="shared" si="4"/>
        <v/>
      </c>
      <c r="AH6" s="3" t="str">
        <f t="shared" si="5"/>
        <v/>
      </c>
      <c r="AI6" s="35" t="str">
        <f t="shared" si="6"/>
        <v/>
      </c>
      <c r="AR6" s="123"/>
      <c r="AT6" s="76" t="str">
        <f t="shared" si="7"/>
        <v/>
      </c>
      <c r="AU6" s="3" t="str">
        <f t="shared" si="8"/>
        <v/>
      </c>
      <c r="AV6" s="35" t="str">
        <f t="shared" si="9"/>
        <v/>
      </c>
      <c r="BC6" s="123"/>
      <c r="BE6" s="76" t="str">
        <f t="shared" si="10"/>
        <v/>
      </c>
      <c r="BF6" s="3" t="str">
        <f>IF(AND(Include_study?="Yes",Sufficient_data="Yes"),NORMSINV(Calculations!IW6),"")</f>
        <v/>
      </c>
      <c r="BG6" s="35" t="str">
        <f t="shared" si="11"/>
        <v/>
      </c>
      <c r="BP6" s="123"/>
      <c r="BT6" s="123"/>
    </row>
    <row r="7" spans="1:72">
      <c r="A7" s="3" t="s">
        <v>41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M7" s="123"/>
      <c r="O7" s="3" t="s">
        <v>105</v>
      </c>
      <c r="P7" s="26">
        <f>TDIST(ABS(P6),k_-2,2)</f>
        <v>0.23631055177720817</v>
      </c>
      <c r="T7" s="123"/>
      <c r="V7" s="76" t="str">
        <f t="shared" si="3"/>
        <v/>
      </c>
      <c r="W7" s="35" t="str">
        <f>IF(AND(Include_study?="Yes",Sufficient_data="Yes"),((E:E-I$29)*SQRT(Calculations!FU:FU))/SQRT(1-Calculations!FU:FU/SUM(Calculations!FU:FU)),"")</f>
        <v/>
      </c>
      <c r="AE7" s="123"/>
      <c r="AG7" s="76" t="str">
        <f t="shared" si="4"/>
        <v/>
      </c>
      <c r="AH7" s="3" t="str">
        <f t="shared" si="5"/>
        <v/>
      </c>
      <c r="AI7" s="35" t="str">
        <f t="shared" si="6"/>
        <v/>
      </c>
      <c r="AR7" s="123"/>
      <c r="AT7" s="76" t="str">
        <f t="shared" si="7"/>
        <v/>
      </c>
      <c r="AU7" s="3" t="str">
        <f t="shared" si="8"/>
        <v/>
      </c>
      <c r="AV7" s="35" t="str">
        <f t="shared" si="9"/>
        <v/>
      </c>
      <c r="BC7" s="123"/>
      <c r="BE7" s="76" t="str">
        <f t="shared" si="10"/>
        <v/>
      </c>
      <c r="BF7" s="3" t="str">
        <f>IF(AND(Include_study?="Yes",Sufficient_data="Yes"),NORMSINV(Calculations!IW7),"")</f>
        <v/>
      </c>
      <c r="BG7" s="35" t="str">
        <f t="shared" si="11"/>
        <v/>
      </c>
      <c r="BP7" s="123"/>
      <c r="BR7" s="107" t="s">
        <v>137</v>
      </c>
      <c r="BS7" s="107"/>
      <c r="BT7" s="123"/>
    </row>
    <row r="8" spans="1:72">
      <c r="D8" s="44" t="str">
        <f t="shared" si="0"/>
        <v/>
      </c>
      <c r="E8" s="3" t="str">
        <f t="shared" si="1"/>
        <v/>
      </c>
      <c r="F8" s="3" t="str">
        <f t="shared" si="2"/>
        <v/>
      </c>
      <c r="M8" s="123"/>
      <c r="T8" s="123"/>
      <c r="V8" s="76" t="str">
        <f t="shared" si="3"/>
        <v/>
      </c>
      <c r="W8" s="35" t="str">
        <f>IF(AND(Include_study?="Yes",Sufficient_data="Yes"),((E:E-I$29)*SQRT(Calculations!FU:FU))/SQRT(1-Calculations!FU:FU/SUM(Calculations!FU:FU)),"")</f>
        <v/>
      </c>
      <c r="AE8" s="123"/>
      <c r="AG8" s="76" t="str">
        <f t="shared" si="4"/>
        <v/>
      </c>
      <c r="AH8" s="3" t="str">
        <f t="shared" si="5"/>
        <v/>
      </c>
      <c r="AI8" s="35" t="str">
        <f t="shared" si="6"/>
        <v/>
      </c>
      <c r="AR8" s="123"/>
      <c r="AT8" s="76" t="str">
        <f t="shared" si="7"/>
        <v/>
      </c>
      <c r="AU8" s="3" t="str">
        <f t="shared" si="8"/>
        <v/>
      </c>
      <c r="AV8" s="35" t="str">
        <f t="shared" si="9"/>
        <v/>
      </c>
      <c r="BC8" s="123"/>
      <c r="BE8" s="76" t="str">
        <f t="shared" si="10"/>
        <v/>
      </c>
      <c r="BF8" s="3" t="str">
        <f>IF(AND(Include_study?="Yes",Sufficient_data="Yes"),NORMSINV(Calculations!IW8),"")</f>
        <v/>
      </c>
      <c r="BG8" s="35" t="str">
        <f t="shared" si="11"/>
        <v/>
      </c>
      <c r="BP8" s="123"/>
      <c r="BR8" s="3" t="s">
        <v>138</v>
      </c>
      <c r="BS8" s="7">
        <f>MAX(0,ROUNDUP((k_*(1-MAX(Calculations!JI:JI))-1)/MAX(Calculations!JI:JI),0))</f>
        <v>12</v>
      </c>
      <c r="BT8" s="123"/>
    </row>
    <row r="9" spans="1:72">
      <c r="A9" s="107" t="s">
        <v>68</v>
      </c>
      <c r="B9" s="107"/>
      <c r="D9" s="44" t="str">
        <f t="shared" si="0"/>
        <v/>
      </c>
      <c r="E9" s="3" t="str">
        <f t="shared" si="1"/>
        <v/>
      </c>
      <c r="F9" s="3" t="str">
        <f t="shared" si="2"/>
        <v/>
      </c>
      <c r="M9" s="123"/>
      <c r="O9" s="107" t="s">
        <v>139</v>
      </c>
      <c r="P9" s="107"/>
      <c r="T9" s="123"/>
      <c r="V9" s="76" t="str">
        <f t="shared" si="3"/>
        <v/>
      </c>
      <c r="W9" s="35" t="str">
        <f>IF(AND(Include_study?="Yes",Sufficient_data="Yes"),((E:E-I$29)*SQRT(Calculations!FU:FU))/SQRT(1-Calculations!FU:FU/SUM(Calculations!FU:FU)),"")</f>
        <v/>
      </c>
      <c r="AE9" s="123"/>
      <c r="AG9" s="76" t="str">
        <f t="shared" si="4"/>
        <v/>
      </c>
      <c r="AH9" s="3" t="str">
        <f t="shared" si="5"/>
        <v/>
      </c>
      <c r="AI9" s="35" t="str">
        <f t="shared" si="6"/>
        <v/>
      </c>
      <c r="AR9" s="123"/>
      <c r="AT9" s="76" t="str">
        <f t="shared" si="7"/>
        <v/>
      </c>
      <c r="AU9" s="3" t="str">
        <f t="shared" si="8"/>
        <v/>
      </c>
      <c r="AV9" s="35" t="str">
        <f t="shared" si="9"/>
        <v/>
      </c>
      <c r="BC9" s="123"/>
      <c r="BE9" s="76" t="str">
        <f t="shared" si="10"/>
        <v/>
      </c>
      <c r="BF9" s="3" t="str">
        <f>IF(AND(Include_study?="Yes",Sufficient_data="Yes"),NORMSINV(Calculations!IW9),"")</f>
        <v/>
      </c>
      <c r="BG9" s="35" t="str">
        <f t="shared" si="11"/>
        <v/>
      </c>
      <c r="BP9" s="123"/>
      <c r="BT9" s="123"/>
    </row>
    <row r="10" spans="1:72" ht="12.95">
      <c r="A10" s="109" t="s">
        <v>79</v>
      </c>
      <c r="B10" s="109"/>
      <c r="D10" s="44" t="str">
        <f t="shared" si="0"/>
        <v/>
      </c>
      <c r="E10" s="3" t="str">
        <f t="shared" si="1"/>
        <v/>
      </c>
      <c r="F10" s="3" t="str">
        <f t="shared" si="2"/>
        <v/>
      </c>
      <c r="M10" s="123"/>
      <c r="O10" s="3" t="s">
        <v>140</v>
      </c>
      <c r="P10" s="4">
        <f>IF(Additional_valid_options="Yes",SUM(Calculations!HT:HT)/2-SUM(Calculations!HU:HU)/2,NA())</f>
        <v>17</v>
      </c>
      <c r="T10" s="123"/>
      <c r="V10" s="76" t="str">
        <f t="shared" si="3"/>
        <v/>
      </c>
      <c r="W10" s="35" t="str">
        <f>IF(AND(Include_study?="Yes",Sufficient_data="Yes"),((E:E-I$29)*SQRT(Calculations!FU:FU))/SQRT(1-Calculations!FU:FU/SUM(Calculations!FU:FU)),"")</f>
        <v/>
      </c>
      <c r="AE10" s="123"/>
      <c r="AG10" s="76" t="str">
        <f t="shared" si="4"/>
        <v/>
      </c>
      <c r="AH10" s="3" t="str">
        <f t="shared" si="5"/>
        <v/>
      </c>
      <c r="AI10" s="35" t="str">
        <f t="shared" si="6"/>
        <v/>
      </c>
      <c r="AR10" s="123"/>
      <c r="AT10" s="76" t="str">
        <f t="shared" si="7"/>
        <v/>
      </c>
      <c r="AU10" s="3" t="str">
        <f t="shared" si="8"/>
        <v/>
      </c>
      <c r="AV10" s="35" t="str">
        <f t="shared" si="9"/>
        <v/>
      </c>
      <c r="BC10" s="123"/>
      <c r="BE10" s="76" t="str">
        <f t="shared" si="10"/>
        <v/>
      </c>
      <c r="BF10" s="3" t="str">
        <f>IF(AND(Include_study?="Yes",Sufficient_data="Yes"),NORMSINV(Calculations!IW10),"")</f>
        <v/>
      </c>
      <c r="BG10" s="35" t="str">
        <f t="shared" si="11"/>
        <v/>
      </c>
      <c r="BP10" s="123"/>
      <c r="BR10" s="107" t="s">
        <v>141</v>
      </c>
      <c r="BS10" s="107"/>
      <c r="BT10" s="123"/>
    </row>
    <row r="11" spans="1:72">
      <c r="A11" s="110" t="s">
        <v>69</v>
      </c>
      <c r="B11" s="110"/>
      <c r="D11" s="44" t="str">
        <f t="shared" si="0"/>
        <v>Law et al.</v>
      </c>
      <c r="E11" s="3">
        <f t="shared" si="1"/>
        <v>-0.19453338800807651</v>
      </c>
      <c r="F11" s="3">
        <f t="shared" si="2"/>
        <v>0.16721333811474565</v>
      </c>
      <c r="M11" s="123"/>
      <c r="O11" s="3" t="s">
        <v>142</v>
      </c>
      <c r="P11" s="4">
        <f>IF(Additional_valid_options="Yes",(SUM(Calculations!HT:HT)/2-SUM(Calculations!HU:HU)/2)/(1/2*k_*(k_-1)),NA())</f>
        <v>0.30909090909090908</v>
      </c>
      <c r="T11" s="123"/>
      <c r="V11" s="76" t="str">
        <f t="shared" si="3"/>
        <v>Law et al.</v>
      </c>
      <c r="W11" s="35">
        <f>IF(AND(Include_study?="Yes",Sufficient_data="Yes"),((E:E-I$29)*SQRT(Calculations!FU:FU))/SQRT(1-Calculations!FU:FU/SUM(Calculations!FU:FU)),"")</f>
        <v>1.1267735314476826</v>
      </c>
      <c r="AE11" s="123"/>
      <c r="AG11" s="76" t="str">
        <f t="shared" si="4"/>
        <v>Law et al.</v>
      </c>
      <c r="AH11" s="3">
        <f t="shared" si="5"/>
        <v>1.2213740458015267E-2</v>
      </c>
      <c r="AI11" s="35">
        <f t="shared" si="6"/>
        <v>1.0076335877862596E-2</v>
      </c>
      <c r="AR11" s="123"/>
      <c r="AT11" s="76" t="str">
        <f t="shared" si="7"/>
        <v>Law et al.</v>
      </c>
      <c r="AU11" s="3">
        <f t="shared" si="8"/>
        <v>5.9803841683596852</v>
      </c>
      <c r="AV11" s="35">
        <f t="shared" si="9"/>
        <v>-1.1633843938608726</v>
      </c>
      <c r="BC11" s="123"/>
      <c r="BE11" s="76" t="str">
        <f t="shared" si="10"/>
        <v>Law et al.</v>
      </c>
      <c r="BF11" s="3">
        <f>IF(AND(Include_study?="Yes",Sufficient_data="Yes"),NORMSINV(Calculations!IW11),"")</f>
        <v>0.22300783094036683</v>
      </c>
      <c r="BG11" s="35">
        <f t="shared" si="11"/>
        <v>-1.1633843938608726</v>
      </c>
      <c r="BP11" s="123"/>
      <c r="BR11" s="3" t="s">
        <v>110</v>
      </c>
      <c r="BS11" s="4">
        <f>I29</f>
        <v>-0.37275847038725324</v>
      </c>
      <c r="BT11" s="123"/>
    </row>
    <row r="12" spans="1:72" ht="12.95">
      <c r="A12" s="110" t="s">
        <v>70</v>
      </c>
      <c r="B12" s="110"/>
      <c r="D12" s="44" t="str">
        <f t="shared" si="0"/>
        <v>Zou et al.</v>
      </c>
      <c r="E12" s="3">
        <f t="shared" si="1"/>
        <v>-0.28806871480402096</v>
      </c>
      <c r="F12" s="3">
        <f t="shared" si="2"/>
        <v>0.19198246125536622</v>
      </c>
      <c r="M12" s="123"/>
      <c r="O12" s="3" t="s">
        <v>143</v>
      </c>
      <c r="P12" s="4">
        <f>P10/SQRT((k_*(k_-1)*(2*k_+5)/18))</f>
        <v>1.323448205074589</v>
      </c>
      <c r="T12" s="123"/>
      <c r="V12" s="76" t="str">
        <f t="shared" si="3"/>
        <v>Zou et al.</v>
      </c>
      <c r="W12" s="35">
        <f>IF(AND(Include_study?="Yes",Sufficient_data="Yes"),((E:E-I$29)*SQRT(Calculations!FU:FU))/SQRT(1-Calculations!FU:FU/SUM(Calculations!FU:FU)),"")</f>
        <v>0.45986551733794068</v>
      </c>
      <c r="AE12" s="123"/>
      <c r="AG12" s="76" t="str">
        <f t="shared" si="4"/>
        <v>Zou et al.</v>
      </c>
      <c r="AH12" s="3">
        <f t="shared" si="5"/>
        <v>1.7591674925668981E-2</v>
      </c>
      <c r="AI12" s="35">
        <f t="shared" si="6"/>
        <v>1.3246982631733883E-2</v>
      </c>
      <c r="AR12" s="123"/>
      <c r="AT12" s="76" t="str">
        <f t="shared" si="7"/>
        <v>Zou et al.</v>
      </c>
      <c r="AU12" s="3">
        <f t="shared" si="8"/>
        <v>5.2088091456950645</v>
      </c>
      <c r="AV12" s="35">
        <f t="shared" si="9"/>
        <v>-1.5004949562598078</v>
      </c>
      <c r="BC12" s="123"/>
      <c r="BE12" s="76" t="str">
        <f t="shared" si="10"/>
        <v>Zou et al.</v>
      </c>
      <c r="BF12" s="3">
        <f>IF(AND(Include_study?="Yes",Sufficient_data="Yes"),NORMSINV(Calculations!IW12),"")</f>
        <v>0</v>
      </c>
      <c r="BG12" s="35">
        <f t="shared" si="11"/>
        <v>-1.5004949562598078</v>
      </c>
      <c r="BP12" s="123"/>
      <c r="BR12" s="3" t="s">
        <v>144</v>
      </c>
      <c r="BS12" s="5">
        <v>0</v>
      </c>
      <c r="BT12" s="123"/>
    </row>
    <row r="13" spans="1:72" ht="12.95">
      <c r="D13" s="44" t="str">
        <f t="shared" si="0"/>
        <v xml:space="preserve">Wang et al. </v>
      </c>
      <c r="E13" s="3">
        <f t="shared" si="1"/>
        <v>-0.211245995328425</v>
      </c>
      <c r="F13" s="3">
        <f t="shared" si="2"/>
        <v>0.20397645305706039</v>
      </c>
      <c r="M13" s="123"/>
      <c r="O13" s="3" t="s">
        <v>93</v>
      </c>
      <c r="P13" s="26">
        <f>2*(1-NORMSDIST(ABS(P12)))</f>
        <v>0.1856863700505329</v>
      </c>
      <c r="T13" s="123"/>
      <c r="V13" s="76" t="str">
        <f t="shared" si="3"/>
        <v xml:space="preserve">Wang et al. </v>
      </c>
      <c r="W13" s="35">
        <f>IF(AND(Include_study?="Yes",Sufficient_data="Yes"),((E:E-I$29)*SQRT(Calculations!FU:FU))/SQRT(1-Calculations!FU:FU/SUM(Calculations!FU:FU)),"")</f>
        <v>0.82138798503741783</v>
      </c>
      <c r="AE13" s="123"/>
      <c r="AG13" s="76" t="str">
        <f t="shared" si="4"/>
        <v xml:space="preserve">Wang et al. </v>
      </c>
      <c r="AH13" s="3">
        <f t="shared" si="5"/>
        <v>1.4866204162537165E-2</v>
      </c>
      <c r="AI13" s="35">
        <f t="shared" si="6"/>
        <v>1.2069473064468648E-2</v>
      </c>
      <c r="AR13" s="123"/>
      <c r="AT13" s="76" t="str">
        <f t="shared" si="7"/>
        <v xml:space="preserve">Wang et al. </v>
      </c>
      <c r="AU13" s="3">
        <f t="shared" si="8"/>
        <v>4.9025266642922745</v>
      </c>
      <c r="AV13" s="35">
        <f t="shared" si="9"/>
        <v>-1.0356391248225649</v>
      </c>
      <c r="BC13" s="123"/>
      <c r="BE13" s="76" t="str">
        <f t="shared" si="10"/>
        <v xml:space="preserve">Wang et al. </v>
      </c>
      <c r="BF13" s="3">
        <f>IF(AND(Include_study?="Yes",Sufficient_data="Yes"),NORMSINV(Calculations!IW13),"")</f>
        <v>0.45785193101249527</v>
      </c>
      <c r="BG13" s="35">
        <f t="shared" si="11"/>
        <v>-1.0356391248225649</v>
      </c>
      <c r="BP13" s="123"/>
      <c r="BR13" s="3" t="s">
        <v>145</v>
      </c>
      <c r="BS13" s="5">
        <v>-0.69</v>
      </c>
      <c r="BT13" s="123"/>
    </row>
    <row r="14" spans="1:72">
      <c r="A14" s="107" t="s">
        <v>97</v>
      </c>
      <c r="B14" s="107"/>
      <c r="D14" s="44" t="str">
        <f t="shared" si="0"/>
        <v>Liu et al.</v>
      </c>
      <c r="E14" s="3">
        <f t="shared" si="1"/>
        <v>-0.84827448175650988</v>
      </c>
      <c r="F14" s="3">
        <f t="shared" si="2"/>
        <v>0.16644688172280447</v>
      </c>
      <c r="M14" s="123"/>
      <c r="T14" s="123"/>
      <c r="V14" s="76" t="str">
        <f t="shared" si="3"/>
        <v>Liu et al.</v>
      </c>
      <c r="W14" s="35">
        <f>IF(AND(Include_study?="Yes",Sufficient_data="Yes"),((E:E-I$29)*SQRT(Calculations!FU:FU))/SQRT(1-Calculations!FU:FU/SUM(Calculations!FU:FU)),"")</f>
        <v>-3.0217881651305927</v>
      </c>
      <c r="AE14" s="123"/>
      <c r="AG14" s="76" t="str">
        <f t="shared" si="4"/>
        <v>Liu et al.</v>
      </c>
      <c r="AH14" s="3">
        <f t="shared" si="5"/>
        <v>8.4726867335562991E-2</v>
      </c>
      <c r="AI14" s="35">
        <f t="shared" si="6"/>
        <v>3.8123167155425221E-2</v>
      </c>
      <c r="AR14" s="123"/>
      <c r="AT14" s="76" t="str">
        <f t="shared" si="7"/>
        <v>Liu et al.</v>
      </c>
      <c r="AU14" s="3">
        <f t="shared" si="8"/>
        <v>6.0079227057276405</v>
      </c>
      <c r="AV14" s="35">
        <f t="shared" si="9"/>
        <v>-5.096367519634283</v>
      </c>
      <c r="BC14" s="123"/>
      <c r="BE14" s="76" t="str">
        <f t="shared" si="10"/>
        <v>Liu et al.</v>
      </c>
      <c r="BF14" s="3">
        <f>IF(AND(Include_study?="Yes",Sufficient_data="Yes"),NORMSINV(Calculations!IW14),"")</f>
        <v>-1.5647264713617985</v>
      </c>
      <c r="BG14" s="35">
        <f t="shared" si="11"/>
        <v>-5.096367519634283</v>
      </c>
      <c r="BP14" s="123"/>
      <c r="BR14" s="3" t="s">
        <v>134</v>
      </c>
      <c r="BS14" s="7">
        <f>MAX(0,ROUNDUP(k_*(BS11-BS12)/(BS12-BS13),0))</f>
        <v>0</v>
      </c>
      <c r="BT14" s="123"/>
    </row>
    <row r="15" spans="1:72">
      <c r="A15" s="109" t="str">
        <f>IF(Additional_weighting_method="Peto","Log Peto Odds Ratio","Log Odds Ratio")</f>
        <v>Log Odds Ratio</v>
      </c>
      <c r="B15" s="109"/>
      <c r="D15" s="44" t="str">
        <f t="shared" si="0"/>
        <v>Liu et al.</v>
      </c>
      <c r="E15" s="3">
        <f t="shared" si="1"/>
        <v>-0.16331971535958975</v>
      </c>
      <c r="F15" s="3">
        <f t="shared" si="2"/>
        <v>0.19361022154607277</v>
      </c>
      <c r="M15" s="123"/>
      <c r="T15" s="123"/>
      <c r="V15" s="76" t="str">
        <f t="shared" si="3"/>
        <v>Liu et al.</v>
      </c>
      <c r="W15" s="35">
        <f>IF(AND(Include_study?="Yes",Sufficient_data="Yes"),((E:E-I$29)*SQRT(Calculations!FU:FU))/SQRT(1-Calculations!FU:FU/SUM(Calculations!FU:FU)),"")</f>
        <v>1.1268734787626615</v>
      </c>
      <c r="AE15" s="123"/>
      <c r="AG15" s="76" t="str">
        <f t="shared" si="4"/>
        <v>Liu et al.</v>
      </c>
      <c r="AH15" s="3">
        <f t="shared" si="5"/>
        <v>2.7388123924268502E-2</v>
      </c>
      <c r="AI15" s="35">
        <f t="shared" si="6"/>
        <v>2.3357664233576641E-2</v>
      </c>
      <c r="AR15" s="123"/>
      <c r="AT15" s="76" t="str">
        <f t="shared" si="7"/>
        <v>Liu et al.</v>
      </c>
      <c r="AU15" s="3">
        <f t="shared" si="8"/>
        <v>5.1650165575686477</v>
      </c>
      <c r="AV15" s="35">
        <f t="shared" si="9"/>
        <v>-0.84354903400967962</v>
      </c>
      <c r="BC15" s="123"/>
      <c r="BE15" s="76" t="str">
        <f t="shared" si="10"/>
        <v>Liu et al.</v>
      </c>
      <c r="BF15" s="3">
        <f>IF(AND(Include_study?="Yes",Sufficient_data="Yes"),NORMSINV(Calculations!IW15),"")</f>
        <v>1.0491313979639678</v>
      </c>
      <c r="BG15" s="35">
        <f t="shared" si="11"/>
        <v>-0.84354903400967962</v>
      </c>
      <c r="BP15" s="123"/>
      <c r="BT15" s="123"/>
    </row>
    <row r="16" spans="1:72">
      <c r="A16" s="110" t="str">
        <f>IF(Additional_weighting_method="Inverse variance","Log Risk Ratio","")</f>
        <v>Log Risk Ratio</v>
      </c>
      <c r="B16" s="110"/>
      <c r="D16" s="44" t="str">
        <f t="shared" si="0"/>
        <v>Liu et al.</v>
      </c>
      <c r="E16" s="3">
        <f t="shared" si="1"/>
        <v>-0.22378196294922076</v>
      </c>
      <c r="F16" s="3">
        <f t="shared" si="2"/>
        <v>0.23646026264803963</v>
      </c>
      <c r="M16" s="123"/>
      <c r="T16" s="123"/>
      <c r="V16" s="76" t="str">
        <f t="shared" si="3"/>
        <v>Liu et al.</v>
      </c>
      <c r="W16" s="35">
        <f>IF(AND(Include_study?="Yes",Sufficient_data="Yes"),((E:E-I$29)*SQRT(Calculations!FU:FU))/SQRT(1-Calculations!FU:FU/SUM(Calculations!FU:FU)),"")</f>
        <v>0.64728461165037698</v>
      </c>
      <c r="AE16" s="123"/>
      <c r="AG16" s="76" t="str">
        <f t="shared" si="4"/>
        <v>Liu et al.</v>
      </c>
      <c r="AH16" s="3">
        <f t="shared" si="5"/>
        <v>1.272202486678508E-2</v>
      </c>
      <c r="AI16" s="35">
        <f t="shared" si="6"/>
        <v>1.0197136335339281E-2</v>
      </c>
      <c r="AR16" s="123"/>
      <c r="AT16" s="76" t="str">
        <f t="shared" si="7"/>
        <v>Liu et al.</v>
      </c>
      <c r="AU16" s="3">
        <f t="shared" si="8"/>
        <v>4.2290403842122712</v>
      </c>
      <c r="AV16" s="35">
        <f t="shared" si="9"/>
        <v>-0.94638295857054877</v>
      </c>
      <c r="BC16" s="123"/>
      <c r="BE16" s="76" t="str">
        <f t="shared" si="10"/>
        <v>Liu et al.</v>
      </c>
      <c r="BF16" s="3">
        <f>IF(AND(Include_study?="Yes",Sufficient_data="Yes"),NORMSINV(Calculations!IW16),"")</f>
        <v>0.72152228398234308</v>
      </c>
      <c r="BG16" s="35">
        <f t="shared" si="11"/>
        <v>-0.94638295857054877</v>
      </c>
      <c r="BP16" s="123"/>
      <c r="BR16" s="107" t="s">
        <v>146</v>
      </c>
      <c r="BS16" s="107"/>
      <c r="BT16" s="123"/>
    </row>
    <row r="17" spans="1:72">
      <c r="A17" s="110" t="str">
        <f>IF(Additional_weighting_method="Inverse Variance","Risk Difference","")</f>
        <v>Risk Difference</v>
      </c>
      <c r="B17" s="110"/>
      <c r="D17" s="44" t="str">
        <f t="shared" si="0"/>
        <v>Mustaqeem et al. (A)</v>
      </c>
      <c r="E17" s="3">
        <f t="shared" si="1"/>
        <v>-0.6721897210239639</v>
      </c>
      <c r="F17" s="3">
        <f t="shared" si="2"/>
        <v>0.16978503879488513</v>
      </c>
      <c r="M17" s="123"/>
      <c r="T17" s="123"/>
      <c r="V17" s="76" t="str">
        <f t="shared" si="3"/>
        <v>Mustaqeem et al. (A)</v>
      </c>
      <c r="W17" s="35">
        <f>IF(AND(Include_study?="Yes",Sufficient_data="Yes"),((E:E-I$29)*SQRT(Calculations!FU:FU))/SQRT(1-Calculations!FU:FU/SUM(Calculations!FU:FU)),"")</f>
        <v>-1.861102122802184</v>
      </c>
      <c r="AE17" s="123"/>
      <c r="AG17" s="76" t="str">
        <f t="shared" si="4"/>
        <v>Mustaqeem et al. (A)</v>
      </c>
      <c r="AH17" s="3">
        <f t="shared" si="5"/>
        <v>3.6808413351623229E-2</v>
      </c>
      <c r="AI17" s="35">
        <f t="shared" si="6"/>
        <v>1.9138755980861243E-2</v>
      </c>
      <c r="AR17" s="123"/>
      <c r="AT17" s="76" t="str">
        <f t="shared" si="7"/>
        <v>Mustaqeem et al. (A)</v>
      </c>
      <c r="AU17" s="3">
        <f t="shared" si="8"/>
        <v>5.8898004623840015</v>
      </c>
      <c r="AV17" s="35">
        <f t="shared" si="9"/>
        <v>-3.9590633296967153</v>
      </c>
      <c r="BC17" s="123"/>
      <c r="BE17" s="76" t="str">
        <f t="shared" si="10"/>
        <v>Mustaqeem et al. (A)</v>
      </c>
      <c r="BF17" s="3">
        <f>IF(AND(Include_study?="Yes",Sufficient_data="Yes"),NORMSINV(Calculations!IW17),"")</f>
        <v>-1.0491313979639725</v>
      </c>
      <c r="BG17" s="35">
        <f t="shared" si="11"/>
        <v>-3.9590633296967153</v>
      </c>
      <c r="BP17" s="123"/>
      <c r="BR17" s="3" t="s">
        <v>134</v>
      </c>
      <c r="BS17" s="7">
        <f>MAX(0,ROUNDUP(-2*SUM(Calculations!JJ:JJ),0))</f>
        <v>106</v>
      </c>
      <c r="BT17" s="123"/>
    </row>
    <row r="18" spans="1:72" ht="12.95">
      <c r="D18" s="44" t="str">
        <f t="shared" si="0"/>
        <v>Mustaqeem et al. (B)</v>
      </c>
      <c r="E18" s="3">
        <f t="shared" si="1"/>
        <v>-0.27411650683119987</v>
      </c>
      <c r="F18" s="3">
        <f t="shared" si="2"/>
        <v>0.16510530938094906</v>
      </c>
      <c r="M18" s="123"/>
      <c r="T18" s="123"/>
      <c r="V18" s="76" t="str">
        <f t="shared" si="3"/>
        <v>Mustaqeem et al. (B)</v>
      </c>
      <c r="W18" s="35">
        <f>IF(AND(Include_study?="Yes",Sufficient_data="Yes"),((E:E-I$29)*SQRT(Calculations!FU:FU))/SQRT(1-Calculations!FU:FU/SUM(Calculations!FU:FU)),"")</f>
        <v>0.63255241174663068</v>
      </c>
      <c r="AE18" s="123"/>
      <c r="AG18" s="76" t="str">
        <f t="shared" si="4"/>
        <v>Mustaqeem et al. (B)</v>
      </c>
      <c r="AH18" s="3">
        <f t="shared" si="5"/>
        <v>3.2007315957933241E-2</v>
      </c>
      <c r="AI18" s="35">
        <f t="shared" si="6"/>
        <v>2.4521531100478468E-2</v>
      </c>
      <c r="AR18" s="123"/>
      <c r="AT18" s="76" t="str">
        <f t="shared" si="7"/>
        <v>Mustaqeem et al. (B)</v>
      </c>
      <c r="AU18" s="3">
        <f t="shared" si="8"/>
        <v>6.0567404146446346</v>
      </c>
      <c r="AV18" s="35">
        <f t="shared" si="9"/>
        <v>-1.6602525252457403</v>
      </c>
      <c r="BC18" s="123"/>
      <c r="BE18" s="76" t="str">
        <f t="shared" si="10"/>
        <v>Mustaqeem et al. (B)</v>
      </c>
      <c r="BF18" s="3">
        <f>IF(AND(Include_study?="Yes",Sufficient_data="Yes"),NORMSINV(Calculations!IW18),"")</f>
        <v>-0.22300783094036683</v>
      </c>
      <c r="BG18" s="35">
        <f t="shared" si="11"/>
        <v>-1.6602525252457403</v>
      </c>
      <c r="BP18" s="123"/>
      <c r="BR18" s="3" t="s">
        <v>147</v>
      </c>
      <c r="BS18" s="26">
        <f>CHIDIST(BS17,k_*2)</f>
        <v>5.6751265794721184E-13</v>
      </c>
      <c r="BT18" s="123"/>
    </row>
    <row r="19" spans="1:72">
      <c r="D19" s="44" t="str">
        <f t="shared" si="0"/>
        <v>Hazarika et al. (A)</v>
      </c>
      <c r="E19" s="3">
        <f t="shared" si="1"/>
        <v>-0.54430178778268568</v>
      </c>
      <c r="F19" s="3">
        <f t="shared" si="2"/>
        <v>0.16131531203947366</v>
      </c>
      <c r="M19" s="123"/>
      <c r="T19" s="123"/>
      <c r="V19" s="76" t="str">
        <f t="shared" si="3"/>
        <v>Hazarika et al. (A)</v>
      </c>
      <c r="W19" s="35">
        <f>IF(AND(Include_study?="Yes",Sufficient_data="Yes"),((E:E-I$29)*SQRT(Calculations!FU:FU))/SQRT(1-Calculations!FU:FU/SUM(Calculations!FU:FU)),"")</f>
        <v>-1.1291364165759972</v>
      </c>
      <c r="AE19" s="123"/>
      <c r="AG19" s="76" t="str">
        <f t="shared" si="4"/>
        <v>Hazarika et al. (A)</v>
      </c>
      <c r="AH19" s="3">
        <f t="shared" si="5"/>
        <v>3.8408779149519894E-2</v>
      </c>
      <c r="AI19" s="35">
        <f t="shared" si="6"/>
        <v>2.265176683781335E-2</v>
      </c>
      <c r="AR19" s="123"/>
      <c r="AT19" s="76" t="str">
        <f t="shared" si="7"/>
        <v>Hazarika et al. (A)</v>
      </c>
      <c r="AU19" s="3">
        <f t="shared" si="8"/>
        <v>6.1990395540089906</v>
      </c>
      <c r="AV19" s="35">
        <f t="shared" si="9"/>
        <v>-3.374148311782676</v>
      </c>
      <c r="BC19" s="123"/>
      <c r="BE19" s="76" t="str">
        <f t="shared" si="10"/>
        <v>Hazarika et al. (A)</v>
      </c>
      <c r="BF19" s="3">
        <f>IF(AND(Include_study?="Yes",Sufficient_data="Yes"),NORMSINV(Calculations!IW19),"")</f>
        <v>-0.72152228398234353</v>
      </c>
      <c r="BG19" s="35">
        <f t="shared" si="11"/>
        <v>-3.374148311782676</v>
      </c>
      <c r="BP19" s="123"/>
      <c r="BT19" s="123"/>
    </row>
    <row r="20" spans="1:72">
      <c r="D20" s="44" t="str">
        <f t="shared" si="0"/>
        <v>Fan et al.</v>
      </c>
      <c r="E20" s="3">
        <f t="shared" si="1"/>
        <v>-0.47062576853612209</v>
      </c>
      <c r="F20" s="3">
        <f t="shared" si="2"/>
        <v>0.18157556945115166</v>
      </c>
      <c r="M20" s="123"/>
      <c r="T20" s="123"/>
      <c r="V20" s="76" t="str">
        <f t="shared" si="3"/>
        <v>Fan et al.</v>
      </c>
      <c r="W20" s="35">
        <f>IF(AND(Include_study?="Yes",Sufficient_data="Yes"),((E:E-I$29)*SQRT(Calculations!FU:FU))/SQRT(1-Calculations!FU:FU/SUM(Calculations!FU:FU)),"")</f>
        <v>-0.56477298926748853</v>
      </c>
      <c r="AE20" s="123"/>
      <c r="AG20" s="76" t="str">
        <f t="shared" si="4"/>
        <v>Fan et al.</v>
      </c>
      <c r="AH20" s="3">
        <f t="shared" si="5"/>
        <v>3.5665294924554183E-2</v>
      </c>
      <c r="AI20" s="35">
        <f t="shared" si="6"/>
        <v>2.2579244463742945E-2</v>
      </c>
      <c r="AR20" s="123"/>
      <c r="AT20" s="76" t="str">
        <f t="shared" si="7"/>
        <v>Fan et al.</v>
      </c>
      <c r="AU20" s="3">
        <f t="shared" si="8"/>
        <v>5.5073488301465847</v>
      </c>
      <c r="AV20" s="35">
        <f t="shared" si="9"/>
        <v>-2.5919002757842491</v>
      </c>
      <c r="BC20" s="123"/>
      <c r="BE20" s="76" t="str">
        <f t="shared" si="10"/>
        <v>Fan et al.</v>
      </c>
      <c r="BF20" s="3">
        <f>IF(AND(Include_study?="Yes",Sufficient_data="Yes"),NORMSINV(Calculations!IW20),"")</f>
        <v>-0.45785193101249527</v>
      </c>
      <c r="BG20" s="35">
        <f t="shared" si="11"/>
        <v>-2.5919002757842491</v>
      </c>
      <c r="BP20" s="123"/>
      <c r="BT20" s="123"/>
    </row>
    <row r="21" spans="1:72">
      <c r="D21" s="44" t="str">
        <f t="shared" si="0"/>
        <v>Zou et al.</v>
      </c>
      <c r="E21" s="3">
        <f t="shared" si="1"/>
        <v>2.0927357722306771E-2</v>
      </c>
      <c r="F21" s="3">
        <f t="shared" si="2"/>
        <v>0.17615310575358792</v>
      </c>
      <c r="M21" s="123"/>
      <c r="T21" s="123"/>
      <c r="V21" s="76" t="str">
        <f t="shared" si="3"/>
        <v>Zou et al.</v>
      </c>
      <c r="W21" s="35">
        <f>IF(AND(Include_study?="Yes",Sufficient_data="Yes"),((E:E-I$29)*SQRT(Calculations!FU:FU))/SQRT(1-Calculations!FU:FU/SUM(Calculations!FU:FU)),"")</f>
        <v>2.3490220353009645</v>
      </c>
      <c r="AE21" s="123"/>
      <c r="AG21" s="76" t="str">
        <f t="shared" si="4"/>
        <v>Zou et al.</v>
      </c>
      <c r="AH21" s="3">
        <f t="shared" si="5"/>
        <v>1.7591674925668981E-2</v>
      </c>
      <c r="AI21" s="35">
        <f t="shared" si="6"/>
        <v>1.7957020900794818E-2</v>
      </c>
      <c r="AR21" s="123"/>
      <c r="AT21" s="76" t="str">
        <f t="shared" si="7"/>
        <v>Zou et al.</v>
      </c>
      <c r="AU21" s="3">
        <f t="shared" si="8"/>
        <v>5.6768797559485087</v>
      </c>
      <c r="AV21" s="35">
        <f t="shared" si="9"/>
        <v>0.118802093399256</v>
      </c>
      <c r="BC21" s="123"/>
      <c r="BE21" s="76" t="str">
        <f t="shared" si="10"/>
        <v>Zou et al.</v>
      </c>
      <c r="BF21" s="3">
        <f>IF(AND(Include_study?="Yes",Sufficient_data="Yes"),NORMSINV(Calculations!IW21),"")</f>
        <v>1.5647264713617974</v>
      </c>
      <c r="BG21" s="35">
        <f t="shared" si="11"/>
        <v>0.118802093399256</v>
      </c>
      <c r="BP21" s="123"/>
      <c r="BT21" s="123"/>
    </row>
    <row r="22" spans="1:72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23"/>
      <c r="T22" s="123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23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23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23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23"/>
      <c r="BT22" s="123"/>
    </row>
    <row r="23" spans="1:72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23"/>
      <c r="T23" s="123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23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23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23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23"/>
      <c r="BT23" s="123"/>
    </row>
    <row r="24" spans="1:72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23"/>
      <c r="T24" s="123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23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23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23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23"/>
      <c r="BT24" s="123"/>
    </row>
    <row r="25" spans="1:72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23"/>
      <c r="T25" s="123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23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23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23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23"/>
      <c r="BT25" s="123"/>
    </row>
    <row r="26" spans="1:72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23"/>
      <c r="T26" s="123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23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23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23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23"/>
      <c r="BT26" s="123"/>
    </row>
    <row r="27" spans="1:72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23"/>
      <c r="T27" s="123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23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23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23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23"/>
      <c r="BT27" s="123"/>
    </row>
    <row r="28" spans="1:72" ht="12" customHeight="1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110</v>
      </c>
      <c r="I28" s="28" t="s">
        <v>148</v>
      </c>
      <c r="K28" s="107" t="s">
        <v>64</v>
      </c>
      <c r="L28" s="107"/>
      <c r="M28" s="123"/>
      <c r="T28" s="123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23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23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15" t="s">
        <v>149</v>
      </c>
      <c r="AY28" s="115"/>
      <c r="AZ28" s="115"/>
      <c r="BA28" s="115"/>
      <c r="BB28" s="118"/>
      <c r="BC28" s="123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15" t="s">
        <v>149</v>
      </c>
      <c r="BJ28" s="115"/>
      <c r="BK28" s="115"/>
      <c r="BL28" s="115"/>
      <c r="BM28" s="115"/>
      <c r="BP28" s="123"/>
      <c r="BT28" s="123"/>
    </row>
    <row r="29" spans="1:72" ht="24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-0.37275847038725324</v>
      </c>
      <c r="K29" s="3" t="s">
        <v>65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21.569761009679056</v>
      </c>
      <c r="M29" s="123"/>
      <c r="T29" s="123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150</v>
      </c>
      <c r="Z29" s="1" t="s">
        <v>151</v>
      </c>
      <c r="AA29" s="1" t="s">
        <v>152</v>
      </c>
      <c r="AE29" s="123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23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124</v>
      </c>
      <c r="AZ29" s="3" t="s">
        <v>101</v>
      </c>
      <c r="BA29" s="3" t="s">
        <v>102</v>
      </c>
      <c r="BB29" s="3" t="s">
        <v>103</v>
      </c>
      <c r="BC29" s="123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124</v>
      </c>
      <c r="BK29" s="3" t="s">
        <v>101</v>
      </c>
      <c r="BL29" s="3" t="s">
        <v>102</v>
      </c>
      <c r="BM29" s="3" t="s">
        <v>103</v>
      </c>
      <c r="BP29" s="123"/>
      <c r="BT29" s="123"/>
    </row>
    <row r="30" spans="1:72" ht="13.5" customHeight="1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5.4236716716897358E-2</v>
      </c>
      <c r="K30" s="3" t="s">
        <v>66</v>
      </c>
      <c r="L30" s="26">
        <f>IF(Additional_valid_options="Yes",CHIDIST(L29,k_-1+IF(Trim_and_fill="On",L39,0)),"")</f>
        <v>1.7452878952010503E-2</v>
      </c>
      <c r="M30" s="123"/>
      <c r="T30" s="123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23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23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106</v>
      </c>
      <c r="AY30" s="4">
        <v>0</v>
      </c>
      <c r="AZ30" s="4"/>
      <c r="BA30" s="4"/>
      <c r="BB30" s="4"/>
      <c r="BC30" s="123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106</v>
      </c>
      <c r="BJ30" s="4">
        <f>INTERCEPT(BG:BG,BF:BF)</f>
        <v>-2.0047618487516248</v>
      </c>
      <c r="BK30" s="4">
        <f>BK31*SQRT(1/k_*SUMPRODUCT(BF:BF,BF:BF))</f>
        <v>0.14015654253362539</v>
      </c>
      <c r="BL30" s="4">
        <f>BJ30-ABS(TINV((1-Additional_confidence_level),k_-1))*BK30</f>
        <v>-2.3170500865308625</v>
      </c>
      <c r="BM30" s="4">
        <f>BJ30+ABS(TINV((1-Additional_confidence_level),k_-1))*BK30</f>
        <v>-1.6924736109723872</v>
      </c>
      <c r="BP30" s="123"/>
      <c r="BT30" s="123"/>
    </row>
    <row r="31" spans="1:72" ht="13.5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33</v>
      </c>
      <c r="I31" s="4">
        <f>IF(Additional_valid_options="Yes",I29-ABS(TINV((1-Additional_confidence_level),k_-1))*I30,"")</f>
        <v>-0.49360540610834569</v>
      </c>
      <c r="K31" s="3" t="s">
        <v>67</v>
      </c>
      <c r="L31" s="8">
        <f>IF(Additional_valid_options="Yes",IF(L29-(k_-1+IF(Trim_and_fill="On",L39,0))&lt;=0,0,(L29-(k_-1+IF(Trim_and_fill="On",L39,0)))/L29),"")</f>
        <v>0.53638800191097746</v>
      </c>
      <c r="M31" s="123"/>
      <c r="T31" s="123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-2.8</v>
      </c>
      <c r="Z31" s="4">
        <f t="array" ref="Z31:Z39">FREQUENCY(W:W,Calculations!HZ2:HZ10)/k_</f>
        <v>9.0909090909090912E-2</v>
      </c>
      <c r="AA31" s="4">
        <f>NORMSDIST(Calculations!HZ2)</f>
        <v>2.5551303304279312E-3</v>
      </c>
      <c r="AE31" s="123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23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133</v>
      </c>
      <c r="AY31" s="4">
        <f>I29</f>
        <v>-0.37275847038725324</v>
      </c>
      <c r="AZ31" s="4">
        <f>I30</f>
        <v>5.4236716716897358E-2</v>
      </c>
      <c r="BA31" s="4">
        <f>AY31-ABS(TINV((1-Additional_confidence_level),k_-1))*AZ31</f>
        <v>-0.49360540610834569</v>
      </c>
      <c r="BB31" s="4">
        <f>AY31+ABS(TINV((1-Additional_confidence_level),k_-1))*AZ31</f>
        <v>-0.25191153466616079</v>
      </c>
      <c r="BC31" s="123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133</v>
      </c>
      <c r="BJ31" s="4">
        <f>SLOPE(BG:BG,BF:BF)</f>
        <v>1.6174548776427335</v>
      </c>
      <c r="BK31" s="4">
        <f>SQRT(((1/(k_-2))*SUMPRODUCT(Calculations!JA:JA,Calculations!JA:JA))/SUMPRODUCT(Calculations!IZ:IZ,Calculations!IZ:IZ))</f>
        <v>0.15797955338004802</v>
      </c>
      <c r="BL31" s="4">
        <f>BJ31-ABS(TINV((1-Additional_confidence_level),k_-1))*BK31</f>
        <v>1.265454496937209</v>
      </c>
      <c r="BM31" s="4">
        <f>BJ31+ABS(TINV((1-Additional_confidence_level),k_-1))*BK31</f>
        <v>1.9694552583482581</v>
      </c>
      <c r="BP31" s="123"/>
      <c r="BT31" s="123"/>
    </row>
    <row r="32" spans="1:72" ht="14.25" customHeight="1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34</v>
      </c>
      <c r="I32" s="4">
        <f>IF(Additional_valid_options="Yes",I29+ABS(TINV((1-Additional_confidence_level),k_-1))*I30,"")</f>
        <v>-0.25191153466616079</v>
      </c>
      <c r="K32" s="3" t="s">
        <v>153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3.7582404540789441E-2</v>
      </c>
      <c r="M32" s="123"/>
      <c r="T32" s="123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-2.8; -2</v>
      </c>
      <c r="Z32" s="4">
        <v>0</v>
      </c>
      <c r="AA32" s="4">
        <f>NORMSDIST(Calculations!HZ3)-(SUM(AA$31:AA31))</f>
        <v>2.019500161775126E-2</v>
      </c>
      <c r="AE32" s="123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15" t="s">
        <v>110</v>
      </c>
      <c r="AL32" s="115"/>
      <c r="AM32" s="115"/>
      <c r="AR32" s="123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23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23"/>
      <c r="BT32" s="123"/>
    </row>
    <row r="33" spans="4:72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57</v>
      </c>
      <c r="I33" s="4">
        <f>IF(Additional_valid_options="Yes",I29-ABS(TINV((1-Additional_confidence_level),k_-1))*SQRT(I30^2+Calculations!GH12),"")</f>
        <v>-0.82129574929768978</v>
      </c>
      <c r="K33" s="3" t="s">
        <v>77</v>
      </c>
      <c r="L33" s="4">
        <f>IF(Additional_valid_options="Yes",SQRT(L32),"")</f>
        <v>0.19386181816126</v>
      </c>
      <c r="M33" s="123"/>
      <c r="T33" s="123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-2; -1.2</v>
      </c>
      <c r="Z33" s="4">
        <v>9.0909090909090912E-2</v>
      </c>
      <c r="AA33" s="4">
        <f>NORMSDIST(Calculations!HZ4)-(SUM(AA$31:AA32))</f>
        <v>9.2319538273529012E-2</v>
      </c>
      <c r="AE33" s="123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16" t="s">
        <v>154</v>
      </c>
      <c r="AL33" s="116"/>
      <c r="AM33" s="116"/>
      <c r="AR33" s="123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23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155</v>
      </c>
      <c r="BJ33" s="5" t="s">
        <v>156</v>
      </c>
      <c r="BP33" s="123"/>
      <c r="BT33" s="123"/>
    </row>
    <row r="34" spans="4:72" ht="12" customHeight="1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58</v>
      </c>
      <c r="I34" s="4">
        <f>IF(Additional_valid_options="Yes",I29+ABS(TINV((1-Additional_confidence_level),k_-1))*SQRT(I30^2+Calculations!GH12),"")</f>
        <v>7.577880852318325E-2</v>
      </c>
      <c r="M34" s="123"/>
      <c r="T34" s="123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-1.2; -0.4</v>
      </c>
      <c r="Z34" s="4">
        <v>0.18181818181818182</v>
      </c>
      <c r="AA34" s="4">
        <f>NORMSDIST(Calculations!HZ5)-(SUM(AA$31:AA33))</f>
        <v>0.22950858816796754</v>
      </c>
      <c r="AE34" s="123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157</v>
      </c>
      <c r="AL34" s="3"/>
      <c r="AM34" s="4">
        <f>EXP(SUMPRODUCT(LogRiskRatio,Calculations!IE:IE)/SUM(Calculations!IE:IE))</f>
        <v>0.69337732392688023</v>
      </c>
      <c r="AR34" s="123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23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23"/>
      <c r="BT34" s="123"/>
    </row>
    <row r="35" spans="4:72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23"/>
      <c r="T35" s="123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-0.4; 0.4</v>
      </c>
      <c r="Z35" s="4">
        <v>0</v>
      </c>
      <c r="AA35" s="4">
        <f>NORMSDIST(Calculations!HZ6)-(SUM(AA$31:AA34))</f>
        <v>0.31084348322064853</v>
      </c>
      <c r="AE35" s="123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23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23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23"/>
      <c r="BT35" s="123"/>
    </row>
    <row r="36" spans="4:72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110</v>
      </c>
      <c r="I36" s="90" t="s">
        <v>158</v>
      </c>
      <c r="K36" s="1" t="s">
        <v>159</v>
      </c>
      <c r="L36" s="5" t="s">
        <v>160</v>
      </c>
      <c r="M36" s="123"/>
      <c r="T36" s="123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0.4; 1.2</v>
      </c>
      <c r="Z36" s="4">
        <v>0.54545454545454541</v>
      </c>
      <c r="AA36" s="4">
        <f>NORMSDIST(Calculations!HZ7)-(SUM(AA$31:AA35))</f>
        <v>0.22950858816796749</v>
      </c>
      <c r="AE36" s="123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23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23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23"/>
      <c r="BT36" s="123"/>
    </row>
    <row r="37" spans="4:72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-0.37275847038725324</v>
      </c>
      <c r="K37" s="3" t="s">
        <v>161</v>
      </c>
      <c r="L37" s="5" t="s">
        <v>162</v>
      </c>
      <c r="M37" s="123"/>
      <c r="T37" s="123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1.2; 2</v>
      </c>
      <c r="Z37" s="4">
        <v>0</v>
      </c>
      <c r="AA37" s="4">
        <f>NORMSDIST(Calculations!HZ8)-(SUM(AA$31:AA36))</f>
        <v>9.2319538273529012E-2</v>
      </c>
      <c r="AE37" s="123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23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23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23"/>
      <c r="BT37" s="123"/>
    </row>
    <row r="38" spans="4:72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5.4236716716897358E-2</v>
      </c>
      <c r="K38" s="3" t="s">
        <v>163</v>
      </c>
      <c r="L38" s="91" t="str">
        <f>IF(Trim_and_fill="Off","",IF(I29&gt;0,"Left",IF(I29&lt;0,"Right","NA")))</f>
        <v>Right</v>
      </c>
      <c r="M38" s="123"/>
      <c r="T38" s="123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2; 2.8</v>
      </c>
      <c r="Z38" s="4">
        <v>9.0909090909090912E-2</v>
      </c>
      <c r="AA38" s="4">
        <f>NORMSDIST(Calculations!HZ9)-(SUM(AA$31:AA37))</f>
        <v>2.0195001617751229E-2</v>
      </c>
      <c r="AE38" s="123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23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23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23"/>
      <c r="BT38" s="123"/>
    </row>
    <row r="39" spans="4:72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33</v>
      </c>
      <c r="I39" s="4">
        <f>IF(AND(Trim_and_fill="On",Additional_valid_options="Yes",L38&lt;&gt;""),I37-ABS(TINV((1-Additional_confidence_level),k_+L39-1))*I38,"")</f>
        <v>-0.49360540610834569</v>
      </c>
      <c r="K39" s="3" t="s">
        <v>164</v>
      </c>
      <c r="L39" s="7">
        <f>IF(L38&lt;&gt;"",Calculations!GW21,"")</f>
        <v>0</v>
      </c>
      <c r="M39" s="123"/>
      <c r="T39" s="123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2.8; ∞</v>
      </c>
      <c r="Z39" s="4">
        <v>0</v>
      </c>
      <c r="AA39" s="4">
        <f>1-(SUM(AA31:AA38))</f>
        <v>2.5551303304279793E-3</v>
      </c>
      <c r="AE39" s="123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23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23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23"/>
      <c r="BT39" s="123"/>
    </row>
    <row r="40" spans="4:72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34</v>
      </c>
      <c r="I40" s="4">
        <f>IF(AND(Trim_and_fill="On",Additional_valid_options="Yes",L38&lt;&gt;""),I37+ABS(TINV((1-Additional_confidence_level),k_+L39-1))*I38,"")</f>
        <v>-0.25191153466616079</v>
      </c>
      <c r="M40" s="123"/>
      <c r="T40" s="123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23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23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23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23"/>
      <c r="BT40" s="123"/>
    </row>
    <row r="41" spans="4:72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57</v>
      </c>
      <c r="I41" s="4">
        <f>IF(AND(Trim_and_fill="On",Additional_valid_options="Yes",L38&lt;&gt;""),I37-ABS(TINV((1-Additional_confidence_level),k_+L39-1))*SQRT(I38^2+L32),"")</f>
        <v>-0.82129574929768978</v>
      </c>
      <c r="M41" s="123"/>
      <c r="T41" s="123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165</v>
      </c>
      <c r="AE41" s="123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23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23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23"/>
      <c r="BT41" s="123"/>
    </row>
    <row r="42" spans="4:72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58</v>
      </c>
      <c r="I42" s="4">
        <f>IF(AND(Trim_and_fill="On",Additional_valid_options="Yes",L38&lt;&gt;""),I37+ABS(TINV((1-Additional_confidence_level),k_+L39-1))*SQRT(I38^2+L32),"")</f>
        <v>7.577880852318325E-2</v>
      </c>
      <c r="M42" s="123"/>
      <c r="T42" s="123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23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23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23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23"/>
      <c r="BT42" s="123"/>
    </row>
    <row r="43" spans="4:72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23"/>
      <c r="T43" s="123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23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23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23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23"/>
      <c r="BT43" s="123"/>
    </row>
    <row r="44" spans="4:72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23"/>
      <c r="T44" s="123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23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23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23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23"/>
      <c r="BT44" s="123"/>
    </row>
    <row r="45" spans="4:72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23"/>
      <c r="T45" s="123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23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23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23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23"/>
      <c r="BT45" s="123"/>
    </row>
    <row r="46" spans="4:72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23"/>
      <c r="T46" s="123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23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23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23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23"/>
      <c r="BT46" s="123"/>
    </row>
    <row r="47" spans="4:72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23"/>
      <c r="T47" s="123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23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23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23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23"/>
      <c r="BT47" s="123"/>
    </row>
    <row r="48" spans="4:72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23"/>
      <c r="T48" s="123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23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23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23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23"/>
      <c r="BT48" s="123"/>
    </row>
    <row r="49" spans="4:72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23"/>
      <c r="T49" s="123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23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23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23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23"/>
      <c r="BT49" s="123"/>
    </row>
    <row r="50" spans="4:72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23"/>
      <c r="T50" s="123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23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23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23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23"/>
      <c r="BT50" s="123"/>
    </row>
    <row r="51" spans="4:72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23"/>
      <c r="T51" s="123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23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23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23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23"/>
      <c r="BT51" s="123"/>
    </row>
    <row r="52" spans="4:72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23"/>
      <c r="T52" s="123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23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23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23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23"/>
      <c r="BT52" s="123"/>
    </row>
    <row r="53" spans="4:72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23"/>
      <c r="T53" s="123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23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23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23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23"/>
      <c r="BT53" s="123"/>
    </row>
    <row r="54" spans="4:72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23"/>
      <c r="T54" s="123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23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23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23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23"/>
      <c r="BT54" s="123"/>
    </row>
    <row r="55" spans="4:72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23"/>
      <c r="T55" s="123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23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23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23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23"/>
      <c r="BT55" s="123"/>
    </row>
    <row r="56" spans="4:72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23"/>
      <c r="T56" s="123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23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23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23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23"/>
      <c r="BT56" s="123"/>
    </row>
    <row r="57" spans="4:72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23"/>
      <c r="T57" s="123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23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23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23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23"/>
      <c r="BT57" s="123"/>
    </row>
    <row r="58" spans="4:72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23"/>
      <c r="T58" s="123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23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23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23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23"/>
      <c r="BT58" s="123"/>
    </row>
    <row r="59" spans="4:72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23"/>
      <c r="T59" s="123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23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23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23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23"/>
      <c r="BT59" s="123"/>
    </row>
    <row r="60" spans="4:72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23"/>
      <c r="T60" s="123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23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23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23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23"/>
      <c r="BT60" s="123"/>
    </row>
    <row r="61" spans="4:72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23"/>
      <c r="T61" s="123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23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23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23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23"/>
      <c r="BT61" s="123"/>
    </row>
    <row r="62" spans="4:72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23"/>
      <c r="T62" s="123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23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23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23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23"/>
      <c r="BT62" s="123"/>
    </row>
    <row r="63" spans="4:72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23"/>
      <c r="T63" s="123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23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23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23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23"/>
      <c r="BT63" s="123"/>
    </row>
    <row r="64" spans="4:72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23"/>
      <c r="T64" s="123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23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23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23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23"/>
      <c r="BT64" s="123"/>
    </row>
    <row r="65" spans="4:72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23"/>
      <c r="T65" s="123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23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23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23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23"/>
      <c r="BT65" s="123"/>
    </row>
    <row r="66" spans="4:72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23"/>
      <c r="T66" s="123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23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23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23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23"/>
      <c r="BT66" s="123"/>
    </row>
    <row r="67" spans="4:72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23"/>
      <c r="T67" s="123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23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23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23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23"/>
      <c r="BT67" s="123"/>
    </row>
    <row r="68" spans="4:72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23"/>
      <c r="T68" s="123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23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23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23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23"/>
      <c r="BT68" s="123"/>
    </row>
    <row r="69" spans="4:72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23"/>
      <c r="T69" s="123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23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23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23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23"/>
      <c r="BT69" s="123"/>
    </row>
    <row r="70" spans="4:72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23"/>
      <c r="T70" s="123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23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23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23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23"/>
      <c r="BT70" s="123"/>
    </row>
    <row r="71" spans="4:72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23"/>
      <c r="T71" s="123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23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23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23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23"/>
      <c r="BT71" s="123"/>
    </row>
    <row r="72" spans="4:72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23"/>
      <c r="T72" s="123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23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23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23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23"/>
      <c r="BT72" s="123"/>
    </row>
    <row r="73" spans="4:72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23"/>
      <c r="T73" s="123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23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23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23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23"/>
      <c r="BT73" s="123"/>
    </row>
    <row r="74" spans="4:72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23"/>
      <c r="T74" s="123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23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23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23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23"/>
      <c r="BT74" s="123"/>
    </row>
    <row r="75" spans="4:72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23"/>
      <c r="T75" s="123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23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23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23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23"/>
      <c r="BT75" s="123"/>
    </row>
    <row r="76" spans="4:72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23"/>
      <c r="T76" s="123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23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23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23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23"/>
      <c r="BT76" s="123"/>
    </row>
    <row r="77" spans="4:72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23"/>
      <c r="T77" s="123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23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23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23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23"/>
      <c r="BT77" s="123"/>
    </row>
    <row r="78" spans="4:72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23"/>
      <c r="T78" s="123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23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23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23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23"/>
      <c r="BT78" s="123"/>
    </row>
    <row r="79" spans="4:72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23"/>
      <c r="T79" s="123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23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23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23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23"/>
      <c r="BT79" s="123"/>
    </row>
    <row r="80" spans="4:72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23"/>
      <c r="T80" s="123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23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23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23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23"/>
      <c r="BT80" s="123"/>
    </row>
    <row r="81" spans="4:72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23"/>
      <c r="T81" s="123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23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23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23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23"/>
      <c r="BT81" s="123"/>
    </row>
    <row r="82" spans="4:72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23"/>
      <c r="T82" s="123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23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23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23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23"/>
      <c r="BT82" s="123"/>
    </row>
    <row r="83" spans="4:72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23"/>
      <c r="T83" s="123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23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23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23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23"/>
      <c r="BT83" s="123"/>
    </row>
    <row r="84" spans="4:72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23"/>
      <c r="T84" s="123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23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23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23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23"/>
      <c r="BT84" s="123"/>
    </row>
    <row r="85" spans="4:72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23"/>
      <c r="T85" s="123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23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23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23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23"/>
      <c r="BT85" s="123"/>
    </row>
    <row r="86" spans="4:72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23"/>
      <c r="T86" s="123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23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23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23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23"/>
      <c r="BT86" s="123"/>
    </row>
    <row r="87" spans="4:72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23"/>
      <c r="T87" s="123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23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23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23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23"/>
      <c r="BT87" s="123"/>
    </row>
    <row r="88" spans="4:72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23"/>
      <c r="T88" s="123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23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23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23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23"/>
      <c r="BT88" s="123"/>
    </row>
    <row r="89" spans="4:72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23"/>
      <c r="T89" s="123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23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23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23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23"/>
      <c r="BT89" s="123"/>
    </row>
    <row r="90" spans="4:72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23"/>
      <c r="T90" s="123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23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23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23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23"/>
      <c r="BT90" s="123"/>
    </row>
    <row r="91" spans="4:72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23"/>
      <c r="T91" s="123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23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23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23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23"/>
      <c r="BT91" s="123"/>
    </row>
    <row r="92" spans="4:72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23"/>
      <c r="T92" s="123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23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23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23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23"/>
      <c r="BT92" s="123"/>
    </row>
    <row r="93" spans="4:72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23"/>
      <c r="T93" s="123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23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23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23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23"/>
      <c r="BT93" s="123"/>
    </row>
    <row r="94" spans="4:72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23"/>
      <c r="T94" s="123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23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23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23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23"/>
      <c r="BT94" s="123"/>
    </row>
    <row r="95" spans="4:72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23"/>
      <c r="T95" s="123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23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23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23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23"/>
      <c r="BT95" s="123"/>
    </row>
    <row r="96" spans="4:72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23"/>
      <c r="T96" s="123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23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23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23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23"/>
      <c r="BT96" s="123"/>
    </row>
    <row r="97" spans="4:72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23"/>
      <c r="T97" s="123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23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23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23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23"/>
      <c r="BT97" s="123"/>
    </row>
    <row r="98" spans="4:72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23"/>
      <c r="T98" s="123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23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23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23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23"/>
      <c r="BT98" s="123"/>
    </row>
    <row r="99" spans="4:72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23"/>
      <c r="T99" s="123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23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23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23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23"/>
      <c r="BT99" s="123"/>
    </row>
    <row r="100" spans="4:72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23"/>
      <c r="T100" s="123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23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23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23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23"/>
      <c r="BT100" s="123"/>
    </row>
    <row r="101" spans="4:72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23"/>
      <c r="T101" s="123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23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23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23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23"/>
      <c r="BT101" s="123"/>
    </row>
    <row r="102" spans="4:72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23"/>
      <c r="T102" s="123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23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23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23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23"/>
      <c r="BT102" s="123"/>
    </row>
    <row r="103" spans="4:72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23"/>
      <c r="T103" s="123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23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23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23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23"/>
      <c r="BT103" s="123"/>
    </row>
    <row r="104" spans="4:72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23"/>
      <c r="T104" s="123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23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23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23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23"/>
      <c r="BT104" s="123"/>
    </row>
    <row r="105" spans="4:72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23"/>
      <c r="T105" s="123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23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23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23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23"/>
      <c r="BT105" s="123"/>
    </row>
    <row r="106" spans="4:72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23"/>
      <c r="T106" s="123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23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23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23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23"/>
      <c r="BT106" s="123"/>
    </row>
    <row r="107" spans="4:72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23"/>
      <c r="T107" s="123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23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23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23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23"/>
      <c r="BT107" s="123"/>
    </row>
    <row r="108" spans="4:72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23"/>
      <c r="T108" s="123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23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23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23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23"/>
      <c r="BT108" s="123"/>
    </row>
    <row r="109" spans="4:72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23"/>
      <c r="T109" s="123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23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23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23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23"/>
      <c r="BT109" s="123"/>
    </row>
    <row r="110" spans="4:72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23"/>
      <c r="T110" s="123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23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23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23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23"/>
      <c r="BT110" s="123"/>
    </row>
    <row r="111" spans="4:72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23"/>
      <c r="T111" s="123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23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23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23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23"/>
      <c r="BT111" s="123"/>
    </row>
    <row r="112" spans="4:72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23"/>
      <c r="T112" s="123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23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23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23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23"/>
      <c r="BT112" s="123"/>
    </row>
    <row r="113" spans="4:72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23"/>
      <c r="T113" s="123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23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23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23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23"/>
      <c r="BT113" s="123"/>
    </row>
    <row r="114" spans="4:72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23"/>
      <c r="T114" s="123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23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23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23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23"/>
      <c r="BT114" s="123"/>
    </row>
    <row r="115" spans="4:72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23"/>
      <c r="T115" s="123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23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23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23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23"/>
      <c r="BT115" s="123"/>
    </row>
    <row r="116" spans="4:72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23"/>
      <c r="T116" s="123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23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23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23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23"/>
      <c r="BT116" s="123"/>
    </row>
    <row r="117" spans="4:72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23"/>
      <c r="T117" s="123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23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23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23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23"/>
      <c r="BT117" s="123"/>
    </row>
    <row r="118" spans="4:72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23"/>
      <c r="T118" s="123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23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23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23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23"/>
      <c r="BT118" s="123"/>
    </row>
    <row r="119" spans="4:72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23"/>
      <c r="T119" s="123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23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23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23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23"/>
      <c r="BT119" s="123"/>
    </row>
    <row r="120" spans="4:72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23"/>
      <c r="T120" s="123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23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23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23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23"/>
      <c r="BT120" s="123"/>
    </row>
    <row r="121" spans="4:72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23"/>
      <c r="T121" s="123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23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23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23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23"/>
      <c r="BT121" s="123"/>
    </row>
    <row r="122" spans="4:72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23"/>
      <c r="T122" s="123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23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23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23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23"/>
      <c r="BT122" s="123"/>
    </row>
    <row r="123" spans="4:72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23"/>
      <c r="T123" s="123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23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23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23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23"/>
      <c r="BT123" s="123"/>
    </row>
    <row r="124" spans="4:72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23"/>
      <c r="T124" s="123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23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23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23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23"/>
      <c r="BT124" s="123"/>
    </row>
    <row r="125" spans="4:72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23"/>
      <c r="T125" s="123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23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23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23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23"/>
      <c r="BT125" s="123"/>
    </row>
    <row r="126" spans="4:72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23"/>
      <c r="T126" s="123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23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23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23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23"/>
      <c r="BT126" s="123"/>
    </row>
    <row r="127" spans="4:72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23"/>
      <c r="T127" s="123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23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23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23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23"/>
      <c r="BT127" s="123"/>
    </row>
    <row r="128" spans="4:72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23"/>
      <c r="T128" s="123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23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23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23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23"/>
      <c r="BT128" s="123"/>
    </row>
    <row r="129" spans="4:72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23"/>
      <c r="T129" s="123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23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23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23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23"/>
      <c r="BT129" s="123"/>
    </row>
    <row r="130" spans="4:72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23"/>
      <c r="T130" s="123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23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23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23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23"/>
      <c r="BT130" s="123"/>
    </row>
    <row r="131" spans="4:72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23"/>
      <c r="T131" s="123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23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23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23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23"/>
      <c r="BT131" s="123"/>
    </row>
    <row r="132" spans="4:72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23"/>
      <c r="T132" s="123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23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23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23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23"/>
      <c r="BT132" s="123"/>
    </row>
    <row r="133" spans="4:72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23"/>
      <c r="T133" s="123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23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23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23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23"/>
      <c r="BT133" s="123"/>
    </row>
    <row r="134" spans="4:72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23"/>
      <c r="T134" s="123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23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23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23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23"/>
      <c r="BT134" s="123"/>
    </row>
    <row r="135" spans="4:72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23"/>
      <c r="T135" s="123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23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23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23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23"/>
      <c r="BT135" s="123"/>
    </row>
    <row r="136" spans="4:72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23"/>
      <c r="T136" s="123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23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23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23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23"/>
      <c r="BT136" s="123"/>
    </row>
    <row r="137" spans="4:72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23"/>
      <c r="T137" s="123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23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23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23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23"/>
      <c r="BT137" s="123"/>
    </row>
    <row r="138" spans="4:72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23"/>
      <c r="T138" s="123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23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23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23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23"/>
      <c r="BT138" s="123"/>
    </row>
    <row r="139" spans="4:72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23"/>
      <c r="T139" s="123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23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23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23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23"/>
      <c r="BT139" s="123"/>
    </row>
    <row r="140" spans="4:72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23"/>
      <c r="T140" s="123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23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23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23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23"/>
      <c r="BT140" s="123"/>
    </row>
    <row r="141" spans="4:72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23"/>
      <c r="T141" s="123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23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23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23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23"/>
      <c r="BT141" s="123"/>
    </row>
    <row r="142" spans="4:72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23"/>
      <c r="T142" s="123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23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23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23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23"/>
      <c r="BT142" s="123"/>
    </row>
    <row r="143" spans="4:72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23"/>
      <c r="T143" s="123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23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23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23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23"/>
      <c r="BT143" s="123"/>
    </row>
    <row r="144" spans="4:72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23"/>
      <c r="T144" s="123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23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23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23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23"/>
      <c r="BT144" s="123"/>
    </row>
    <row r="145" spans="4:72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23"/>
      <c r="T145" s="123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23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23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23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23"/>
      <c r="BT145" s="123"/>
    </row>
    <row r="146" spans="4:72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23"/>
      <c r="T146" s="123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23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23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23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23"/>
      <c r="BT146" s="123"/>
    </row>
    <row r="147" spans="4:72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23"/>
      <c r="T147" s="123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23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23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23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23"/>
      <c r="BT147" s="123"/>
    </row>
    <row r="148" spans="4:72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23"/>
      <c r="T148" s="123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23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23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23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23"/>
      <c r="BT148" s="123"/>
    </row>
    <row r="149" spans="4:72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23"/>
      <c r="T149" s="123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23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23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23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23"/>
      <c r="BT149" s="123"/>
    </row>
    <row r="150" spans="4:72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23"/>
      <c r="T150" s="123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23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23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23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23"/>
      <c r="BT150" s="123"/>
    </row>
    <row r="151" spans="4:72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23"/>
      <c r="T151" s="123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23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23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23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23"/>
      <c r="BT151" s="123"/>
    </row>
    <row r="152" spans="4:72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23"/>
      <c r="T152" s="123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23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23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23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23"/>
      <c r="BT152" s="123"/>
    </row>
    <row r="153" spans="4:72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23"/>
      <c r="T153" s="123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23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23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23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23"/>
      <c r="BT153" s="123"/>
    </row>
    <row r="154" spans="4:72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23"/>
      <c r="T154" s="123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23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23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23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23"/>
      <c r="BT154" s="123"/>
    </row>
    <row r="155" spans="4:72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23"/>
      <c r="T155" s="123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23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23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23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23"/>
      <c r="BT155" s="123"/>
    </row>
    <row r="156" spans="4:72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23"/>
      <c r="T156" s="123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23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23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23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23"/>
      <c r="BT156" s="123"/>
    </row>
    <row r="157" spans="4:72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23"/>
      <c r="T157" s="123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23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23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23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23"/>
      <c r="BT157" s="123"/>
    </row>
    <row r="158" spans="4:72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23"/>
      <c r="T158" s="123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23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23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23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23"/>
      <c r="BT158" s="123"/>
    </row>
    <row r="159" spans="4:72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23"/>
      <c r="T159" s="123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23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23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23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23"/>
      <c r="BT159" s="123"/>
    </row>
    <row r="160" spans="4:72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23"/>
      <c r="T160" s="123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23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23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23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23"/>
      <c r="BT160" s="123"/>
    </row>
    <row r="161" spans="4:72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23"/>
      <c r="T161" s="123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23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23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23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23"/>
      <c r="BT161" s="123"/>
    </row>
    <row r="162" spans="4:72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23"/>
      <c r="T162" s="123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23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23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23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23"/>
      <c r="BT162" s="123"/>
    </row>
    <row r="163" spans="4:72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23"/>
      <c r="T163" s="123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23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23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23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23"/>
      <c r="BT163" s="123"/>
    </row>
    <row r="164" spans="4:72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23"/>
      <c r="T164" s="123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23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23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23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23"/>
      <c r="BT164" s="123"/>
    </row>
    <row r="165" spans="4:72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23"/>
      <c r="T165" s="123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23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23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23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23"/>
      <c r="BT165" s="123"/>
    </row>
    <row r="166" spans="4:72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23"/>
      <c r="T166" s="123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23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23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23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23"/>
      <c r="BT166" s="123"/>
    </row>
    <row r="167" spans="4:72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23"/>
      <c r="T167" s="123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23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23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23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23"/>
      <c r="BT167" s="123"/>
    </row>
    <row r="168" spans="4:72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23"/>
      <c r="T168" s="123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23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23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23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23"/>
      <c r="BT168" s="123"/>
    </row>
    <row r="169" spans="4:72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23"/>
      <c r="T169" s="123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23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23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23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23"/>
      <c r="BT169" s="123"/>
    </row>
    <row r="170" spans="4:72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23"/>
      <c r="T170" s="123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23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23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23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23"/>
      <c r="BT170" s="123"/>
    </row>
    <row r="171" spans="4:72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23"/>
      <c r="T171" s="123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23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23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23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23"/>
      <c r="BT171" s="123"/>
    </row>
    <row r="172" spans="4:72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23"/>
      <c r="T172" s="123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23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23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23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23"/>
      <c r="BT172" s="123"/>
    </row>
    <row r="173" spans="4:72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23"/>
      <c r="T173" s="123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23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23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23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23"/>
      <c r="BT173" s="123"/>
    </row>
    <row r="174" spans="4:72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23"/>
      <c r="T174" s="123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23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23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23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23"/>
      <c r="BT174" s="123"/>
    </row>
    <row r="175" spans="4:72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23"/>
      <c r="T175" s="123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23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23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23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23"/>
      <c r="BT175" s="123"/>
    </row>
    <row r="176" spans="4:72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23"/>
      <c r="T176" s="123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23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23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23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23"/>
      <c r="BT176" s="123"/>
    </row>
    <row r="177" spans="4:72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23"/>
      <c r="T177" s="123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23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23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23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23"/>
      <c r="BT177" s="123"/>
    </row>
    <row r="178" spans="4:72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23"/>
      <c r="T178" s="123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23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23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23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23"/>
      <c r="BT178" s="123"/>
    </row>
    <row r="179" spans="4:72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23"/>
      <c r="T179" s="123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23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23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23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23"/>
      <c r="BT179" s="123"/>
    </row>
    <row r="180" spans="4:72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23"/>
      <c r="T180" s="123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23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23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23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23"/>
      <c r="BT180" s="123"/>
    </row>
    <row r="181" spans="4:72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23"/>
      <c r="T181" s="123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23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23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23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23"/>
      <c r="BT181" s="123"/>
    </row>
    <row r="182" spans="4:72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23"/>
      <c r="T182" s="123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23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23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23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23"/>
      <c r="BT182" s="123"/>
    </row>
    <row r="183" spans="4:72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23"/>
      <c r="T183" s="123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23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23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23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23"/>
      <c r="BT183" s="123"/>
    </row>
    <row r="184" spans="4:72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23"/>
      <c r="T184" s="123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23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23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23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23"/>
      <c r="BT184" s="123"/>
    </row>
    <row r="185" spans="4:72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23"/>
      <c r="T185" s="123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23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23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23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23"/>
      <c r="BT185" s="123"/>
    </row>
    <row r="186" spans="4:72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23"/>
      <c r="T186" s="123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23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23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23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23"/>
      <c r="BT186" s="123"/>
    </row>
    <row r="187" spans="4:72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23"/>
      <c r="T187" s="123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23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23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23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23"/>
      <c r="BT187" s="123"/>
    </row>
    <row r="188" spans="4:72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23"/>
      <c r="T188" s="123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23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23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23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23"/>
      <c r="BT188" s="123"/>
    </row>
    <row r="189" spans="4:72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23"/>
      <c r="T189" s="123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23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23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23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23"/>
      <c r="BT189" s="123"/>
    </row>
    <row r="190" spans="4:72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23"/>
      <c r="T190" s="123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23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23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23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23"/>
      <c r="BT190" s="123"/>
    </row>
    <row r="191" spans="4:72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23"/>
      <c r="T191" s="123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23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23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23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23"/>
      <c r="BT191" s="123"/>
    </row>
    <row r="192" spans="4:72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23"/>
      <c r="T192" s="123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23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23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23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23"/>
      <c r="BT192" s="123"/>
    </row>
    <row r="193" spans="4:72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23"/>
      <c r="T193" s="123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23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23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23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23"/>
      <c r="BT193" s="123"/>
    </row>
    <row r="194" spans="4:72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23"/>
      <c r="T194" s="123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23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23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23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23"/>
      <c r="BT194" s="123"/>
    </row>
    <row r="195" spans="4:72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23"/>
      <c r="T195" s="123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23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23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23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23"/>
      <c r="BT195" s="123"/>
    </row>
    <row r="196" spans="4:72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23"/>
      <c r="T196" s="123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23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23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23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23"/>
      <c r="BT196" s="123"/>
    </row>
    <row r="197" spans="4:72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23"/>
      <c r="T197" s="123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23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23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23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23"/>
      <c r="BT197" s="123"/>
    </row>
    <row r="198" spans="4:72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23"/>
      <c r="T198" s="123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23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23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23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23"/>
      <c r="BT198" s="123"/>
    </row>
    <row r="199" spans="4:72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23"/>
      <c r="T199" s="123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23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23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23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23"/>
      <c r="BT199" s="123"/>
    </row>
    <row r="200" spans="4:72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23"/>
      <c r="T200" s="123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23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23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23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23"/>
      <c r="BT200" s="123"/>
    </row>
    <row r="201" spans="4:72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24"/>
      <c r="T201" s="124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24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24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24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24"/>
      <c r="BT201" s="124"/>
    </row>
  </sheetData>
  <mergeCells count="26"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  <mergeCell ref="BI28:BM28"/>
    <mergeCell ref="A15:B15"/>
    <mergeCell ref="A16:B16"/>
    <mergeCell ref="A17:B17"/>
    <mergeCell ref="K28:L28"/>
    <mergeCell ref="A9:B9"/>
    <mergeCell ref="A14:B14"/>
    <mergeCell ref="A10:B10"/>
    <mergeCell ref="A11:B11"/>
    <mergeCell ref="A12:B12"/>
  </mergeCells>
  <dataValidations xWindow="265" yWindow="306" count="6">
    <dataValidation type="list" allowBlank="1" showInputMessage="1" showErrorMessage="1" sqref="B6" xr:uid="{00000000-0002-0000-0400-000000000000}">
      <formula1>"Fixed effect,Random effects"</formula1>
    </dataValidation>
    <dataValidation type="list" allowBlank="1" showInputMessage="1" showErrorMessage="1" sqref="L37" xr:uid="{00000000-0002-0000-0400-000001000000}">
      <formula1>"Leftmost Run/Rightmost Run,Linear"</formula1>
    </dataValidation>
    <dataValidation type="list" allowBlank="1" showInputMessage="1" showErrorMessage="1" sqref="L36" xr:uid="{00000000-0002-0000-0400-000002000000}">
      <formula1>"Off,On"</formula1>
    </dataValidation>
    <dataValidation type="list" allowBlank="1" showInputMessage="1" showErrorMessage="1" sqref="BJ33" xr:uid="{00000000-0002-0000-0400-000003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4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5000000}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3:N35"/>
  <sheetViews>
    <sheetView showGridLines="0" workbookViewId="0">
      <selection activeCell="O20" sqref="O20"/>
    </sheetView>
  </sheetViews>
  <sheetFormatPr defaultRowHeight="12"/>
  <cols>
    <col min="4" max="4" width="19.33203125" customWidth="1"/>
    <col min="12" max="12" width="19.1640625" customWidth="1"/>
    <col min="13" max="14" width="11.1640625" bestFit="1" customWidth="1"/>
  </cols>
  <sheetData>
    <row r="3" spans="4:14" ht="24">
      <c r="D3" s="95" t="s">
        <v>1</v>
      </c>
      <c r="E3" s="96" t="s">
        <v>166</v>
      </c>
      <c r="F3" s="96" t="s">
        <v>167</v>
      </c>
      <c r="G3" s="96" t="s">
        <v>168</v>
      </c>
      <c r="H3" s="97" t="s">
        <v>35</v>
      </c>
      <c r="L3" s="103" t="s">
        <v>1</v>
      </c>
      <c r="M3" s="104" t="s">
        <v>98</v>
      </c>
      <c r="N3" s="104" t="s">
        <v>169</v>
      </c>
    </row>
    <row r="4" spans="4:14">
      <c r="D4" s="98" t="s">
        <v>19</v>
      </c>
      <c r="E4" s="99">
        <v>0.82321869216533006</v>
      </c>
      <c r="F4" s="99">
        <v>0.59315721541009148</v>
      </c>
      <c r="G4" s="99">
        <v>1.142511626806836</v>
      </c>
      <c r="H4" s="100">
        <v>0.13705115757863243</v>
      </c>
      <c r="L4" s="98" t="s">
        <v>19</v>
      </c>
      <c r="M4" s="106">
        <v>-0.19453338800807651</v>
      </c>
      <c r="N4" s="106">
        <v>0.16721333811474565</v>
      </c>
    </row>
    <row r="5" spans="4:14">
      <c r="D5" s="98" t="s">
        <v>22</v>
      </c>
      <c r="E5" s="99">
        <v>0.74971007428821135</v>
      </c>
      <c r="F5" s="99">
        <v>0.5145776958373327</v>
      </c>
      <c r="G5" s="99">
        <v>1.0922844111512255</v>
      </c>
      <c r="H5" s="100">
        <v>0.12099064403685306</v>
      </c>
      <c r="L5" s="98" t="s">
        <v>22</v>
      </c>
      <c r="M5" s="106">
        <v>-0.28806871480402096</v>
      </c>
      <c r="N5" s="106">
        <v>0.19198246125536622</v>
      </c>
    </row>
    <row r="6" spans="4:14">
      <c r="D6" s="98" t="s">
        <v>23</v>
      </c>
      <c r="E6" s="99">
        <v>0.80957489074294797</v>
      </c>
      <c r="F6" s="99">
        <v>0.54275480084701</v>
      </c>
      <c r="G6" s="99">
        <v>1.2075646363673556</v>
      </c>
      <c r="H6" s="100">
        <v>0.11386785856682244</v>
      </c>
      <c r="L6" s="98" t="s">
        <v>23</v>
      </c>
      <c r="M6" s="106">
        <v>-0.211245995328425</v>
      </c>
      <c r="N6" s="106">
        <v>0.20397645305706039</v>
      </c>
    </row>
    <row r="7" spans="4:14">
      <c r="D7" s="98" t="s">
        <v>24</v>
      </c>
      <c r="E7" s="99">
        <v>0.42815308087291398</v>
      </c>
      <c r="F7" s="99">
        <v>0.30893057951447267</v>
      </c>
      <c r="G7" s="99">
        <v>0.59338593462995182</v>
      </c>
      <c r="H7" s="100">
        <v>0.13757608660933893</v>
      </c>
      <c r="L7" s="98" t="s">
        <v>24</v>
      </c>
      <c r="M7" s="106">
        <v>-0.84827448175650988</v>
      </c>
      <c r="N7" s="106">
        <v>0.16644688172280447</v>
      </c>
    </row>
    <row r="8" spans="4:14">
      <c r="D8" s="98" t="s">
        <v>24</v>
      </c>
      <c r="E8" s="99">
        <v>0.84931960447937316</v>
      </c>
      <c r="F8" s="99">
        <v>0.58106436849312681</v>
      </c>
      <c r="G8" s="99">
        <v>1.2414180419006906</v>
      </c>
      <c r="H8" s="100">
        <v>0.11999860158518487</v>
      </c>
      <c r="L8" s="98" t="s">
        <v>24</v>
      </c>
      <c r="M8" s="106">
        <v>-0.16331971535958975</v>
      </c>
      <c r="N8" s="106">
        <v>0.19361022154607277</v>
      </c>
    </row>
    <row r="9" spans="4:14">
      <c r="D9" s="98" t="s">
        <v>24</v>
      </c>
      <c r="E9" s="99">
        <v>0.79948943368507008</v>
      </c>
      <c r="F9" s="99">
        <v>0.50292464658483527</v>
      </c>
      <c r="G9" s="99">
        <v>1.2709326514707886</v>
      </c>
      <c r="H9" s="100">
        <v>9.6715268225312997E-2</v>
      </c>
      <c r="L9" s="98" t="s">
        <v>24</v>
      </c>
      <c r="M9" s="106">
        <v>-0.22378196294922076</v>
      </c>
      <c r="N9" s="106">
        <v>0.23646026264803963</v>
      </c>
    </row>
    <row r="10" spans="4:14">
      <c r="D10" s="98" t="s">
        <v>25</v>
      </c>
      <c r="E10" s="99">
        <v>0.51058930465081054</v>
      </c>
      <c r="F10" s="99">
        <v>0.36603177010706317</v>
      </c>
      <c r="G10" s="99">
        <v>0.71223718626266752</v>
      </c>
      <c r="H10" s="100">
        <v>0.13530164502235709</v>
      </c>
      <c r="L10" s="98" t="s">
        <v>25</v>
      </c>
      <c r="M10" s="106">
        <v>-0.6721897210239639</v>
      </c>
      <c r="N10" s="106">
        <v>0.16978503879488513</v>
      </c>
    </row>
    <row r="11" spans="4:14">
      <c r="D11" s="101" t="s">
        <v>26</v>
      </c>
      <c r="E11" s="99">
        <v>0.76024349654024703</v>
      </c>
      <c r="F11" s="99">
        <v>0.55002704889284826</v>
      </c>
      <c r="G11" s="99">
        <v>1.0508031835800424</v>
      </c>
      <c r="H11" s="100">
        <v>0.13849873837549806</v>
      </c>
      <c r="L11" s="101" t="s">
        <v>26</v>
      </c>
      <c r="M11" s="106">
        <v>-0.27411650683119987</v>
      </c>
      <c r="N11" s="106">
        <v>0.16510530938094906</v>
      </c>
    </row>
    <row r="12" spans="4:14">
      <c r="D12" s="101"/>
      <c r="E12" s="99"/>
      <c r="F12" s="99"/>
      <c r="G12" s="99"/>
      <c r="H12" s="100"/>
      <c r="L12" s="98"/>
      <c r="M12" s="102"/>
      <c r="N12" s="102"/>
    </row>
    <row r="13" spans="4:14">
      <c r="D13" s="101"/>
      <c r="E13" s="99"/>
      <c r="F13" s="99"/>
      <c r="G13" s="99"/>
      <c r="H13" s="100"/>
      <c r="L13" s="98"/>
      <c r="M13" s="102"/>
      <c r="N13" s="102"/>
    </row>
    <row r="14" spans="4:14">
      <c r="D14" s="101"/>
      <c r="E14" s="99"/>
      <c r="F14" s="99"/>
      <c r="G14" s="99"/>
      <c r="H14" s="100"/>
      <c r="L14" s="98"/>
      <c r="M14" s="102"/>
      <c r="N14" s="102"/>
    </row>
    <row r="15" spans="4:14">
      <c r="D15" s="101"/>
      <c r="E15" s="99"/>
      <c r="F15" s="99"/>
      <c r="G15" s="99"/>
      <c r="H15" s="105"/>
      <c r="L15" s="101"/>
      <c r="M15" s="102"/>
      <c r="N15" s="102"/>
    </row>
    <row r="16" spans="4:14">
      <c r="D16" s="101"/>
      <c r="E16" s="99"/>
      <c r="F16" s="99"/>
      <c r="G16" s="99"/>
      <c r="H16" s="105"/>
      <c r="L16" s="101"/>
      <c r="M16" s="3"/>
      <c r="N16" s="102"/>
    </row>
    <row r="17" spans="4:14">
      <c r="D17" s="101"/>
      <c r="E17" s="99"/>
      <c r="F17" s="99"/>
      <c r="G17" s="99"/>
      <c r="H17" s="105"/>
      <c r="L17" s="101"/>
      <c r="M17" s="3"/>
      <c r="N17" s="102"/>
    </row>
    <row r="18" spans="4:14">
      <c r="D18" s="101"/>
      <c r="E18" s="99"/>
      <c r="F18" s="99"/>
      <c r="G18" s="99"/>
      <c r="H18" s="105"/>
      <c r="L18" s="3"/>
      <c r="M18" s="3"/>
    </row>
    <row r="19" spans="4:14">
      <c r="D19" s="101"/>
      <c r="E19" s="99"/>
      <c r="F19" s="99"/>
      <c r="G19" s="99"/>
      <c r="H19" s="105"/>
      <c r="L19" s="3"/>
      <c r="M19" s="3"/>
    </row>
    <row r="20" spans="4:14">
      <c r="L20" s="3"/>
      <c r="M20" s="3"/>
    </row>
    <row r="21" spans="4:14">
      <c r="L21" s="3"/>
      <c r="M21" s="3"/>
    </row>
    <row r="22" spans="4:14">
      <c r="L22" s="3"/>
      <c r="M22" s="3"/>
    </row>
    <row r="23" spans="4:14">
      <c r="L23" s="3"/>
      <c r="M23" s="3"/>
    </row>
    <row r="24" spans="4:14">
      <c r="L24" s="3"/>
      <c r="M24" s="3"/>
    </row>
    <row r="25" spans="4:14">
      <c r="L25" s="3"/>
      <c r="M25" s="3"/>
    </row>
    <row r="26" spans="4:14">
      <c r="L26" s="3"/>
      <c r="M26" s="3"/>
    </row>
    <row r="27" spans="4:14">
      <c r="L27" s="3"/>
      <c r="M27" s="3"/>
    </row>
    <row r="28" spans="4:14">
      <c r="L28" s="3"/>
      <c r="M28" s="3"/>
    </row>
    <row r="29" spans="4:14">
      <c r="L29" s="3"/>
      <c r="M29" s="3"/>
    </row>
    <row r="30" spans="4:14">
      <c r="L30" s="3"/>
      <c r="M30" s="3"/>
    </row>
    <row r="31" spans="4:14">
      <c r="L31" s="3"/>
      <c r="M31" s="3"/>
    </row>
    <row r="32" spans="4:14">
      <c r="L32" s="3"/>
      <c r="M32" s="3"/>
    </row>
    <row r="33" spans="12:13">
      <c r="L33" s="3"/>
      <c r="M33" s="3"/>
    </row>
    <row r="34" spans="12:13">
      <c r="L34" s="3"/>
    </row>
    <row r="35" spans="12:13">
      <c r="L35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J201"/>
  <sheetViews>
    <sheetView showGridLines="0" topLeftCell="FW1" zoomScaleNormal="100" workbookViewId="0">
      <pane ySplit="1" topLeftCell="A22" activePane="bottomLeft" state="frozen"/>
      <selection pane="bottomLeft" activeCell="GW22" sqref="GW22"/>
    </sheetView>
  </sheetViews>
  <sheetFormatPr defaultRowHeight="12"/>
  <cols>
    <col min="1" max="1" width="3.164062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5" bestFit="1" customWidth="1"/>
    <col min="10" max="14" width="9.6640625" customWidth="1"/>
    <col min="15" max="15" width="3.33203125" customWidth="1"/>
    <col min="16" max="16" width="5.5" bestFit="1" customWidth="1"/>
    <col min="17" max="20" width="9.6640625" customWidth="1"/>
    <col min="21" max="21" width="3.33203125" customWidth="1"/>
    <col min="22" max="22" width="5.5" bestFit="1" customWidth="1"/>
    <col min="23" max="26" width="9.6640625" customWidth="1"/>
    <col min="27" max="27" width="3.33203125" customWidth="1"/>
    <col min="28" max="28" width="5.5" bestFit="1" customWidth="1"/>
    <col min="29" max="33" width="9.6640625" customWidth="1"/>
    <col min="34" max="34" width="3.33203125" customWidth="1"/>
    <col min="35" max="35" width="6" bestFit="1" customWidth="1"/>
    <col min="36" max="37" width="3.164062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5" bestFit="1" customWidth="1"/>
    <col min="42" max="42" width="13.33203125" bestFit="1" customWidth="1"/>
    <col min="43" max="43" width="15.5" bestFit="1" customWidth="1"/>
    <col min="44" max="44" width="16.1640625" bestFit="1" customWidth="1"/>
    <col min="45" max="46" width="12.5" bestFit="1" customWidth="1"/>
    <col min="47" max="47" width="7.1640625" bestFit="1" customWidth="1"/>
    <col min="48" max="48" width="3" customWidth="1"/>
    <col min="49" max="49" width="9.5" bestFit="1" customWidth="1"/>
    <col min="50" max="50" width="8.1640625" bestFit="1" customWidth="1"/>
    <col min="51" max="51" width="8.6640625" bestFit="1" customWidth="1"/>
    <col min="52" max="52" width="3.33203125" customWidth="1"/>
    <col min="53" max="53" width="16.1640625" bestFit="1" customWidth="1"/>
    <col min="54" max="54" width="8.33203125" bestFit="1" customWidth="1"/>
    <col min="55" max="55" width="3.33203125" customWidth="1"/>
    <col min="56" max="56" width="6" bestFit="1" customWidth="1"/>
    <col min="57" max="57" width="5.5" bestFit="1" customWidth="1"/>
    <col min="58" max="58" width="6.33203125" bestFit="1" customWidth="1"/>
    <col min="59" max="59" width="4.6640625" bestFit="1" customWidth="1"/>
    <col min="60" max="60" width="7.1640625" customWidth="1"/>
    <col min="61" max="61" width="8.83203125" bestFit="1" customWidth="1"/>
    <col min="62" max="62" width="8.8320312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64062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5" bestFit="1" customWidth="1"/>
    <col min="83" max="83" width="8.6640625" bestFit="1" customWidth="1"/>
    <col min="84" max="84" width="9" bestFit="1" customWidth="1"/>
    <col min="85" max="85" width="9" customWidth="1"/>
    <col min="86" max="86" width="8.5" customWidth="1"/>
    <col min="87" max="87" width="7" customWidth="1"/>
    <col min="88" max="89" width="9.1640625" customWidth="1"/>
    <col min="90" max="90" width="3.1640625" customWidth="1"/>
    <col min="91" max="91" width="32" bestFit="1" customWidth="1"/>
    <col min="92" max="92" width="5.6640625" bestFit="1" customWidth="1"/>
    <col min="93" max="93" width="3.33203125" customWidth="1"/>
    <col min="94" max="94" width="5.5" bestFit="1" customWidth="1"/>
    <col min="95" max="95" width="9.6640625" customWidth="1"/>
    <col min="96" max="96" width="3.33203125" customWidth="1"/>
    <col min="97" max="97" width="6.1640625" bestFit="1" customWidth="1"/>
    <col min="98" max="98" width="16.1640625" bestFit="1" customWidth="1"/>
    <col min="99" max="99" width="17" bestFit="1" customWidth="1"/>
    <col min="100" max="100" width="5.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640625" bestFit="1" customWidth="1"/>
    <col min="108" max="108" width="13.33203125" bestFit="1" customWidth="1"/>
    <col min="109" max="109" width="21.1640625" bestFit="1" customWidth="1"/>
    <col min="110" max="110" width="23.33203125" bestFit="1" customWidth="1"/>
    <col min="111" max="111" width="10.1640625" bestFit="1" customWidth="1"/>
    <col min="112" max="113" width="12.83203125" bestFit="1" customWidth="1"/>
    <col min="114" max="114" width="12.83203125" customWidth="1"/>
    <col min="115" max="115" width="3.33203125" customWidth="1"/>
    <col min="116" max="116" width="10.1640625" bestFit="1" customWidth="1"/>
    <col min="117" max="117" width="8.1640625" bestFit="1" customWidth="1"/>
    <col min="118" max="118" width="8.6640625" bestFit="1" customWidth="1"/>
    <col min="119" max="119" width="3.33203125" customWidth="1"/>
    <col min="120" max="120" width="8.83203125" bestFit="1" customWidth="1"/>
    <col min="121" max="121" width="10.33203125" bestFit="1" customWidth="1"/>
    <col min="122" max="122" width="2.1640625" bestFit="1" customWidth="1"/>
    <col min="123" max="123" width="20.6640625" bestFit="1" customWidth="1"/>
    <col min="124" max="125" width="5.6640625" bestFit="1" customWidth="1"/>
    <col min="126" max="126" width="7.1640625" style="19" bestFit="1" customWidth="1"/>
    <col min="127" max="127" width="7.6640625" bestFit="1" customWidth="1"/>
    <col min="128" max="129" width="4.6640625" bestFit="1" customWidth="1"/>
    <col min="130" max="130" width="7.1640625" bestFit="1" customWidth="1"/>
    <col min="131" max="131" width="6.1640625" bestFit="1" customWidth="1"/>
    <col min="132" max="132" width="5.1640625" bestFit="1" customWidth="1"/>
    <col min="133" max="133" width="7.8320312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83203125" bestFit="1" customWidth="1"/>
    <col min="140" max="140" width="7.83203125" bestFit="1" customWidth="1"/>
    <col min="141" max="141" width="8.33203125" bestFit="1" customWidth="1"/>
    <col min="142" max="142" width="4.83203125" bestFit="1" customWidth="1"/>
    <col min="143" max="143" width="5.33203125" bestFit="1" customWidth="1"/>
    <col min="144" max="144" width="13.33203125" bestFit="1" customWidth="1"/>
    <col min="145" max="145" width="13.83203125" bestFit="1" customWidth="1"/>
    <col min="146" max="146" width="16.5" customWidth="1"/>
    <col min="147" max="147" width="13.33203125" bestFit="1" customWidth="1"/>
    <col min="148" max="148" width="15.1640625" style="14" customWidth="1"/>
    <col min="149" max="149" width="10.5" customWidth="1"/>
    <col min="150" max="150" width="10.6640625" customWidth="1"/>
    <col min="151" max="152" width="8.83203125" customWidth="1"/>
    <col min="153" max="153" width="3.33203125" customWidth="1"/>
    <col min="154" max="154" width="43.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83203125" bestFit="1" customWidth="1"/>
    <col min="159" max="159" width="12.83203125" bestFit="1" customWidth="1"/>
    <col min="160" max="160" width="13" bestFit="1" customWidth="1"/>
    <col min="161" max="161" width="10.83203125" customWidth="1"/>
    <col min="162" max="162" width="13.83203125" customWidth="1"/>
    <col min="163" max="163" width="22.33203125" customWidth="1"/>
    <col min="164" max="164" width="20" bestFit="1" customWidth="1"/>
    <col min="165" max="165" width="3.33203125" customWidth="1"/>
    <col min="166" max="166" width="7.1640625" bestFit="1" customWidth="1"/>
    <col min="167" max="167" width="12" customWidth="1"/>
    <col min="168" max="168" width="22.83203125" customWidth="1"/>
    <col min="169" max="169" width="19.33203125" customWidth="1"/>
    <col min="170" max="170" width="3.33203125" customWidth="1"/>
    <col min="171" max="171" width="34.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5" bestFit="1" customWidth="1"/>
    <col min="176" max="176" width="9.8320312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83203125" customWidth="1"/>
    <col min="183" max="183" width="15.5" customWidth="1"/>
    <col min="184" max="185" width="14.33203125" customWidth="1"/>
    <col min="186" max="186" width="12.83203125" bestFit="1" customWidth="1"/>
    <col min="187" max="187" width="9.5" bestFit="1" customWidth="1"/>
    <col min="188" max="188" width="3.33203125" customWidth="1"/>
    <col min="189" max="189" width="20.83203125" bestFit="1" customWidth="1"/>
    <col min="190" max="190" width="9.1640625" customWidth="1"/>
    <col min="191" max="191" width="4.6640625" bestFit="1" customWidth="1"/>
    <col min="192" max="192" width="3.33203125" customWidth="1"/>
    <col min="193" max="193" width="5.5" bestFit="1" customWidth="1"/>
    <col min="194" max="194" width="6.6640625" bestFit="1" customWidth="1"/>
    <col min="195" max="195" width="8.6640625" bestFit="1" customWidth="1"/>
    <col min="196" max="196" width="14.83203125" customWidth="1"/>
    <col min="197" max="197" width="9" bestFit="1" customWidth="1"/>
    <col min="198" max="198" width="11" bestFit="1" customWidth="1"/>
    <col min="199" max="199" width="14.6640625" customWidth="1"/>
    <col min="200" max="200" width="7.1640625" bestFit="1" customWidth="1"/>
    <col min="201" max="201" width="9.1640625" bestFit="1" customWidth="1"/>
    <col min="202" max="202" width="11.6640625" customWidth="1"/>
    <col min="203" max="203" width="3.33203125" customWidth="1"/>
    <col min="204" max="204" width="22.164062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640625" bestFit="1" customWidth="1"/>
    <col min="209" max="209" width="12.83203125" bestFit="1" customWidth="1"/>
    <col min="210" max="210" width="15.5" bestFit="1" customWidth="1"/>
    <col min="211" max="211" width="7.83203125" bestFit="1" customWidth="1"/>
    <col min="212" max="212" width="7.1640625" bestFit="1" customWidth="1"/>
    <col min="213" max="213" width="8.33203125" customWidth="1"/>
    <col min="214" max="214" width="3.33203125" customWidth="1"/>
    <col min="215" max="215" width="14.83203125" bestFit="1" customWidth="1"/>
    <col min="216" max="216" width="12.83203125" bestFit="1" customWidth="1"/>
    <col min="217" max="217" width="6.5" bestFit="1" customWidth="1"/>
    <col min="218" max="218" width="3.33203125" customWidth="1"/>
    <col min="219" max="219" width="5.5" bestFit="1" customWidth="1"/>
    <col min="220" max="220" width="15.1640625" bestFit="1" customWidth="1"/>
    <col min="221" max="221" width="6.33203125" bestFit="1" customWidth="1"/>
    <col min="222" max="222" width="3.33203125" customWidth="1"/>
    <col min="223" max="223" width="5.5" bestFit="1" customWidth="1"/>
    <col min="224" max="224" width="11" customWidth="1"/>
    <col min="225" max="225" width="12.1640625" customWidth="1"/>
    <col min="226" max="226" width="6.33203125" customWidth="1"/>
    <col min="227" max="227" width="9.6640625" customWidth="1"/>
    <col min="228" max="229" width="3.1640625" bestFit="1" customWidth="1"/>
    <col min="230" max="230" width="3.33203125" customWidth="1"/>
    <col min="231" max="231" width="5.5" bestFit="1" customWidth="1"/>
    <col min="232" max="233" width="9.83203125" bestFit="1" customWidth="1"/>
    <col min="234" max="234" width="6.1640625" bestFit="1" customWidth="1"/>
    <col min="235" max="235" width="5" customWidth="1"/>
    <col min="236" max="236" width="5.5" bestFit="1" customWidth="1"/>
    <col min="237" max="238" width="7.5" customWidth="1"/>
    <col min="239" max="239" width="7.1640625" bestFit="1" customWidth="1"/>
    <col min="240" max="240" width="7.6640625" bestFit="1" customWidth="1"/>
    <col min="241" max="241" width="3.33203125" customWidth="1"/>
    <col min="242" max="243" width="7.83203125" customWidth="1"/>
    <col min="244" max="244" width="3.33203125" customWidth="1"/>
    <col min="245" max="245" width="5.5" bestFit="1" customWidth="1"/>
    <col min="246" max="246" width="7.1640625" bestFit="1" customWidth="1"/>
    <col min="247" max="247" width="12.83203125" customWidth="1"/>
    <col min="248" max="248" width="15.164062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5" bestFit="1" customWidth="1"/>
    <col min="256" max="256" width="11.83203125" bestFit="1" customWidth="1"/>
    <col min="257" max="257" width="8.1640625" bestFit="1" customWidth="1"/>
    <col min="258" max="259" width="18.8320312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5" bestFit="1" customWidth="1"/>
    <col min="268" max="268" width="7.1640625" bestFit="1" customWidth="1"/>
    <col min="269" max="269" width="7.33203125" bestFit="1" customWidth="1"/>
    <col min="270" max="270" width="11.33203125" bestFit="1" customWidth="1"/>
  </cols>
  <sheetData>
    <row r="1" spans="1:270" ht="42.75" customHeight="1">
      <c r="A1" s="1" t="s">
        <v>32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170</v>
      </c>
      <c r="H1" s="87"/>
      <c r="I1" s="88"/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P1" s="85"/>
      <c r="Q1" s="1" t="s">
        <v>176</v>
      </c>
      <c r="R1" s="1" t="s">
        <v>177</v>
      </c>
      <c r="S1" s="1" t="s">
        <v>178</v>
      </c>
      <c r="T1" s="1" t="s">
        <v>179</v>
      </c>
      <c r="V1" s="85"/>
      <c r="W1" s="1" t="s">
        <v>180</v>
      </c>
      <c r="X1" s="1" t="s">
        <v>181</v>
      </c>
      <c r="Y1" s="1" t="s">
        <v>182</v>
      </c>
      <c r="Z1" s="1" t="s">
        <v>183</v>
      </c>
      <c r="AB1" s="85"/>
      <c r="AC1" s="1" t="s">
        <v>157</v>
      </c>
      <c r="AD1" s="1" t="s">
        <v>184</v>
      </c>
      <c r="AE1" s="1" t="s">
        <v>185</v>
      </c>
      <c r="AF1" s="1" t="s">
        <v>186</v>
      </c>
      <c r="AG1" s="1" t="s">
        <v>187</v>
      </c>
      <c r="AI1" s="87"/>
      <c r="AJ1" s="107" t="s">
        <v>188</v>
      </c>
      <c r="AK1" s="107"/>
      <c r="AL1" s="1" t="s">
        <v>38</v>
      </c>
      <c r="AM1" s="1" t="s">
        <v>1</v>
      </c>
      <c r="AN1" s="1" t="s">
        <v>42</v>
      </c>
      <c r="AO1" s="1" t="str">
        <f>Present_Effect_size_measure</f>
        <v>Odds Ratio</v>
      </c>
      <c r="AP1" s="1" t="s">
        <v>46</v>
      </c>
      <c r="AQ1" s="1" t="s">
        <v>49</v>
      </c>
      <c r="AR1" s="1" t="str">
        <f>IF(Present_Effect_size_measure="Risk Difference","Standard error","Standard error log")</f>
        <v>Standard error log</v>
      </c>
      <c r="AS1" s="1" t="s">
        <v>33</v>
      </c>
      <c r="AT1" s="1" t="s">
        <v>34</v>
      </c>
      <c r="AU1" s="1" t="s">
        <v>35</v>
      </c>
      <c r="AW1" s="1" t="str">
        <f>Present_Effect_size_measure</f>
        <v>Odds Ratio</v>
      </c>
      <c r="AX1" s="1" t="s">
        <v>189</v>
      </c>
      <c r="AY1" s="1" t="s">
        <v>190</v>
      </c>
      <c r="BA1" s="107" t="s">
        <v>191</v>
      </c>
      <c r="BB1" s="107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101</v>
      </c>
      <c r="BH1" s="1" t="s">
        <v>46</v>
      </c>
      <c r="BI1" s="1" t="s">
        <v>49</v>
      </c>
      <c r="BJ1" s="1" t="s">
        <v>109</v>
      </c>
      <c r="BL1" s="107" t="s">
        <v>56</v>
      </c>
      <c r="BM1" s="107"/>
      <c r="BO1" s="85"/>
      <c r="BP1" s="1" t="s">
        <v>192</v>
      </c>
      <c r="BQ1" s="1" t="s">
        <v>193</v>
      </c>
      <c r="BR1" s="1" t="s">
        <v>194</v>
      </c>
      <c r="BS1" s="1" t="s">
        <v>195</v>
      </c>
      <c r="BT1" s="1" t="s">
        <v>196</v>
      </c>
      <c r="BU1" s="1" t="s">
        <v>197</v>
      </c>
      <c r="BV1" s="1" t="s">
        <v>46</v>
      </c>
      <c r="BW1" s="1" t="s">
        <v>198</v>
      </c>
      <c r="BX1" s="1" t="s">
        <v>49</v>
      </c>
      <c r="BY1" s="1" t="s">
        <v>109</v>
      </c>
      <c r="BZ1" s="11"/>
      <c r="CA1" s="107" t="s">
        <v>56</v>
      </c>
      <c r="CB1" s="107"/>
      <c r="CD1" s="85"/>
      <c r="CE1" s="1" t="s">
        <v>199</v>
      </c>
      <c r="CF1" s="1" t="s">
        <v>200</v>
      </c>
      <c r="CG1" s="1" t="s">
        <v>201</v>
      </c>
      <c r="CH1" s="1" t="s">
        <v>202</v>
      </c>
      <c r="CI1" s="1" t="s">
        <v>46</v>
      </c>
      <c r="CJ1" s="1" t="s">
        <v>49</v>
      </c>
      <c r="CK1" s="1" t="s">
        <v>109</v>
      </c>
      <c r="CM1" s="107" t="s">
        <v>56</v>
      </c>
      <c r="CN1" s="107"/>
      <c r="CP1" s="85"/>
      <c r="CQ1" s="1" t="s">
        <v>203</v>
      </c>
      <c r="CS1" s="107" t="s">
        <v>48</v>
      </c>
      <c r="CT1" s="107"/>
      <c r="CU1" s="107"/>
      <c r="CV1" s="107"/>
      <c r="CX1" s="87"/>
      <c r="CY1" s="1" t="s">
        <v>204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46</v>
      </c>
      <c r="DE1" s="1" t="s">
        <v>205</v>
      </c>
      <c r="DF1" s="1" t="s">
        <v>206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207</v>
      </c>
      <c r="DI1" s="1" t="s">
        <v>208</v>
      </c>
      <c r="DJ1" s="1" t="s">
        <v>109</v>
      </c>
      <c r="DL1" s="1" t="str">
        <f>Subgroup_effect_size_measure</f>
        <v>Odds Ratio</v>
      </c>
      <c r="DM1" s="1" t="s">
        <v>189</v>
      </c>
      <c r="DN1" s="1" t="s">
        <v>190</v>
      </c>
      <c r="DP1" s="1" t="s">
        <v>209</v>
      </c>
      <c r="DQ1" s="1" t="s">
        <v>10</v>
      </c>
      <c r="DR1" s="1" t="s">
        <v>32</v>
      </c>
      <c r="DS1" s="1" t="s">
        <v>210</v>
      </c>
      <c r="DT1" s="1" t="s">
        <v>65</v>
      </c>
      <c r="DU1" s="1" t="s">
        <v>74</v>
      </c>
      <c r="DV1" s="1" t="s">
        <v>75</v>
      </c>
      <c r="DW1" s="1" t="s">
        <v>211</v>
      </c>
      <c r="DX1" s="1" t="s">
        <v>76</v>
      </c>
      <c r="DY1" s="1" t="s">
        <v>77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212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213</v>
      </c>
      <c r="EI1" s="1" t="s">
        <v>214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215</v>
      </c>
      <c r="EO1" s="1" t="s">
        <v>216</v>
      </c>
      <c r="EP1" s="1" t="str">
        <f>IF(Within_subgroup_weighting=EX38,"Sum of squares (Q)","Sum of squares (Q*)")</f>
        <v>Sum of squares (Q*)</v>
      </c>
      <c r="EQ1" s="1" t="s">
        <v>191</v>
      </c>
      <c r="ER1" s="18" t="s">
        <v>217</v>
      </c>
      <c r="ES1" s="1" t="s">
        <v>46</v>
      </c>
      <c r="ET1" s="1" t="s">
        <v>218</v>
      </c>
      <c r="EU1" s="1" t="s">
        <v>219</v>
      </c>
      <c r="EV1" s="1" t="s">
        <v>109</v>
      </c>
      <c r="EX1" s="1" t="s">
        <v>110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220</v>
      </c>
      <c r="FE1" s="1" t="s">
        <v>46</v>
      </c>
      <c r="FF1" s="1" t="s">
        <v>221</v>
      </c>
      <c r="FG1" s="1" t="s">
        <v>222</v>
      </c>
      <c r="FH1" s="1" t="s">
        <v>223</v>
      </c>
      <c r="FJ1" s="1" t="s">
        <v>35</v>
      </c>
      <c r="FK1" s="1" t="s">
        <v>224</v>
      </c>
      <c r="FL1" s="1" t="s">
        <v>222</v>
      </c>
      <c r="FM1" s="1" t="s">
        <v>225</v>
      </c>
      <c r="FO1" s="1" t="s">
        <v>154</v>
      </c>
      <c r="FP1" s="1"/>
      <c r="FR1" s="87"/>
      <c r="FS1" s="88"/>
      <c r="FT1" s="1" t="s">
        <v>46</v>
      </c>
      <c r="FU1" s="1" t="s">
        <v>35</v>
      </c>
      <c r="FV1" s="1" t="s">
        <v>226</v>
      </c>
      <c r="FW1" s="1" t="s">
        <v>227</v>
      </c>
      <c r="FX1" s="1" t="s">
        <v>228</v>
      </c>
      <c r="FY1" s="1" t="s">
        <v>59</v>
      </c>
      <c r="FZ1" s="1" t="s">
        <v>229</v>
      </c>
      <c r="GA1" s="1" t="s">
        <v>230</v>
      </c>
      <c r="GB1" s="1" t="s">
        <v>231</v>
      </c>
      <c r="GC1" s="1" t="s">
        <v>232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07" t="s">
        <v>233</v>
      </c>
      <c r="GH1" s="107"/>
      <c r="GI1" s="107"/>
      <c r="GK1" s="85"/>
      <c r="GL1" s="1" t="s">
        <v>234</v>
      </c>
      <c r="GM1" s="1" t="s">
        <v>235</v>
      </c>
      <c r="GN1" s="1" t="s">
        <v>236</v>
      </c>
      <c r="GO1" s="1" t="s">
        <v>237</v>
      </c>
      <c r="GP1" s="1" t="s">
        <v>238</v>
      </c>
      <c r="GQ1" s="1" t="s">
        <v>239</v>
      </c>
      <c r="GR1" s="1" t="s">
        <v>240</v>
      </c>
      <c r="GS1" s="1" t="s">
        <v>241</v>
      </c>
      <c r="GT1" s="1" t="s">
        <v>242</v>
      </c>
      <c r="GV1" s="107" t="s">
        <v>243</v>
      </c>
      <c r="GW1" s="107"/>
      <c r="GY1" s="1" t="s">
        <v>244</v>
      </c>
      <c r="GZ1" s="1" t="s">
        <v>245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246</v>
      </c>
      <c r="HD1" s="1" t="s">
        <v>35</v>
      </c>
      <c r="HE1" s="1" t="s">
        <v>109</v>
      </c>
      <c r="HG1" s="1" t="s">
        <v>247</v>
      </c>
      <c r="HH1" s="1" t="str">
        <f>HA1</f>
        <v>Log Odds Ratio</v>
      </c>
      <c r="HI1" s="1" t="str">
        <f>HB1</f>
        <v>SE Log Odds Ratio</v>
      </c>
      <c r="HK1" s="85"/>
      <c r="HL1" s="1" t="s">
        <v>248</v>
      </c>
      <c r="HM1" s="1" t="s">
        <v>249</v>
      </c>
      <c r="HO1" s="85"/>
      <c r="HP1" s="1" t="s">
        <v>250</v>
      </c>
      <c r="HQ1" s="1" t="s">
        <v>251</v>
      </c>
      <c r="HR1" s="1" t="s">
        <v>252</v>
      </c>
      <c r="HS1" s="1" t="s">
        <v>253</v>
      </c>
      <c r="HT1" s="1" t="s">
        <v>254</v>
      </c>
      <c r="HU1" s="1" t="s">
        <v>255</v>
      </c>
      <c r="HW1" s="85"/>
      <c r="HX1" s="1" t="s">
        <v>256</v>
      </c>
      <c r="HY1" s="1" t="s">
        <v>257</v>
      </c>
      <c r="HZ1" s="1" t="s">
        <v>258</v>
      </c>
      <c r="IB1" s="85"/>
      <c r="IC1" s="1" t="s">
        <v>117</v>
      </c>
      <c r="ID1" s="1" t="s">
        <v>116</v>
      </c>
      <c r="IE1" s="1" t="s">
        <v>46</v>
      </c>
      <c r="IF1" s="1" t="s">
        <v>259</v>
      </c>
      <c r="IH1" s="107" t="s">
        <v>260</v>
      </c>
      <c r="II1" s="107"/>
      <c r="IK1" s="85"/>
      <c r="IL1" s="1" t="s">
        <v>261</v>
      </c>
      <c r="IM1" s="1" t="s">
        <v>262</v>
      </c>
      <c r="IN1" s="1" t="s">
        <v>248</v>
      </c>
      <c r="IO1" s="1" t="s">
        <v>249</v>
      </c>
      <c r="IQ1" s="107" t="s">
        <v>263</v>
      </c>
      <c r="IR1" s="107"/>
      <c r="IS1" s="107"/>
      <c r="IU1" s="85"/>
      <c r="IV1" s="1" t="s">
        <v>264</v>
      </c>
      <c r="IW1" s="1" t="s">
        <v>265</v>
      </c>
      <c r="IX1" s="1" t="s">
        <v>266</v>
      </c>
      <c r="IY1" s="1" t="s">
        <v>267</v>
      </c>
      <c r="IZ1" s="1" t="s">
        <v>268</v>
      </c>
      <c r="JA1" s="1" t="s">
        <v>249</v>
      </c>
      <c r="JC1" s="107" t="s">
        <v>263</v>
      </c>
      <c r="JD1" s="107"/>
      <c r="JE1" s="107"/>
      <c r="JG1" s="85"/>
      <c r="JH1" s="1" t="s">
        <v>119</v>
      </c>
      <c r="JI1" s="1" t="s">
        <v>105</v>
      </c>
      <c r="JJ1" s="1" t="s">
        <v>269</v>
      </c>
    </row>
    <row r="2" spans="1:270" ht="13.5" customHeight="1">
      <c r="A2" s="2">
        <f t="shared" ref="A2:A33" si="0">Entry_number</f>
        <v>0</v>
      </c>
      <c r="B2" s="6" t="str">
        <f>IF(AND(Include_study?="Yes",Sufficient_data="Yes"),IF(Input!a_&lt;&gt;"",Input!a_,Input!n1_-Input!b_),"")</f>
        <v/>
      </c>
      <c r="C2" s="6" t="str">
        <f>IF(AND(Include_study?="Yes",Sufficient_data="Yes"),IF(Input!b_&lt;&gt;"",Input!b_,Input!n1_-Input!a_),"")</f>
        <v/>
      </c>
      <c r="D2" s="6" t="str">
        <f>IF(AND(Include_study?="Yes",Sufficient_data="Yes"),IF(Input!c_&lt;&gt;"",Input!c_,Input!n2_-Input!d_),"")</f>
        <v/>
      </c>
      <c r="E2" s="6" t="str">
        <f>IF(AND(Include_study?="Yes",Sufficient_data="Yes"),IF(Input!d_&lt;&gt;"",Input!d_,Input!n2_-Input!c_),"")</f>
        <v/>
      </c>
      <c r="F2" s="35" t="str">
        <f t="shared" ref="F2:F33" si="1">IF(AND(Include_study?="Yes",Sufficient_data="Yes"),IF(OR(a_=0,b_=0,c_=0,d_=0),"Yes","No"),"")</f>
        <v/>
      </c>
      <c r="H2" s="130" t="s">
        <v>270</v>
      </c>
      <c r="I2" s="125" t="s">
        <v>48</v>
      </c>
      <c r="J2" s="77" t="str">
        <f t="shared" ref="J2:J65" si="2">IF(AND(Include_study?="Yes",Sufficient_data="Yes"),IF(Add_0_5="Yes",((a_+0.5)*(d_+0.5))/((b_+0.5)*(c_+0.5)),(a_*d_)/(b_*c_)),"")</f>
        <v/>
      </c>
      <c r="K2" s="74" t="str">
        <f t="shared" ref="K2:K33" si="3">IF(AND(Include_study?="Yes",Sufficient_data="Yes"),LN(OddsRatio),"")</f>
        <v/>
      </c>
      <c r="L2" s="74" t="str">
        <f t="shared" ref="L2:L33" si="4">IF(AND(Include_study?="Yes",Sufficient_data="Yes"),SQRT(IF(Add_0_5="Yes",1/(a_+0.5)+1/(b_+0.5)+1/(c_+0.5)+1/(d_+0.5),1/a_+1/b_+1/c_+1/d_)),"")</f>
        <v/>
      </c>
      <c r="M2" s="74" t="str">
        <f t="shared" ref="M2:M33" si="5">IF(AND(Include_study?="Yes",Sufficient_data="Yes"),EXP(LogOddsRatio-ABS(TINV((1-Confidence_level),Number_of_subjects-2))*SELogOddsRatio),"")</f>
        <v/>
      </c>
      <c r="N2" s="34" t="str">
        <f t="shared" ref="N2:N33" si="6">IF(AND(Include_study?="Yes",Sufficient_data="Yes"),EXP(LogOddsRatio+ABS(TINV((1-Confidence_level),Number_of_subjects-2))*SELogOddsRatio),"")</f>
        <v/>
      </c>
      <c r="P2" s="123" t="s">
        <v>271</v>
      </c>
      <c r="Q2" s="77" t="str">
        <f t="shared" ref="Q2:Q33" si="7">IF(AND(Include_study?="Yes",Sufficient_data="Yes"),EXP(LogPetoOddsRatio),"")</f>
        <v/>
      </c>
      <c r="R2" s="74" t="str">
        <f t="shared" ref="R2:R33" si="8">IF(AND(Include_study?="Yes",Sufficient_data="Yes"),SQRT(VarLogPetoOddsRatio),"")</f>
        <v/>
      </c>
      <c r="S2" s="74" t="str">
        <f t="shared" ref="S2:S33" si="9">IF(AND(Include_study?="Yes",Sufficient_data="Yes"),EXP(LogPetoOddsRatio-ABS(TINV((1-Confidence_level),Number_of_subjects-2))*SELogPetoOddsRatio),"")</f>
        <v/>
      </c>
      <c r="T2" s="34" t="str">
        <f t="shared" ref="T2:T33" si="10">IF(AND(Include_study?="Yes",Sufficient_data="Yes"),EXP(LogPetoOddsRatio+ABS(TINV((1-Confidence_level),Number_of_subjects-2))*SELogPetoOddsRatio),"")</f>
        <v/>
      </c>
      <c r="V2" s="123" t="s">
        <v>180</v>
      </c>
      <c r="W2" s="77" t="str">
        <f t="shared" ref="W2:W33" si="11">IF(AND(Include_study?="Yes",Sufficient_data="Yes"),a_/(a_+b_)-c_/(c_+d_),"")</f>
        <v/>
      </c>
      <c r="X2" s="74" t="str">
        <f t="shared" ref="X2:X33" si="12">IF(AND(Include_study?="Yes",Sufficient_data="Yes"),SQRT(a_*b_/(a_+b_)^3+c_*d_/(c_+d_)^3),"")</f>
        <v/>
      </c>
      <c r="Y2" s="74" t="str">
        <f t="shared" ref="Y2:Y33" si="13">IF(AND(Include_study?="Yes",Sufficient_data="Yes"),Risk_Difference-SERiskDifference*ABS(TINV((1-Confidence_level),Number_of_subjects-2)),"")</f>
        <v/>
      </c>
      <c r="Z2" s="34" t="str">
        <f t="shared" ref="Z2:Z33" si="14">IF(AND(Include_study?="Yes",Sufficient_data="Yes"),Risk_Difference+SERiskDifference*ABS(TINV((1-Confidence_level),Number_of_subjects-2)),"")</f>
        <v/>
      </c>
      <c r="AB2" s="123" t="s">
        <v>157</v>
      </c>
      <c r="AC2" s="77" t="str">
        <f t="shared" ref="AC2:AC33" si="15">IF(AND(Include_study?="Yes",Sufficient_data="Yes"),IF(Add_0_5="Yes",((a_+0.5)/(a_+0.5+b_+0.5))/((c_+0.5)/(c_+0.5+d_+0.5)),(a_/(a_+b_))/(c_/(c_+d_))),"")</f>
        <v/>
      </c>
      <c r="AD2" s="74" t="str">
        <f t="shared" ref="AD2:AD33" si="16">IF(AND(Include_study?="Yes",Sufficient_data="Yes"),LN(Risk_Ratio),"")</f>
        <v/>
      </c>
      <c r="AE2" s="74" t="str">
        <f t="shared" ref="AE2:AE33" si="17">IF(AND(Include_study?="Yes",Sufficient_data="Yes"),IF(Add_0_5="Yes",SQRT(1/(a_+0.5)-1/(a_+0.5+b_+0.5)+1/(c_+0.5)-1/(c_+0.5+d_+0.5)),SQRT(1/a_-1/(a_+b_)+1/c_-1/(c_+d_))),"")</f>
        <v/>
      </c>
      <c r="AF2" s="74" t="str">
        <f t="shared" ref="AF2:AF33" si="18">IF(AND(Include_study?="Yes",Sufficient_data="Yes"),EXP(LN(Risk_Ratio)-ABS(TINV((1-Confidence_level),Number_of_subjects-2))*SELogRiskRatio),"")</f>
        <v/>
      </c>
      <c r="AG2" s="34" t="str">
        <f t="shared" ref="AG2:AG33" si="19">IF(AND(Include_study?="Yes",Sufficient_data="Yes"),EXP(LN(Risk_Ratio)+ABS(TINV((1-Confidence_level),Number_of_subjects-2))*SELogRiskRatio),"")</f>
        <v/>
      </c>
      <c r="AI2" s="130" t="s">
        <v>272</v>
      </c>
      <c r="AJ2" s="6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" s="6" t="str">
        <f>IF(AJ2&lt;&gt;"",IF(AJ2=0,1,AJ2+COUNTIF(AJ:AJ,0)),"")</f>
        <v/>
      </c>
      <c r="AL2" s="6">
        <f t="shared" ref="AL2:AL65" si="20">Entry_number</f>
        <v>0</v>
      </c>
      <c r="AM2" s="3" t="str">
        <f>IF(AND(Include_study?="Yes",Sufficient_data="Yes",Input!Study_name&lt;&gt;""),Input!Study_name,"")</f>
        <v/>
      </c>
      <c r="AN2" s="6" t="str">
        <f t="shared" ref="AN2:AN65" si="21">IF(AND(Sufficient_data="Yes",Include_study?="Yes"),(a_+b_+c_+d_),"")</f>
        <v/>
      </c>
      <c r="AO2" s="3" t="str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2" s="3" t="str">
        <f t="shared" ref="AP2:AP33" si="23">IF(AND(Include_study?="Yes",Sufficient_data="Yes"),IF(Weighting_method="Inverse variance",Weightf,IF(Weighting_method="Mantel-Haenszel",Weightf_MH,Weightf_Peto)),"")</f>
        <v/>
      </c>
      <c r="AQ2" s="3" t="str">
        <f t="shared" ref="AQ2:AQ33" si="24">IF(AND(Include_study?="Yes",Sufficient_data="Yes"),IF(Weighting_method="Inverse variance",Weight,IF(Weighting_method="Mantel-Haenszel",Weight_MH,Weight_Peto)),"")</f>
        <v/>
      </c>
      <c r="AR2" s="3" t="str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2" s="3" t="str">
        <f t="shared" ref="AS2:AS33" si="26">IF(AND(Include_study?="Yes",Sufficient_data="Yes"),IF(Present_Effect_size_measure="Risk difference",CI_LLRiskDifference,IF(Present_Effect_size_measure="Risk ratio",CI_LLRiskRatio,CI_LLOddsRatio)),"")</f>
        <v/>
      </c>
      <c r="AT2" s="3" t="str">
        <f t="shared" ref="AT2:AT33" si="27">IF(AND(Include_study?="Yes",Sufficient_data="Yes"),IF(Present_Effect_size_measure="Risk difference",CI_ULRiskDifference,IF(Present_Effect_size_measure="Risk ratio",CI_ULRiskRatio,CI_ULOddsRatio)),"")</f>
        <v/>
      </c>
      <c r="AU2" s="9" t="str">
        <f t="shared" ref="AU2:AU33" si="28">IF(AND(Include_study?="Yes",Sufficient_data="Yes",Valid_options="Yes"),IF(Meta_analysis_model="Fixed effect model",Weightf_lookup/SUM(Weightf_lookup),Weightr_lookup/SUM(Weightr_lookup)),"")</f>
        <v/>
      </c>
      <c r="AW2" s="43" t="e">
        <f t="shared" ref="AW2:AW33" si="29">IF(Effect_size_lookup&lt;&gt;"",Effect_size_lookup,NA())</f>
        <v>#N/A</v>
      </c>
      <c r="AX2" s="3" t="e">
        <f t="shared" ref="AX2:AX33" si="30">IF(Effect_size_lookup&lt;&gt;"",Effect_size_lookup-AS2,NA())</f>
        <v>#N/A</v>
      </c>
      <c r="AY2" s="34" t="e">
        <f t="shared" ref="AY2:AY33" si="31">IF(Effect_size_lookup&lt;&gt;"",AT2-Effect_size_lookup,NA())</f>
        <v>#N/A</v>
      </c>
      <c r="BA2" s="2" t="s">
        <v>273</v>
      </c>
      <c r="BB2" s="3">
        <f>'Forest Plot'!$B$16</f>
        <v>0.69623061934059816</v>
      </c>
      <c r="BD2" s="130" t="s">
        <v>274</v>
      </c>
      <c r="BE2" s="125" t="s">
        <v>275</v>
      </c>
      <c r="BF2" s="3" t="str">
        <f t="shared" ref="BF2:BF33" si="32">IF(AND(Sufficient_data="Yes",Include_study?="Yes"),IF(Model_effect_size_measure="Odds Ratio",LogOddsRatio,IF(Model_effect_size_measure="Risk Ratio",LogRiskRatio,Risk_Difference)),"")</f>
        <v/>
      </c>
      <c r="BG2" s="3" t="str">
        <f t="shared" ref="BG2:BG33" si="33">IF(AND(Sufficient_data="Yes",Include_study?="Yes"),IF(Model_effect_size_measure="Odds Ratio",SELogOddsRatio,IF(Model_effect_size_measure="Risk Ratio",SELogRiskRatio,SERiskDifference)),"")</f>
        <v/>
      </c>
      <c r="BH2" s="3" t="str">
        <f t="shared" ref="BH2:BH33" si="34">IF(AND(Sufficient_data="Yes",Include_study?="Yes"),IF(Model_effect_size_measure="Odds Ratio",1/(SELogOddsRatio^2),IF(Model_effect_size_measure="Risk Ratio",1/(SELogRiskRatio^2),1/(SERiskDifference^2))),"")</f>
        <v/>
      </c>
      <c r="BI2" s="74" t="str">
        <f>IF(Weightf&lt;&gt;"",1/(IF(Model_effect_size_measure="Odds Ratio",SELogOddsRatio,IF(Model_effect_size_measure="Risk Ratio",SELogRiskRatio,SERiskDifference))^2+T2_),"")</f>
        <v/>
      </c>
      <c r="BJ2" s="34" t="str">
        <f t="shared" ref="BJ2:BJ33" si="35">IF(Weightf&lt;&gt;"",Model_Effect_size-IF(OR(Model_effect_size_measure="Odds Ratio",Model_effect_size_measure="Risk Ratio",Model_effect_size_measure="Peto Odds Ratio"),lnCES_IV,CES_IV),"")</f>
        <v/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-0.36207432390458538</v>
      </c>
      <c r="BO2" s="123" t="s">
        <v>276</v>
      </c>
      <c r="BP2" s="3" t="str">
        <f t="shared" ref="BP2:BP33" si="36">IF(AND(Sufficient_data="Yes",Include_study?="Yes"),IF(Add_0_5="Yes",(a_+0.5)*(d_+0.5)/(Number_of_subjects+2),a_*d_/Number_of_subjects),"")</f>
        <v/>
      </c>
      <c r="BQ2" s="3" t="str">
        <f t="shared" ref="BQ2:BQ33" si="37">IF(AND(Sufficient_data="Yes",Include_study?="Yes"),IF(Add_0_5="Yes",(b_+0.5)*(c_+0.5)/(Number_of_subjects+2),b_*c_/Number_of_subjects),"")</f>
        <v/>
      </c>
      <c r="BR2" s="3" t="str">
        <f t="shared" ref="BR2:BR33" si="38">IF(AND(Sufficient_data="Yes",Include_study?="Yes"),IF(Add_0_5="Yes",(a_+d_+1)*(a_+0.5)*(d_+0.5)/(Number_of_subjects+2)^2,(a_+d_)*a_*d_/Number_of_subjects^2),"")</f>
        <v/>
      </c>
      <c r="BS2" s="3" t="str">
        <f>IF(AND(Sufficient_data="Yes",Include_study?="Yes"),IF(Add_0_5="Yes",(a_+d_+1)*(ab_+0.5)*(c_+0.5)/(Number_of_subjects+2)^2,(a_+d_)*b_*c_/Number_of_subjects^2),"")</f>
        <v/>
      </c>
      <c r="BT2" s="3" t="str">
        <f t="shared" ref="BT2:BT33" si="39">IF(AND(Sufficient_data="Yes",Include_study?="Yes"),IF(Add_0_5="Yes",(b_+c_+1)*(a_+0.5)*(d_+0.5)/(Number_of_subjects+2)^2,(b_+c_)*a_*d_/Number_of_subjects^2),"")</f>
        <v/>
      </c>
      <c r="BU2" s="3" t="str">
        <f t="shared" ref="BU2:BU33" si="40">IF(AND(Sufficient_data="Yes",Include_study?="Yes"),IF(Add_0_5="Yes",(b_+c_+1)*(b_+0.5)*(c_+0.5)/(Number_of_subjects+2)^2,(b_+c_)*b_*c_/Number_of_subjects^2),"")</f>
        <v/>
      </c>
      <c r="BV2" s="3" t="str">
        <f t="shared" ref="BV2:BV33" si="41">IF(AND(Sufficient_data="Yes",Include_study?="Yes"),IF(Add_0_5="Yes",(b_+0.5)*(c_+0.5)/(Number_of_subjects+2),b_*c_/Number_of_subjects),"")</f>
        <v/>
      </c>
      <c r="BW2" s="3" t="str">
        <f t="shared" ref="BW2:BW33" si="42">IF(AND(Sufficient_data="Yes",Include_study?="Yes"),1/(SELogOddsRatio^2)*(LogOddsRatio-LN(SUMPRODUCT(Weightf_MH,OddsRatio)/SUM(Weightf_MH)))^2,"")</f>
        <v/>
      </c>
      <c r="BX2" s="74" t="str">
        <f t="shared" ref="BX2:BX33" si="43">IF(Weithf_MH&lt;&gt;"",1/(SELogOddsRatio^2+T2_MH),"")</f>
        <v/>
      </c>
      <c r="BY2" s="34" t="str">
        <f t="shared" ref="BY2:BY33" si="44">IF(Weithf_MH&lt;&gt;"",LogOddsRatio-lnCES_OddsRatio_MH,"")</f>
        <v/>
      </c>
      <c r="CA2" s="3" t="s">
        <v>277</v>
      </c>
      <c r="CB2" s="3">
        <f>LN(CES_OddsRatio_MH)</f>
        <v>-0.36299449134378992</v>
      </c>
      <c r="CD2" s="123" t="s">
        <v>278</v>
      </c>
      <c r="CE2" s="77" t="str">
        <f t="shared" ref="CE2:CE33" si="45">IF(AND(Include_study?="Yes",Sufficient_data="Yes"),((a_+b_)*(a_+c_))/(Number_of_subjects),"")</f>
        <v/>
      </c>
      <c r="CF2" s="74" t="str">
        <f t="shared" ref="CF2:CF33" si="46">IF(AND(Include_study?="Yes",Sufficient_data="Yes"),((a_+b_)*(c_+d_)*(a_+c_)*(b_+d_))/((Number_of_subjects)^2*(Number_of_subjects-1)),"")</f>
        <v/>
      </c>
      <c r="CG2" s="74" t="str">
        <f t="shared" ref="CG2:CG33" si="47">IF(AND(Include_study?="Yes",Sufficient_data="Yes"),(a_-Expected)/VarExpected,"")</f>
        <v/>
      </c>
      <c r="CH2" s="74" t="str">
        <f t="shared" ref="CH2:CH33" si="48">IF(AND(Include_study?="Yes",Sufficient_data="Yes"),1/VarExpected,"")</f>
        <v/>
      </c>
      <c r="CI2" s="74" t="str">
        <f t="shared" ref="CI2:CI33" si="49">IF(AND(Sufficient_data="Yes",Include_study?="Yes"),VarExpected,"")</f>
        <v/>
      </c>
      <c r="CJ2" s="74" t="str">
        <f t="shared" ref="CJ2:CJ65" si="50">IF(Weightf_Peto&lt;&gt;"",1/(VarLogPetoOddsRatio+T2_Peto),"")</f>
        <v/>
      </c>
      <c r="CK2" s="34" t="str">
        <f t="shared" ref="CK2:CK33" si="51">IF(Weightf_Peto&lt;&gt;"",LogPetoOddsRatio-lnCES_PetoOddsRatio,"")</f>
        <v/>
      </c>
      <c r="CM2" s="3" t="s">
        <v>279</v>
      </c>
      <c r="CN2" s="3">
        <f>IF(Meta_analysis_model="Fixed effect model",SUMPRODUCT(Weightf_Peto,LogPetoOddsRatio)/SUM(Weightf_Peto),SUMPRODUCT(Weight_Peto,LogPetoOddsRatio)/SUM(Weight_Peto))</f>
        <v>-0.36982160067442899</v>
      </c>
      <c r="CP2" s="123" t="s">
        <v>280</v>
      </c>
      <c r="CQ2" s="51" t="str">
        <f t="shared" ref="CQ2:CQ33" si="52">IF(AND(Sufficient_data="Yes",Include_study?="Yes"),c_/(c_+d_),"")</f>
        <v/>
      </c>
      <c r="CS2" s="2"/>
      <c r="CT2" s="2" t="s">
        <v>45</v>
      </c>
      <c r="CU2" s="2" t="s">
        <v>69</v>
      </c>
      <c r="CV2" s="2" t="s">
        <v>70</v>
      </c>
      <c r="CX2" s="130" t="s">
        <v>281</v>
      </c>
      <c r="CY2" s="47" t="e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2" s="37" t="str">
        <f t="shared" ref="CZ2:CZ33" si="54">IF(AND(Include_study?="Yes",Sufficient_data="Yes",Subgroup&lt;&gt;""),Study_name,"")</f>
        <v/>
      </c>
      <c r="DA2" s="78" t="str">
        <f t="shared" ref="DA2:DA33" si="55">IF(AND(Include_study?="Yes",Sufficient_data="Yes",Subgroup&lt;&gt;""),Subgroup,"")</f>
        <v/>
      </c>
      <c r="DB2" s="74" t="str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2" s="74" t="str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2" s="74" t="str">
        <f t="shared" ref="DD2:DD33" si="58">IF(AND(Include_study?="Yes",Sufficient_data="Yes",Subgroup&lt;&gt;""),IF(Subgroup_weighting_method="Inverse variance",1/DC2^2,IF(Subgroup_weighting_method="Mantel-Haenszel",Weightf_MH,Weightf_Peto)),"")</f>
        <v/>
      </c>
      <c r="DE2" s="74" t="str">
        <f t="shared" ref="DE2:DE33" si="59">IF(AND(Include_study?="Yes",Sufficient_data="Yes",Subgroup&lt;&gt;""),1/(DC2^2+IF(Within_subgroup_weighting=EX$42,0,INDEX(DQ:DX,MATCH(Subgroup,DQ:DQ,0),8))),"")</f>
        <v/>
      </c>
      <c r="DF2" s="79" t="str">
        <f t="shared" ref="DF2:DF33" si="60">IF(AND(Include_study?="Yes",Sufficient_data="Yes",Subgroup_valid_options="Yes",Subgroup&lt;&gt;""),DE2/SUMIF(Subgroup,Subgroup,DE:DE),"")</f>
        <v/>
      </c>
      <c r="DG2" s="74" t="str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2" s="74" t="str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2" s="74" t="str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2" s="34" t="str">
        <f t="shared" ref="DJ2:DJ33" si="64">IF(AND(Include_study?="Yes",Sufficient_data="Yes",Subgroup&lt;&gt;""),Subgroup_effect_size-VLOOKUP(DA:DA,DQ:DZ,10,FALSE),"")</f>
        <v/>
      </c>
      <c r="DL2" s="43" t="e">
        <f t="shared" ref="DL2:DL33" si="65">IF(Subgroup_effect_size&lt;&gt;"",IF(Subgroup_effect_size_measure="Risk Difference",Subgroup_effect_size,DG:DG),NA())</f>
        <v>#N/A</v>
      </c>
      <c r="DM2" s="74" t="e">
        <f>IF(AND(Include_study?="Yes",Sufficient_data="Yes",Subgroup&lt;&gt;""),IF(Subgroup_effect_size_measure="Risk Difference",DB2-DH2,DG2-DH2),NA())</f>
        <v>#N/A</v>
      </c>
      <c r="DN2" s="34" t="e">
        <f>IF(AND(Include_study?="Yes",Sufficient_data="Yes",Subgroup&lt;&gt;""),IF(Subgroup_effect_size_measure="Risk Difference",DI2-DB2,DI2-DG2),NA())</f>
        <v>#N/A</v>
      </c>
      <c r="DP2" s="47" t="str">
        <f>IF(DQ2&lt;&gt;"",SUMIFS(DS:DS,DS:DS,"&gt;="&amp;0,DQ:DQ,"&lt;"&amp;DQ2)+DS2+DR2,"")</f>
        <v/>
      </c>
      <c r="DQ2" s="17" t="str">
        <f>IF(AND(Sufficient_data="Yes",Subgroup&lt;&gt;""),Subgroup,"")</f>
        <v/>
      </c>
      <c r="DR2" s="6" t="str">
        <f>IF(DQ2&lt;&gt;"",(COUNTIFS(DS:DS,"&gt;"&amp;0,DQ:DQ,"&lt;"&amp;DQ2)+1),"")</f>
        <v/>
      </c>
      <c r="DS2" s="6" t="str">
        <f t="shared" ref="DS2:DS33" si="66">IF(DQ2&lt;&gt;"",COUNTIFS(Sufficient_data,"Yes",Include_study?,"Yes",Subgroup,DQ2),"")</f>
        <v/>
      </c>
      <c r="DT2" s="3" t="str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/>
      </c>
      <c r="DU2" s="10" t="str">
        <f>IF(DT2&lt;&gt;"",CHIDIST(DT2,DS2-1),"")</f>
        <v/>
      </c>
      <c r="DV2" s="9" t="str">
        <f>IF(DT2&lt;&gt;"",IF((DT2-(DS2-1))&lt;=0,0,(DT2-(DS2-1))/DT2),"")</f>
        <v/>
      </c>
      <c r="DW2" s="10" t="str">
        <f t="shared" ref="DW2:DW33" si="68">IF(DT2&lt;&gt;"",SUMIF(Subgroup,DQ2,Subgroup_weightf)-SUMPRODUCT(--(Subgroup=DQ2),Subgroup_weightf,Subgroup_weightf)/SUMIF(Subgroup,DQ2,Subgroup_weightf),"")</f>
        <v/>
      </c>
      <c r="DX2" s="3" t="str">
        <f t="shared" ref="DX2:DX33" si="69">IF(DT2&lt;&gt;"",IF(Within_subgroup_weighting=EX$44,MAX(0,(SUM(DT:DT)-(Subgroup_k-COUNT(DT:DT)))/SUM(DW:DW)),MAX(0,(DT2-(DS2-1))/DW2)),"")</f>
        <v/>
      </c>
      <c r="DY2" s="3" t="str">
        <f>IF(DX2&lt;&gt;"",SQRT(DX2),"")</f>
        <v/>
      </c>
      <c r="DZ2" s="3" t="str">
        <f t="shared" ref="DZ2:DZ33" si="70">IF(DT2&lt;&gt;"",SUMPRODUCT(--(Subgroup=DQ2),DE:DE,Subgroup_effect_size)/SUMIF(Subgroup,DQ2,DE:DE),"")</f>
        <v/>
      </c>
      <c r="EA2" s="3" t="str">
        <f t="shared" ref="EA2:EA33" si="71">IF(DT2&lt;&gt;"",IF(Within_subgroup_weighting=EX$42,1/SQRT(SUMIF(Subgroup,DQ2,DD:DD)),SQRT(SUMPRODUCT(--(Subgroup=DQ2),DE:DE,DJ:DJ,DJ:DJ)/((DS2-1)*SUMIF(Subgroup,DQ2,DE:DE)))),"")</f>
        <v/>
      </c>
      <c r="EB2" s="6" t="str">
        <f t="shared" ref="EB2:EB33" si="72">IF(DT2&lt;&gt;"",SUMIFS(Number_of_subjects,Subgroup,DQ2,Include_study?,"Yes",Sufficient_data,"Yes"),"")</f>
        <v/>
      </c>
      <c r="EC2" s="3" t="str">
        <f>IF(DT2&lt;&gt;"",DZ2-ABS(TINV((1-Subgroup_confidence_level),DS2-1))*EA2,"")</f>
        <v/>
      </c>
      <c r="ED2" s="3" t="str">
        <f>IF(DT2&lt;&gt;"",DZ2+ABS(TINV((1-Subgroup_confidence_level),DS2-1))*EA2,"")</f>
        <v/>
      </c>
      <c r="EE2" s="3" t="str">
        <f>IF(AND(EE$1&lt;&gt;"",DT2&lt;&gt;""),EXP(DZ2),"")</f>
        <v/>
      </c>
      <c r="EF2" s="3" t="str">
        <f>IF(AND(EF$1&lt;&gt;"",DT2&lt;&gt;""),EXP(EC2),"")</f>
        <v/>
      </c>
      <c r="EG2" s="3" t="str">
        <f>IF(AND(EG$1&lt;&gt;"",DT2&lt;&gt;""),EXP(ED2),"")</f>
        <v/>
      </c>
      <c r="EH2" s="3" t="str">
        <f>IF(AND(EE$1&lt;&gt;"",DT2&lt;&gt;""),EE2-EF2,IF(DT2&lt;&gt;"",DZ2-EC2,""))</f>
        <v/>
      </c>
      <c r="EI2" s="3" t="str">
        <f>IF(AND(EE$1&lt;&gt;"",DT2&lt;&gt;""),EG2-EE2,IF(DT2&lt;&gt;"",ED2-DZ2,""))</f>
        <v/>
      </c>
      <c r="EJ2" s="3" t="str">
        <f>IF(DT2&lt;&gt;"",DZ2-ABS(TINV((1-Subgroup_confidence_level),DS2-1))*SQRT(DX2+EA2^2),"")</f>
        <v/>
      </c>
      <c r="EK2" s="3" t="str">
        <f t="shared" ref="EK2:EK33" si="73">IF(DT2&lt;&gt;"",DZ2+ABS(TINV((1-Subgroup_confidence_level),DS2-1))*SQRT(DX2+EA2^2),"")</f>
        <v/>
      </c>
      <c r="EL2" s="3" t="str">
        <f>IF(AND(EL$1&lt;&gt;"",DT2&lt;&gt;""),EXP(EJ2),"")</f>
        <v/>
      </c>
      <c r="EM2" s="3" t="str">
        <f>IF(AND(EM$1&lt;&gt;"",DT2&lt;&gt;""),EXP(EK2),"")</f>
        <v/>
      </c>
      <c r="EN2" s="3" t="str">
        <f>IF(AND(EE$1&lt;&gt;"",DT2&lt;&gt;""),EE2-EL2,IF(DT2&lt;&gt;"",DZ2-EJ2,""))</f>
        <v/>
      </c>
      <c r="EO2" s="3" t="str">
        <f>IF(AND(EE$1&lt;&gt;"",DT2&lt;&gt;""),EM2-EE2,IF(DT2&lt;&gt;"",EK2-DZ2,""))</f>
        <v/>
      </c>
      <c r="EP2" s="3" t="str">
        <f t="shared" ref="EP2:EP33" si="74">IF(DT2&lt;&gt;"",SUMPRODUCT(--(Subgroup=DQ2),DE:DE,Subgroup_effect_size,Subgroup_effect_size)-(SUMPRODUCT(--(Subgroup=DQ2),DE:DE,Subgroup_effect_size)^2/SUMIF(Subgroup,DQ2,DE:DE)),"")</f>
        <v/>
      </c>
      <c r="EQ2" s="3" t="e">
        <f>IF(DT2&lt;&gt;"",IF(EE2&lt;&gt;"",EE2,DZ2),NA())</f>
        <v>#N/A</v>
      </c>
      <c r="ER2" s="9" t="str">
        <f>IF(DT2&lt;&gt;"",(ET2/SUM(ET:ET)),"")</f>
        <v/>
      </c>
      <c r="ES2" s="3" t="str">
        <f>IF(DT2&lt;&gt;"",1/(EA2^2),"")</f>
        <v/>
      </c>
      <c r="ET2" s="3" t="str">
        <f>IF(EA2&lt;&gt;"",1/(EA2^2+IF(Between_subgroup_weighting=EX$38,0,EY$35)),"")</f>
        <v/>
      </c>
      <c r="EU2" s="74" t="str">
        <f t="shared" ref="EU2:EU33" si="75">IF(ES2&lt;&gt;"",IF(Subgroup_effect_size_measure="Risk Difference",(EY$9-DZ2)^2*ET2,(EY$2-DZ2)^2*ET2),"")</f>
        <v/>
      </c>
      <c r="EV2" s="34" t="str">
        <f t="shared" ref="EV2:EV33" si="76">IF(DT2&lt;&gt;"",IF(Subgroup_effect_size_measure="Risk Difference",EE:EE-EY$9,DZ:DZ-EY$2),"")</f>
        <v/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#VALUE!</v>
      </c>
      <c r="FA2" s="130" t="s">
        <v>282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110</v>
      </c>
      <c r="FP2" s="3">
        <f>SUMPRODUCT('Moderator Analysis'!F:F,Calculations!FE:FE)/SUM(Calculations!FE:FE)</f>
        <v>-0.23488164552227786</v>
      </c>
      <c r="FR2" s="130" t="s">
        <v>283</v>
      </c>
      <c r="FS2" s="125" t="s">
        <v>123</v>
      </c>
      <c r="FT2" s="77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" s="74" t="str">
        <f>IF(AND(Include_study?="Yes",Sufficient_data="Yes"),1/('Publication Bias Analysis'!F:F^2+IF(Additional_model="Fixed effect",0,Calculations!GH$12)),"")</f>
        <v/>
      </c>
      <c r="FV2" s="74" t="str">
        <f>IF(AND(Include_study?="Yes",Sufficient_data="Yes"),1/('Publication Bias Analysis'!F:F^2+IF(Additional_model="Fixed effect",0,'Publication Bias Analysis'!L$32)),"")</f>
        <v/>
      </c>
      <c r="FW2" s="74" t="str">
        <f>IF(AND(Include_study?="Yes",Sufficient_data="Yes"),'Publication Bias Analysis'!E:E-'Publication Bias Analysis'!I$37,"")</f>
        <v/>
      </c>
      <c r="FX2" s="74" t="str">
        <f>IF(AND(Include_study?="Yes",Sufficient_data="Yes"),IF(Additional_model="Fixed effect",1/'Publication Bias Analysis'!F:F,1/SQRT('Publication Bias Analysis'!F:F^2+GH$12)),"")</f>
        <v/>
      </c>
      <c r="FY2" s="74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" s="37" t="str">
        <f t="shared" ref="FZ2:FZ33" si="80">IF(AND(Include_study?="Yes",Sufficient_data="Yes"),RANK(GM:GM,GM:GM,1)*IF(GL:GL&gt;0,1,-1),"")</f>
        <v/>
      </c>
      <c r="GA2" s="82" t="str">
        <f>IF(AND(Include_study?="Yes",Sufficient_data="Yes"),FZ:FZ,"")</f>
        <v/>
      </c>
      <c r="GB2" s="82" t="str">
        <f>IF(AND(Include_study?="Yes",Sufficient_data="Yes"),RANK(GP:GP,GP:GP,1)*IF(GO:GO&lt;0,-1,1),"")</f>
        <v/>
      </c>
      <c r="GC2" s="82" t="str">
        <f>IF(AND(Include_study?="Yes",Sufficient_data="Yes"),RANK(GS:GS,GS:GS,1)*IF(GR:GR&lt;0,-1,1),"")</f>
        <v/>
      </c>
      <c r="GD2" s="74" t="e">
        <f>IF(AND(Include_study?="Yes",Sufficient_data="Yes"),'Publication Bias Analysis'!E2,NA())</f>
        <v>#N/A</v>
      </c>
      <c r="GE2" s="34" t="e">
        <f>IF(AND(Include_study?="Yes",Sufficient_data="Yes"),'Publication Bias Analysis'!F2,NA())</f>
        <v>#N/A</v>
      </c>
      <c r="GG2" s="24" t="s">
        <v>284</v>
      </c>
      <c r="GH2" s="2" t="s">
        <v>254</v>
      </c>
      <c r="GI2" s="2" t="s">
        <v>255</v>
      </c>
      <c r="GK2" s="123" t="s">
        <v>285</v>
      </c>
      <c r="GL2" s="77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" s="74" t="str">
        <f t="shared" ref="GM2:GM33" si="81">IF(AND(Include_study?="Yes",Sufficient_data="Yes"),ABS(GL2),"")</f>
        <v/>
      </c>
      <c r="GN2" s="34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" s="74" t="str">
        <f>IF(AND(Include_study?="Yes",Sufficient_data="Yes"),IF('Publication Bias Analysis'!L$38="Left",'Publication Bias Analysis'!E:E-GW$3,GW$3-'Publication Bias Analysis'!E:E),"")</f>
        <v/>
      </c>
      <c r="GP2" s="74" t="str">
        <f t="shared" ref="GP2:GP33" si="82">IF(GO2&lt;&gt;"",ABS(GO2),"")</f>
        <v/>
      </c>
      <c r="GQ2" s="34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" s="74" t="str">
        <f>IF(AND(Include_study?="Yes",Sufficient_data="Yes"),IF('Publication Bias Analysis'!L$38="Left",'Publication Bias Analysis'!E:E-GW$10,GW$10-'Publication Bias Analysis'!E:E),"")</f>
        <v/>
      </c>
      <c r="GS2" s="74" t="str">
        <f t="shared" ref="GS2:GS33" si="83">IF(GR2&lt;&gt;"",ABS(GR2),"")</f>
        <v/>
      </c>
      <c r="GT2" s="34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" s="117" t="s">
        <v>110</v>
      </c>
      <c r="GW2" s="117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23" t="s">
        <v>114</v>
      </c>
      <c r="HL2" s="3" t="str">
        <f t="shared" ref="HL2:HL65" si="89">IF(AND(Include_study?="Yes",Sufficient_data="Yes"),Inverse_standard_error-AVERAGE(Inverse_standard_error),"")</f>
        <v/>
      </c>
      <c r="HM2" s="34" t="str">
        <f>IF(AND(Include_study?="Yes",Sufficient_data="Yes"),Z_score-('Publication Bias Analysis'!P$3+'Publication Bias Analysis'!P$4*Inverse_standard_error),"")</f>
        <v/>
      </c>
      <c r="HO2" s="123" t="s">
        <v>286</v>
      </c>
      <c r="HP2" s="3" t="str">
        <f>IF(AND(Include_study?="Yes",Sufficient_data="Yes"),(GD:GD-SUMPRODUCT(Calculations!FT:FT,'Publication Bias Analysis'!E:E)/SUM(Calculations!FT:FT))/SQRT(Calculations!HQ:HQ),"")</f>
        <v/>
      </c>
      <c r="HQ2" s="3" t="str">
        <f>IF(AND(Include_study?="Yes",Sufficient_data="Yes"),GE:GE^2-1/SUM(Calculations!FT:FT),"")</f>
        <v/>
      </c>
      <c r="HR2" s="6" t="str">
        <f t="shared" ref="HR2:HR33" si="90">IF(AND(Include_study?="Yes",Sufficient_data="Yes"),RANK(HP:HP,HP:HP,0),"")</f>
        <v/>
      </c>
      <c r="HS2" s="6" t="str">
        <f t="shared" ref="HS2:HS33" si="91">IF(AND(Include_study?="Yes",Sufficient_data="Yes"),RANK(HQ:HQ,HQ:HQ,0),"")</f>
        <v/>
      </c>
      <c r="HT2" s="6" t="str">
        <f>IF(AND(Include_study?="Yes",Sufficient_data="Yes"),COUNTIFS(HR3:HR201,"&lt;"&amp;HR2,HS3:HS201,"&lt;"&amp;HS2)+COUNTIFS(HR3:HR201,"&gt;"&amp;HR2,HS3:HS201,"&gt;"&amp;HS2),"")</f>
        <v/>
      </c>
      <c r="HU2" s="56" t="str">
        <f>IF(AND(Include_study?="Yes",Sufficient_data="Yes"),COUNTIFS(HR3:HR201,"&lt;"&amp;HR2,HS3:HS201,"&gt;"&amp;HS2)+COUNTIFS(HR3:HR201,"&gt;"&amp;HR2,HS3:HS201,"&lt;"&amp;HS2),"")</f>
        <v/>
      </c>
      <c r="HW2" s="123" t="s">
        <v>126</v>
      </c>
      <c r="HX2" s="20">
        <v>1</v>
      </c>
      <c r="HY2" s="3"/>
      <c r="HZ2" s="34">
        <f>HZ3-HY14</f>
        <v>-2.8</v>
      </c>
      <c r="IB2" s="123" t="s">
        <v>287</v>
      </c>
      <c r="IC2" s="77" t="e">
        <f t="shared" ref="IC2:IC33" si="92">IF(AND(Include_study?="Yes",Sufficient_data="Yes"),a_/(a_+b_),NA())</f>
        <v>#N/A</v>
      </c>
      <c r="ID2" s="74" t="e">
        <f t="shared" ref="ID2:ID33" si="93">IF(AND(Include_study?="Yes",Sufficient_data="Yes"),c_/(c_+d_),NA())</f>
        <v>#N/A</v>
      </c>
      <c r="IE2" s="74" t="str">
        <f t="shared" ref="IE2:IE33" si="94">IF(AND(Include_study?="Yes",Sufficient_data="Yes"),1/SELogRiskRatio^2,"")</f>
        <v/>
      </c>
      <c r="IF2" s="74" t="str">
        <f t="shared" ref="IF2:IF33" si="95">IF(AND(Include_study?="Yes",Sufficient_data="Yes"),IF(Additional_model="Fixed effect",Weightf,Weightr),"")</f>
        <v/>
      </c>
      <c r="IH2" s="2" t="s">
        <v>254</v>
      </c>
      <c r="II2" s="2" t="s">
        <v>255</v>
      </c>
      <c r="IK2" s="123" t="s">
        <v>128</v>
      </c>
      <c r="IL2" s="3" t="e">
        <f>IF(AND(Include_study?="Yes",Sufficient_data="Yes"),'Publication Bias Analysis'!AV:AV,NA())</f>
        <v>#N/A</v>
      </c>
      <c r="IM2" s="3" t="e">
        <f>IF(AND(Sufficient_data="Yes",Include_study?="Yes"),'Publication Bias Analysis'!AU:AU,NA())</f>
        <v>#N/A</v>
      </c>
      <c r="IN2" s="3" t="str">
        <f t="shared" ref="IN2:IN33" si="96">IF(AND(Include_study?="Yes",Sufficient_data="Yes"),Inverse_standard_error-AVERAGE(Inverse_standard_error),"")</f>
        <v/>
      </c>
      <c r="IO2" s="34" t="str">
        <f>IF(AND(Include_study?="Yes",Sufficient_data="Yes"),Z_score-('Publication Bias Analysis'!AY$30+'Publication Bias Analysis'!AY$31*Inverse_standard_error),"")</f>
        <v/>
      </c>
      <c r="IQ2" s="24" t="s">
        <v>288</v>
      </c>
      <c r="IR2" s="2" t="s">
        <v>254</v>
      </c>
      <c r="IS2" s="2" t="s">
        <v>255</v>
      </c>
      <c r="IU2" s="123" t="s">
        <v>129</v>
      </c>
      <c r="IV2" s="6" t="str">
        <f>IF('Publication Bias Analysis'!BG:BG&lt;&gt;"",RANK('Publication Bias Analysis'!BG:BG,'Publication Bias Analysis'!BG:BG,1),"")</f>
        <v/>
      </c>
      <c r="IW2" s="3" t="str">
        <f t="shared" ref="IW2:IW33" si="97">IF(IV:IV&lt;&gt;"",(IV:IV-1/3)/(k_+1/3),"")</f>
        <v/>
      </c>
      <c r="IX2" s="3" t="e">
        <f>IF('Publication Bias Analysis'!BF2&lt;&gt;"",'Publication Bias Analysis'!BF2,NA())</f>
        <v>#N/A</v>
      </c>
      <c r="IY2" s="3" t="e">
        <f>IF('Publication Bias Analysis'!BG2&lt;&gt;"",'Publication Bias Analysis'!BG2,NA())</f>
        <v>#N/A</v>
      </c>
      <c r="IZ2" s="3" t="str">
        <f>IF(AND(Include_study?="Yes",Sufficient_data="Yes"),'Publication Bias Analysis'!BF:BF-AVERAGE('Publication Bias Analysis'!BF:BF),"")</f>
        <v/>
      </c>
      <c r="JA2" s="34" t="str">
        <f>IF(AND(Include_study?="Yes",Sufficient_data="Yes"),'Publication Bias Analysis'!BG:BG-('Publication Bias Analysis'!BJ$30+'Publication Bias Analysis'!BJ$31*'Publication Bias Analysis'!BF:BF),"")</f>
        <v/>
      </c>
      <c r="JC2" s="24" t="s">
        <v>289</v>
      </c>
      <c r="JD2" s="2" t="s">
        <v>254</v>
      </c>
      <c r="JE2" s="2" t="s">
        <v>255</v>
      </c>
      <c r="JG2" s="123" t="s">
        <v>131</v>
      </c>
      <c r="JH2" s="74" t="str">
        <f t="shared" ref="JH2:JH33" si="98">IF(AND(Include_study?="Yes",Sufficient_data="Yes"),IF(AND(Additional_valid_options="No",Additional_model="Random effects"),NA(),Z_score),"")</f>
        <v/>
      </c>
      <c r="JI2" s="84" t="str">
        <f>IF(JH2&lt;&gt;"",1-NORMSDIST(ABS(JH2)),"")</f>
        <v/>
      </c>
      <c r="JJ2" s="34" t="str">
        <f>IF(JI2&lt;&gt;"",LN(MAX(10^-306,JI2)),"")</f>
        <v/>
      </c>
    </row>
    <row r="3" spans="1:270" ht="12.95">
      <c r="A3" s="2">
        <f t="shared" si="0"/>
        <v>0</v>
      </c>
      <c r="B3" s="6" t="str">
        <f>IF(AND(Include_study?="Yes",Sufficient_data="Yes"),IF(Input!a_&lt;&gt;"",Input!a_,Input!n1_-Input!b_),"")</f>
        <v/>
      </c>
      <c r="C3" s="6" t="str">
        <f>IF(AND(Include_study?="Yes",Sufficient_data="Yes"),IF(Input!b_&lt;&gt;"",Input!b_,Input!n1_-Input!a_),"")</f>
        <v/>
      </c>
      <c r="D3" s="6" t="str">
        <f>IF(AND(Include_study?="Yes",Sufficient_data="Yes"),IF(Input!c_&lt;&gt;"",Input!c_,Input!n2_-Input!d_),"")</f>
        <v/>
      </c>
      <c r="E3" s="6" t="str">
        <f>IF(AND(Include_study?="Yes",Sufficient_data="Yes"),IF(Input!d_&lt;&gt;"",Input!d_,Input!n2_-Input!c_),"")</f>
        <v/>
      </c>
      <c r="F3" s="35" t="str">
        <f t="shared" si="1"/>
        <v/>
      </c>
      <c r="H3" s="130"/>
      <c r="I3" s="125"/>
      <c r="J3" s="76" t="str">
        <f t="shared" si="2"/>
        <v/>
      </c>
      <c r="K3" s="3" t="str">
        <f t="shared" si="3"/>
        <v/>
      </c>
      <c r="L3" s="3" t="str">
        <f t="shared" si="4"/>
        <v/>
      </c>
      <c r="M3" s="3" t="str">
        <f t="shared" si="5"/>
        <v/>
      </c>
      <c r="N3" s="35" t="str">
        <f t="shared" si="6"/>
        <v/>
      </c>
      <c r="P3" s="123"/>
      <c r="Q3" s="76" t="str">
        <f t="shared" si="7"/>
        <v/>
      </c>
      <c r="R3" s="3" t="str">
        <f t="shared" si="8"/>
        <v/>
      </c>
      <c r="S3" s="3" t="str">
        <f t="shared" si="9"/>
        <v/>
      </c>
      <c r="T3" s="35" t="str">
        <f t="shared" si="10"/>
        <v/>
      </c>
      <c r="V3" s="123"/>
      <c r="W3" s="76" t="str">
        <f t="shared" si="11"/>
        <v/>
      </c>
      <c r="X3" s="3" t="str">
        <f t="shared" si="12"/>
        <v/>
      </c>
      <c r="Y3" s="3" t="str">
        <f t="shared" si="13"/>
        <v/>
      </c>
      <c r="Z3" s="35" t="str">
        <f t="shared" si="14"/>
        <v/>
      </c>
      <c r="AB3" s="123"/>
      <c r="AC3" s="76" t="str">
        <f t="shared" si="15"/>
        <v/>
      </c>
      <c r="AD3" s="3" t="str">
        <f t="shared" si="16"/>
        <v/>
      </c>
      <c r="AE3" s="3" t="str">
        <f t="shared" si="17"/>
        <v/>
      </c>
      <c r="AF3" s="3" t="str">
        <f t="shared" si="18"/>
        <v/>
      </c>
      <c r="AG3" s="35" t="str">
        <f t="shared" si="19"/>
        <v/>
      </c>
      <c r="AI3" s="130"/>
      <c r="AJ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" s="6" t="str">
        <f>IF(AJ3&lt;&gt;"",IF(AJ3=0,COUNTIF(AJ$2:AJ2,0)+1,COUNTIF(AJ$2:AJ2,AJ3)+AJ3+COUNTIF(AJ:AJ,0)),"")</f>
        <v/>
      </c>
      <c r="AL3" s="6">
        <f t="shared" si="20"/>
        <v>0</v>
      </c>
      <c r="AM3" s="3" t="str">
        <f>IF(AND(Include_study?="Yes",Sufficient_data="Yes",Input!Study_name&lt;&gt;""),Input!Study_name,"")</f>
        <v/>
      </c>
      <c r="AN3" s="6" t="str">
        <f t="shared" si="21"/>
        <v/>
      </c>
      <c r="AO3" s="3" t="str">
        <f t="shared" si="22"/>
        <v/>
      </c>
      <c r="AP3" s="3" t="str">
        <f t="shared" si="23"/>
        <v/>
      </c>
      <c r="AQ3" s="3" t="str">
        <f t="shared" si="24"/>
        <v/>
      </c>
      <c r="AR3" s="3" t="str">
        <f t="shared" si="25"/>
        <v/>
      </c>
      <c r="AS3" s="3" t="str">
        <f t="shared" si="26"/>
        <v/>
      </c>
      <c r="AT3" s="3" t="str">
        <f t="shared" si="27"/>
        <v/>
      </c>
      <c r="AU3" s="80" t="str">
        <f t="shared" si="28"/>
        <v/>
      </c>
      <c r="AW3" s="44" t="e">
        <f t="shared" si="29"/>
        <v>#N/A</v>
      </c>
      <c r="AX3" s="3" t="e">
        <f t="shared" si="30"/>
        <v>#N/A</v>
      </c>
      <c r="AY3" s="35" t="e">
        <f t="shared" si="31"/>
        <v>#N/A</v>
      </c>
      <c r="BA3" s="2" t="s">
        <v>290</v>
      </c>
      <c r="BB3" s="6">
        <f>IF(BB2&lt;&gt;"",MAX(Entry_number)+1,"")</f>
        <v>12</v>
      </c>
      <c r="BD3" s="130"/>
      <c r="BE3" s="125"/>
      <c r="BF3" s="3" t="str">
        <f t="shared" si="32"/>
        <v/>
      </c>
      <c r="BG3" s="3" t="str">
        <f t="shared" si="33"/>
        <v/>
      </c>
      <c r="BH3" s="3" t="str">
        <f t="shared" si="34"/>
        <v/>
      </c>
      <c r="BI3" s="3" t="str">
        <f t="shared" ref="BI3:BI33" si="99">IF(Weightf&lt;&gt;"",1/(IF(Model_effect_size_measure="Odds Ratio",SELogOddsRatio,IF(Model_effect_size_measure="Risk Ratio",SELogRiskRatio,SERiskDifference))^2+T2_),"")</f>
        <v/>
      </c>
      <c r="BJ3" s="35" t="str">
        <f t="shared" si="35"/>
        <v/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7.8280878973986792E-2</v>
      </c>
      <c r="BO3" s="123"/>
      <c r="BP3" s="3" t="str">
        <f t="shared" si="36"/>
        <v/>
      </c>
      <c r="BQ3" s="3" t="str">
        <f t="shared" si="37"/>
        <v/>
      </c>
      <c r="BR3" s="3" t="str">
        <f t="shared" si="38"/>
        <v/>
      </c>
      <c r="BS3" s="3" t="str">
        <f>IF(AND(Sufficient_data="Yes",Include_study?="Yes"),IF(Add_0_5="Yes",(a_+d_+1)*(ab_+0.5)*(c_+0.5)/(Number_of_subjects+2)^2,(a_+d_)*b_*c_/Number_of_subjects^2),"")</f>
        <v/>
      </c>
      <c r="BT3" s="3" t="str">
        <f t="shared" si="39"/>
        <v/>
      </c>
      <c r="BU3" s="3" t="str">
        <f t="shared" si="40"/>
        <v/>
      </c>
      <c r="BV3" s="3" t="str">
        <f t="shared" si="41"/>
        <v/>
      </c>
      <c r="BW3" s="3" t="str">
        <f t="shared" si="42"/>
        <v/>
      </c>
      <c r="BX3" s="3" t="str">
        <f t="shared" si="43"/>
        <v/>
      </c>
      <c r="BY3" s="35" t="str">
        <f t="shared" si="44"/>
        <v/>
      </c>
      <c r="CA3" s="3" t="s">
        <v>291</v>
      </c>
      <c r="CB3" s="3">
        <f>IF(Meta_analysis_model="Fixed effect model",0.5*(SUM(BR:BR)/SUM(BP:BP)^2+(SUM(BS:BS)+SUM(BT:BT))/(SUM(BP:BP)*SUM(BQ:BQ))+SUM(BU:BU)/SUM(BQ:BQ)^2),SUMPRODUCT(Weight_MH,BY:BY,BY:BY)/((k_-1)*SUM(Weight_MH)))</f>
        <v>6.148670643112389E-3</v>
      </c>
      <c r="CD3" s="123"/>
      <c r="CE3" s="76" t="str">
        <f t="shared" si="45"/>
        <v/>
      </c>
      <c r="CF3" s="3" t="str">
        <f t="shared" si="46"/>
        <v/>
      </c>
      <c r="CG3" s="3" t="str">
        <f t="shared" si="47"/>
        <v/>
      </c>
      <c r="CH3" s="3" t="str">
        <f t="shared" si="48"/>
        <v/>
      </c>
      <c r="CI3" s="3" t="str">
        <f t="shared" si="49"/>
        <v/>
      </c>
      <c r="CJ3" s="3" t="str">
        <f t="shared" si="50"/>
        <v/>
      </c>
      <c r="CK3" s="35" t="str">
        <f t="shared" si="51"/>
        <v/>
      </c>
      <c r="CM3" s="3" t="s">
        <v>291</v>
      </c>
      <c r="CN3" s="3">
        <f>IF(Meta_analysis_model="Fixed effect model",1/SUM(Weightf_Peto),SUMPRODUCT(Weight_Peto,CK:CK,CK:CK)/((k_-1)*SUM(Weight_Peto)))</f>
        <v>7.0727249373230454E-3</v>
      </c>
      <c r="CP3" s="123"/>
      <c r="CQ3" s="52" t="str">
        <f t="shared" si="52"/>
        <v/>
      </c>
      <c r="CS3" s="2" t="s">
        <v>292</v>
      </c>
      <c r="CT3" s="3">
        <f>IF(Weighting_method="Inverse variance",IF(Model_effect_size_measure="Odds Ratio",CES_IV,NA()),NA())</f>
        <v>0.69623061934059816</v>
      </c>
      <c r="CU3" s="3">
        <f>IF(Model_effect_size_measure="Odds Ratio",CES_OddsRatio_MH,NA())</f>
        <v>0.69559026525617551</v>
      </c>
      <c r="CV3" s="3" t="e">
        <f>IF(Model_effect_size_measure="Peto Odds Ratio",CES_PetoOddsRatio,NA())</f>
        <v>#N/A</v>
      </c>
      <c r="CX3" s="130"/>
      <c r="CY3" s="48" t="e">
        <f t="shared" si="53"/>
        <v>#N/A</v>
      </c>
      <c r="CZ3" s="6" t="str">
        <f t="shared" si="54"/>
        <v/>
      </c>
      <c r="DA3" s="17" t="str">
        <f t="shared" si="55"/>
        <v/>
      </c>
      <c r="DB3" s="3" t="str">
        <f t="shared" si="56"/>
        <v/>
      </c>
      <c r="DC3" s="3" t="str">
        <f t="shared" si="57"/>
        <v/>
      </c>
      <c r="DD3" s="3" t="str">
        <f t="shared" si="58"/>
        <v/>
      </c>
      <c r="DE3" s="3" t="str">
        <f t="shared" si="59"/>
        <v/>
      </c>
      <c r="DF3" s="80" t="str">
        <f t="shared" si="60"/>
        <v/>
      </c>
      <c r="DG3" s="3" t="str">
        <f t="shared" si="61"/>
        <v/>
      </c>
      <c r="DH3" s="3" t="str">
        <f t="shared" si="62"/>
        <v/>
      </c>
      <c r="DI3" s="3" t="str">
        <f t="shared" si="63"/>
        <v/>
      </c>
      <c r="DJ3" s="35" t="str">
        <f t="shared" si="64"/>
        <v/>
      </c>
      <c r="DL3" s="44" t="e">
        <f t="shared" si="65"/>
        <v>#N/A</v>
      </c>
      <c r="DM3" s="3" t="e">
        <f t="shared" ref="DM3:DM33" si="100">IF(AND(Include_study?="Yes",Sufficient_data="Yes",Subgroup&lt;&gt;""),IF(Subgroup_effect_size_measure="Risk Difference",DB3-DH3,DG3-DH3),NA())</f>
        <v>#N/A</v>
      </c>
      <c r="DN3" s="35" t="e">
        <f t="shared" ref="DN3:DN33" si="101">IF(AND(Include_study?="Yes",Sufficient_data="Yes",Subgroup&lt;&gt;""),IF(Subgroup_effect_size_measure="Risk Difference",DI3-DB3,DI3-DG3),NA())</f>
        <v>#N/A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#VALUE!</v>
      </c>
      <c r="FA3" s="130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293</v>
      </c>
      <c r="FP3" s="3">
        <f>IF(SUM(Moderator)&lt;&gt;0,SUMPRODUCT(Moderator,FE:FE)/SUM(Calculations!FE:FE),"")</f>
        <v>27.725476732538699</v>
      </c>
      <c r="FR3" s="130"/>
      <c r="FS3" s="125"/>
      <c r="FT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" s="3" t="str">
        <f>IF(AND(Include_study?="Yes",Sufficient_data="Yes"),1/('Publication Bias Analysis'!F:F^2+IF(Additional_model="Fixed effect",0,Calculations!GH$12)),"")</f>
        <v/>
      </c>
      <c r="FV3" s="3" t="str">
        <f>IF(AND(Include_study?="Yes",Sufficient_data="Yes"),1/('Publication Bias Analysis'!F:F^2+IF(Additional_model="Fixed effect",0,'Publication Bias Analysis'!L$32)),"")</f>
        <v/>
      </c>
      <c r="FW3" s="3" t="str">
        <f>IF(AND(Include_study?="Yes",Sufficient_data="Yes"),'Publication Bias Analysis'!E:E-'Publication Bias Analysis'!I$37,"")</f>
        <v/>
      </c>
      <c r="FX3" s="3" t="str">
        <f>IF(AND(Include_study?="Yes",Sufficient_data="Yes"),IF(Additional_model="Fixed effect",1/'Publication Bias Analysis'!F:F,1/SQRT('Publication Bias Analysis'!F:F^2+GH$12)),"")</f>
        <v/>
      </c>
      <c r="FY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" s="6" t="str">
        <f t="shared" si="80"/>
        <v/>
      </c>
      <c r="GA3" s="83" t="str">
        <f>IF(AND(Include_study?="Yes",Sufficient_data="Yes"),FZ:FZ+IF(GL:GL&lt;0,-1,1)*COUNTIF(FZ$2:FZ2,FZ:FZ),"")</f>
        <v/>
      </c>
      <c r="GB3" s="83" t="str">
        <f>IF(AND(Include_study?="Yes",Sufficient_data="Yes"),RANK(GP:GP,GP:GP,1)*IF(GO:GO&lt;0,-1,1)+IF(GO:GO&lt;0,-1,1)*COUNTIF(FZ$2:FZ2,FZ:FZ),"")</f>
        <v/>
      </c>
      <c r="GC3" s="83" t="str">
        <f>IF(AND(Include_study?="Yes",Sufficient_data="Yes"),RANK(GS:GS,GS:GS,1)*IF(GR:GR&lt;0,-1,1)+IF(GR:GR&lt;0,-1,1)*COUNTIF(FZ$2:FZ2,FZ:FZ),"")</f>
        <v/>
      </c>
      <c r="GD3" s="3" t="e">
        <f>IF(AND(Include_study?="Yes",Sufficient_data="Yes"),'Publication Bias Analysis'!E3,NA())</f>
        <v>#N/A</v>
      </c>
      <c r="GE3" s="35" t="e">
        <f>IF(AND(Include_study?="Yes",Sufficient_data="Yes"),'Publication Bias Analysis'!F3,NA())</f>
        <v>#N/A</v>
      </c>
      <c r="GG3" s="2" t="s">
        <v>294</v>
      </c>
      <c r="GH3" s="3">
        <f>IF(Additional_valid_options="Yes",IF(Trim_and_fill="Off",'Publication Bias Analysis'!I29,'Publication Bias Analysis'!I37)-ABS(TINV((1-Additional_confidence_level),k_-1))*GI3,"")</f>
        <v>-1.0049980281756243</v>
      </c>
      <c r="GI3" s="3">
        <f>IF(Trim_and_fill="Off",GH17,GH22)</f>
        <v>0.28375231517764754</v>
      </c>
      <c r="GK3" s="123"/>
      <c r="GL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" s="3" t="str">
        <f t="shared" si="81"/>
        <v/>
      </c>
      <c r="GN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" s="3" t="str">
        <f>IF(AND(Include_study?="Yes",Sufficient_data="Yes"),IF('Publication Bias Analysis'!L$38="Left",'Publication Bias Analysis'!E:E-GW$3,GW$3-'Publication Bias Analysis'!E:E),"")</f>
        <v/>
      </c>
      <c r="GP3" s="3" t="str">
        <f t="shared" si="82"/>
        <v/>
      </c>
      <c r="GQ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" s="3" t="str">
        <f>IF(AND(Include_study?="Yes",Sufficient_data="Yes"),IF('Publication Bias Analysis'!L$38="Left",'Publication Bias Analysis'!E:E-GW$10,GW$10-'Publication Bias Analysis'!E:E),"")</f>
        <v/>
      </c>
      <c r="GS3" s="3" t="str">
        <f t="shared" si="83"/>
        <v/>
      </c>
      <c r="GT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-0.37275847038725324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23"/>
      <c r="HL3" s="3" t="str">
        <f t="shared" si="89"/>
        <v/>
      </c>
      <c r="HM3" s="35" t="str">
        <f>IF(AND(Include_study?="Yes",Sufficient_data="Yes"),Z_score-('Publication Bias Analysis'!P$3+'Publication Bias Analysis'!P$4*Inverse_standard_error),"")</f>
        <v/>
      </c>
      <c r="HO3" s="123"/>
      <c r="HP3" s="3" t="str">
        <f>IF(AND(Include_study?="Yes",Sufficient_data="Yes"),(GD:GD-SUMPRODUCT(Calculations!FT:FT,'Publication Bias Analysis'!E:E)/SUM(Calculations!FT:FT))/SQRT(Calculations!HQ:HQ),"")</f>
        <v/>
      </c>
      <c r="HQ3" s="3" t="str">
        <f>IF(AND(Include_study?="Yes",Sufficient_data="Yes"),GE:GE^2-1/SUM(Calculations!FT:FT),"")</f>
        <v/>
      </c>
      <c r="HR3" s="6" t="str">
        <f t="shared" si="90"/>
        <v/>
      </c>
      <c r="HS3" s="6" t="str">
        <f t="shared" si="91"/>
        <v/>
      </c>
      <c r="HT3" s="6" t="str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/>
      </c>
      <c r="HU3" s="57" t="str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/>
      </c>
      <c r="HW3" s="123"/>
      <c r="HX3" s="20">
        <v>2</v>
      </c>
      <c r="HY3" s="3">
        <f t="shared" ref="HY3:HY10" si="123">HZ2</f>
        <v>-2.8</v>
      </c>
      <c r="HZ3" s="35">
        <f>HZ4-HY14</f>
        <v>-2</v>
      </c>
      <c r="IB3" s="123"/>
      <c r="IC3" s="76" t="e">
        <f t="shared" si="92"/>
        <v>#N/A</v>
      </c>
      <c r="ID3" s="3" t="e">
        <f t="shared" si="93"/>
        <v>#N/A</v>
      </c>
      <c r="IE3" s="3" t="str">
        <f t="shared" si="94"/>
        <v/>
      </c>
      <c r="IF3" s="35" t="str">
        <f t="shared" si="95"/>
        <v/>
      </c>
      <c r="IH3" s="3">
        <v>0</v>
      </c>
      <c r="II3" s="3">
        <v>0</v>
      </c>
      <c r="IK3" s="123"/>
      <c r="IL3" s="3" t="e">
        <f>IF(AND(Include_study?="Yes",Sufficient_data="Yes"),'Publication Bias Analysis'!AV:AV,NA())</f>
        <v>#N/A</v>
      </c>
      <c r="IM3" s="3" t="e">
        <f>IF(AND(Sufficient_data="Yes",Include_study?="Yes"),'Publication Bias Analysis'!AU:AU,NA())</f>
        <v>#N/A</v>
      </c>
      <c r="IN3" s="3" t="str">
        <f t="shared" si="96"/>
        <v/>
      </c>
      <c r="IO3" s="35" t="str">
        <f>IF(AND(Include_study?="Yes",Sufficient_data="Yes"),Z_score-('Publication Bias Analysis'!AY$30+'Publication Bias Analysis'!AY$31*Inverse_standard_error),"")</f>
        <v/>
      </c>
      <c r="IQ3" s="2" t="s">
        <v>106</v>
      </c>
      <c r="IR3" s="3">
        <v>0</v>
      </c>
      <c r="IS3" s="3">
        <v>0</v>
      </c>
      <c r="IU3" s="123"/>
      <c r="IV3" s="6" t="str">
        <f>IF('Publication Bias Analysis'!BG:BG&lt;&gt;"",RANK('Publication Bias Analysis'!BG:BG,'Publication Bias Analysis'!BG:BG,1)+COUNTIF('Publication Bias Analysis'!BG$2:BG2,'Publication Bias Analysis'!BG3),"")</f>
        <v/>
      </c>
      <c r="IW3" s="3" t="str">
        <f t="shared" si="97"/>
        <v/>
      </c>
      <c r="IX3" s="3" t="e">
        <f>IF('Publication Bias Analysis'!BF3&lt;&gt;"",'Publication Bias Analysis'!BF3,NA())</f>
        <v>#N/A</v>
      </c>
      <c r="IY3" s="3" t="e">
        <f>IF('Publication Bias Analysis'!BG3&lt;&gt;"",'Publication Bias Analysis'!BG3,NA())</f>
        <v>#N/A</v>
      </c>
      <c r="IZ3" s="3" t="str">
        <f>IF(AND(Include_study?="Yes",Sufficient_data="Yes"),'Publication Bias Analysis'!BF:BF-AVERAGE('Publication Bias Analysis'!BF:BF),"")</f>
        <v/>
      </c>
      <c r="JA3" s="35" t="str">
        <f>IF(AND(Include_study?="Yes",Sufficient_data="Yes"),'Publication Bias Analysis'!BG:BG-('Publication Bias Analysis'!BJ$30+'Publication Bias Analysis'!BJ$31*'Publication Bias Analysis'!BF:BF),"")</f>
        <v/>
      </c>
      <c r="JC3" s="2" t="s">
        <v>257</v>
      </c>
      <c r="JD3" s="3">
        <f>MIN('Publication Bias Analysis'!BF:BF)</f>
        <v>-1.5647264713617985</v>
      </c>
      <c r="JE3" s="3">
        <f>'Publication Bias Analysis'!BJ$30+JD3*'Publication Bias Analysis'!BJ$31</f>
        <v>-4.5356363120324694</v>
      </c>
      <c r="JG3" s="123"/>
      <c r="JH3" s="3" t="str">
        <f t="shared" si="98"/>
        <v/>
      </c>
      <c r="JI3" s="10" t="str">
        <f t="shared" ref="JI3:JI66" si="124">IF(JH3&lt;&gt;"",1-NORMSDIST(ABS(JH3)),"")</f>
        <v/>
      </c>
      <c r="JJ3" s="35" t="str">
        <f t="shared" ref="JJ3:JJ66" si="125">IF(JI3&lt;&gt;"",LN(MAX(10^-306,JI3)),"")</f>
        <v/>
      </c>
    </row>
    <row r="4" spans="1:270" ht="12.95">
      <c r="A4" s="2">
        <f t="shared" si="0"/>
        <v>0</v>
      </c>
      <c r="B4" s="6" t="str">
        <f>IF(AND(Include_study?="Yes",Sufficient_data="Yes"),IF(Input!a_&lt;&gt;"",Input!a_,Input!n1_-Input!b_),"")</f>
        <v/>
      </c>
      <c r="C4" s="6" t="str">
        <f>IF(AND(Include_study?="Yes",Sufficient_data="Yes"),IF(Input!b_&lt;&gt;"",Input!b_,Input!n1_-Input!a_),"")</f>
        <v/>
      </c>
      <c r="D4" s="6" t="str">
        <f>IF(AND(Include_study?="Yes",Sufficient_data="Yes"),IF(Input!c_&lt;&gt;"",Input!c_,Input!n2_-Input!d_),"")</f>
        <v/>
      </c>
      <c r="E4" s="6" t="str">
        <f>IF(AND(Include_study?="Yes",Sufficient_data="Yes"),IF(Input!d_&lt;&gt;"",Input!d_,Input!n2_-Input!c_),"")</f>
        <v/>
      </c>
      <c r="F4" s="35" t="str">
        <f t="shared" si="1"/>
        <v/>
      </c>
      <c r="H4" s="130"/>
      <c r="I4" s="125"/>
      <c r="J4" s="76" t="str">
        <f t="shared" si="2"/>
        <v/>
      </c>
      <c r="K4" s="3" t="str">
        <f t="shared" si="3"/>
        <v/>
      </c>
      <c r="L4" s="3" t="str">
        <f t="shared" si="4"/>
        <v/>
      </c>
      <c r="M4" s="3" t="str">
        <f t="shared" si="5"/>
        <v/>
      </c>
      <c r="N4" s="35" t="str">
        <f t="shared" si="6"/>
        <v/>
      </c>
      <c r="P4" s="123"/>
      <c r="Q4" s="76" t="str">
        <f t="shared" si="7"/>
        <v/>
      </c>
      <c r="R4" s="3" t="str">
        <f t="shared" si="8"/>
        <v/>
      </c>
      <c r="S4" s="3" t="str">
        <f t="shared" si="9"/>
        <v/>
      </c>
      <c r="T4" s="35" t="str">
        <f t="shared" si="10"/>
        <v/>
      </c>
      <c r="V4" s="123"/>
      <c r="W4" s="76" t="str">
        <f t="shared" si="11"/>
        <v/>
      </c>
      <c r="X4" s="3" t="str">
        <f t="shared" si="12"/>
        <v/>
      </c>
      <c r="Y4" s="3" t="str">
        <f t="shared" si="13"/>
        <v/>
      </c>
      <c r="Z4" s="35" t="str">
        <f t="shared" si="14"/>
        <v/>
      </c>
      <c r="AB4" s="123"/>
      <c r="AC4" s="76" t="str">
        <f t="shared" si="15"/>
        <v/>
      </c>
      <c r="AD4" s="3" t="str">
        <f t="shared" si="16"/>
        <v/>
      </c>
      <c r="AE4" s="3" t="str">
        <f t="shared" si="17"/>
        <v/>
      </c>
      <c r="AF4" s="3" t="str">
        <f t="shared" si="18"/>
        <v/>
      </c>
      <c r="AG4" s="35" t="str">
        <f t="shared" si="19"/>
        <v/>
      </c>
      <c r="AI4" s="130"/>
      <c r="AJ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" s="6" t="str">
        <f>IF(AJ4&lt;&gt;"",IF(AJ4=0,COUNTIF(AJ$2:AJ3,0)+1,COUNTIF(AJ$2:AJ3,AJ4)+AJ4+COUNTIF(AJ:AJ,0)),"")</f>
        <v/>
      </c>
      <c r="AL4" s="6">
        <f t="shared" si="20"/>
        <v>0</v>
      </c>
      <c r="AM4" s="3" t="str">
        <f>IF(AND(Include_study?="Yes",Sufficient_data="Yes",Input!Study_name&lt;&gt;""),Input!Study_name,"")</f>
        <v/>
      </c>
      <c r="AN4" s="6" t="str">
        <f t="shared" si="21"/>
        <v/>
      </c>
      <c r="AO4" s="3" t="str">
        <f t="shared" si="22"/>
        <v/>
      </c>
      <c r="AP4" s="3" t="str">
        <f t="shared" si="23"/>
        <v/>
      </c>
      <c r="AQ4" s="3" t="str">
        <f t="shared" si="24"/>
        <v/>
      </c>
      <c r="AR4" s="3" t="str">
        <f t="shared" si="25"/>
        <v/>
      </c>
      <c r="AS4" s="3" t="str">
        <f t="shared" si="26"/>
        <v/>
      </c>
      <c r="AT4" s="3" t="str">
        <f t="shared" si="27"/>
        <v/>
      </c>
      <c r="AU4" s="80" t="str">
        <f t="shared" si="28"/>
        <v/>
      </c>
      <c r="AW4" s="44" t="e">
        <f t="shared" si="29"/>
        <v>#N/A</v>
      </c>
      <c r="AX4" s="3" t="e">
        <f t="shared" si="30"/>
        <v>#N/A</v>
      </c>
      <c r="AY4" s="35" t="e">
        <f t="shared" si="31"/>
        <v>#N/A</v>
      </c>
      <c r="BA4" s="2" t="s">
        <v>295</v>
      </c>
      <c r="BB4" s="3">
        <f>'Forest Plot'!$B$16-CES_CI_Lower_limit</f>
        <v>0.11143624577233979</v>
      </c>
      <c r="BD4" s="130"/>
      <c r="BE4" s="125"/>
      <c r="BF4" s="3" t="str">
        <f t="shared" si="32"/>
        <v/>
      </c>
      <c r="BG4" s="3" t="str">
        <f t="shared" si="33"/>
        <v/>
      </c>
      <c r="BH4" s="3" t="str">
        <f t="shared" si="34"/>
        <v/>
      </c>
      <c r="BI4" s="3" t="str">
        <f t="shared" si="99"/>
        <v/>
      </c>
      <c r="BJ4" s="35" t="str">
        <f t="shared" si="35"/>
        <v/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-0.53649499171416082</v>
      </c>
      <c r="BO4" s="123"/>
      <c r="BP4" s="3" t="str">
        <f t="shared" si="36"/>
        <v/>
      </c>
      <c r="BQ4" s="3" t="str">
        <f t="shared" si="37"/>
        <v/>
      </c>
      <c r="BR4" s="3" t="str">
        <f t="shared" si="38"/>
        <v/>
      </c>
      <c r="BS4" s="3" t="str">
        <f>IF(AND(Sufficient_data="Yes",Include_study?="Yes"),IF(Add_0_5="Yes",(a_+d_+1)*(ab_+0.5)*(c_+0.5)/(Number_of_subjects+2)^2,(a_+d_)*b_*c_/Number_of_subjects^2),"")</f>
        <v/>
      </c>
      <c r="BT4" s="3" t="str">
        <f t="shared" si="39"/>
        <v/>
      </c>
      <c r="BU4" s="3" t="str">
        <f t="shared" si="40"/>
        <v/>
      </c>
      <c r="BV4" s="3" t="str">
        <f t="shared" si="41"/>
        <v/>
      </c>
      <c r="BW4" s="3" t="str">
        <f t="shared" si="42"/>
        <v/>
      </c>
      <c r="BX4" s="3" t="str">
        <f t="shared" si="43"/>
        <v/>
      </c>
      <c r="BY4" s="35" t="str">
        <f t="shared" si="44"/>
        <v/>
      </c>
      <c r="CA4" s="3" t="s">
        <v>296</v>
      </c>
      <c r="CB4" s="3">
        <f>SQRT(VarlnCES_MH)</f>
        <v>7.8413459578776323E-2</v>
      </c>
      <c r="CD4" s="123"/>
      <c r="CE4" s="76" t="str">
        <f t="shared" si="45"/>
        <v/>
      </c>
      <c r="CF4" s="3" t="str">
        <f t="shared" si="46"/>
        <v/>
      </c>
      <c r="CG4" s="3" t="str">
        <f t="shared" si="47"/>
        <v/>
      </c>
      <c r="CH4" s="3" t="str">
        <f t="shared" si="48"/>
        <v/>
      </c>
      <c r="CI4" s="3" t="str">
        <f t="shared" si="49"/>
        <v/>
      </c>
      <c r="CJ4" s="3" t="str">
        <f t="shared" si="50"/>
        <v/>
      </c>
      <c r="CK4" s="35" t="str">
        <f t="shared" si="51"/>
        <v/>
      </c>
      <c r="CM4" s="3" t="s">
        <v>296</v>
      </c>
      <c r="CN4" s="3">
        <f>SQRT(VarlnCES_Peto)</f>
        <v>8.4099494275073058E-2</v>
      </c>
      <c r="CP4" s="123"/>
      <c r="CQ4" s="52" t="str">
        <f t="shared" si="52"/>
        <v/>
      </c>
      <c r="CS4" s="2" t="s">
        <v>102</v>
      </c>
      <c r="CT4" s="3">
        <f>IF(Weighting_method="Inverse variance",IF(Model_effect_size_measure="Odds Ratio",CICES_LL,""),"")</f>
        <v>0.58479437356825836</v>
      </c>
      <c r="CU4" s="3">
        <f>IF(Model_effect_size_measure="Odds Ratio",CICES_LL_MH,"")</f>
        <v>0.58408394377076489</v>
      </c>
      <c r="CV4" s="3" t="str">
        <f>IF(Model_effect_size_measure="Peto Odds Ratio",CICES_LL_Peto,"")</f>
        <v/>
      </c>
      <c r="CX4" s="130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#VALUE!</v>
      </c>
      <c r="FA4" s="130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133</v>
      </c>
      <c r="FP4" s="3">
        <f>IF(FP3&lt;&gt;"",SUMPRODUCT(FF:FF,FG:FG,FE:FE)/SUMPRODUCT(FG:FG,FG:FG,FE:FE),"")</f>
        <v>-2.3383831698986116E-2</v>
      </c>
      <c r="FR4" s="130"/>
      <c r="FS4" s="125"/>
      <c r="FT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" s="3" t="str">
        <f>IF(AND(Include_study?="Yes",Sufficient_data="Yes"),1/('Publication Bias Analysis'!F:F^2+IF(Additional_model="Fixed effect",0,Calculations!GH$12)),"")</f>
        <v/>
      </c>
      <c r="FV4" s="3" t="str">
        <f>IF(AND(Include_study?="Yes",Sufficient_data="Yes"),1/('Publication Bias Analysis'!F:F^2+IF(Additional_model="Fixed effect",0,'Publication Bias Analysis'!L$32)),"")</f>
        <v/>
      </c>
      <c r="FW4" s="3" t="str">
        <f>IF(AND(Include_study?="Yes",Sufficient_data="Yes"),'Publication Bias Analysis'!E:E-'Publication Bias Analysis'!I$37,"")</f>
        <v/>
      </c>
      <c r="FX4" s="3" t="str">
        <f>IF(AND(Include_study?="Yes",Sufficient_data="Yes"),IF(Additional_model="Fixed effect",1/'Publication Bias Analysis'!F:F,1/SQRT('Publication Bias Analysis'!F:F^2+GH$12)),"")</f>
        <v/>
      </c>
      <c r="FY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" s="6" t="str">
        <f t="shared" si="80"/>
        <v/>
      </c>
      <c r="GA4" s="83" t="str">
        <f>IF(AND(Include_study?="Yes",Sufficient_data="Yes"),FZ:FZ+IF(GL:GL&lt;0,-1,1)*COUNTIF(FZ$2:FZ3,FZ:FZ),"")</f>
        <v/>
      </c>
      <c r="GB4" s="83" t="str">
        <f>IF(AND(Include_study?="Yes",Sufficient_data="Yes"),RANK(GP:GP,GP:GP,1)*IF(GO:GO&lt;0,-1,1)+IF(GO:GO&lt;0,-1,1)*COUNTIF(FZ$2:FZ3,FZ:FZ),"")</f>
        <v/>
      </c>
      <c r="GC4" s="83" t="str">
        <f>IF(AND(Include_study?="Yes",Sufficient_data="Yes"),RANK(GS:GS,GS:GS,1)*IF(GR:GR&lt;0,-1,1)+IF(GR:GR&lt;0,-1,1)*COUNTIF(FZ$2:FZ3,FZ:FZ),"")</f>
        <v/>
      </c>
      <c r="GD4" s="3" t="e">
        <f>IF(AND(Include_study?="Yes",Sufficient_data="Yes"),'Publication Bias Analysis'!E4,NA())</f>
        <v>#N/A</v>
      </c>
      <c r="GE4" s="35" t="e">
        <f>IF(AND(Include_study?="Yes",Sufficient_data="Yes"),'Publication Bias Analysis'!F4,NA())</f>
        <v>#N/A</v>
      </c>
      <c r="GG4" s="2" t="s">
        <v>288</v>
      </c>
      <c r="GH4" s="3">
        <f>IF(Trim_and_fill="Off",'Publication Bias Analysis'!I29,'Publication Bias Analysis'!I37)</f>
        <v>-0.37275847038725324</v>
      </c>
      <c r="GI4" s="3">
        <v>0</v>
      </c>
      <c r="GK4" s="123"/>
      <c r="GL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" s="3" t="str">
        <f t="shared" si="81"/>
        <v/>
      </c>
      <c r="GN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" s="3" t="str">
        <f>IF(AND(Include_study?="Yes",Sufficient_data="Yes"),IF('Publication Bias Analysis'!L$38="Left",'Publication Bias Analysis'!E:E-GW$3,GW$3-'Publication Bias Analysis'!E:E),"")</f>
        <v/>
      </c>
      <c r="GP4" s="3" t="str">
        <f t="shared" si="82"/>
        <v/>
      </c>
      <c r="GQ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" s="3" t="str">
        <f>IF(AND(Include_study?="Yes",Sufficient_data="Yes"),IF('Publication Bias Analysis'!L$38="Left",'Publication Bias Analysis'!E:E-GW$10,GW$10-'Publication Bias Analysis'!E:E),"")</f>
        <v/>
      </c>
      <c r="GS4" s="3" t="str">
        <f t="shared" si="83"/>
        <v/>
      </c>
      <c r="GT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4" s="107" t="s">
        <v>64</v>
      </c>
      <c r="GW4" s="107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23"/>
      <c r="HL4" s="3" t="str">
        <f t="shared" si="89"/>
        <v/>
      </c>
      <c r="HM4" s="35" t="str">
        <f>IF(AND(Include_study?="Yes",Sufficient_data="Yes"),Z_score-('Publication Bias Analysis'!P$3+'Publication Bias Analysis'!P$4*Inverse_standard_error),"")</f>
        <v/>
      </c>
      <c r="HO4" s="123"/>
      <c r="HP4" s="3" t="str">
        <f>IF(AND(Include_study?="Yes",Sufficient_data="Yes"),(GD:GD-SUMPRODUCT(Calculations!FT:FT,'Publication Bias Analysis'!E:E)/SUM(Calculations!FT:FT))/SQRT(Calculations!HQ:HQ),"")</f>
        <v/>
      </c>
      <c r="HQ4" s="3" t="str">
        <f>IF(AND(Include_study?="Yes",Sufficient_data="Yes"),GE:GE^2-1/SUM(Calculations!FT:FT),"")</f>
        <v/>
      </c>
      <c r="HR4" s="6" t="str">
        <f t="shared" si="90"/>
        <v/>
      </c>
      <c r="HS4" s="6" t="str">
        <f t="shared" si="91"/>
        <v/>
      </c>
      <c r="HT4" s="6" t="str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/>
      </c>
      <c r="HU4" s="57" t="str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/>
      </c>
      <c r="HW4" s="123"/>
      <c r="HX4" s="20">
        <v>3</v>
      </c>
      <c r="HY4" s="3">
        <f t="shared" si="123"/>
        <v>-2</v>
      </c>
      <c r="HZ4" s="35">
        <f>HZ5-HY14</f>
        <v>-1.2000000000000002</v>
      </c>
      <c r="IB4" s="123"/>
      <c r="IC4" s="76" t="e">
        <f t="shared" si="92"/>
        <v>#N/A</v>
      </c>
      <c r="ID4" s="3" t="e">
        <f t="shared" si="93"/>
        <v>#N/A</v>
      </c>
      <c r="IE4" s="3" t="str">
        <f t="shared" si="94"/>
        <v/>
      </c>
      <c r="IF4" s="35" t="str">
        <f t="shared" si="95"/>
        <v/>
      </c>
      <c r="IH4" s="3">
        <f>MAX('Publication Bias Analysis'!AH:AH)</f>
        <v>8.4726867335562991E-2</v>
      </c>
      <c r="II4" s="3">
        <f>MAX('Publication Bias Analysis'!AH:AH)</f>
        <v>8.4726867335562991E-2</v>
      </c>
      <c r="IK4" s="123"/>
      <c r="IL4" s="3" t="e">
        <f>IF(AND(Include_study?="Yes",Sufficient_data="Yes"),'Publication Bias Analysis'!AV:AV,NA())</f>
        <v>#N/A</v>
      </c>
      <c r="IM4" s="3" t="e">
        <f>IF(AND(Sufficient_data="Yes",Include_study?="Yes"),'Publication Bias Analysis'!AU:AU,NA())</f>
        <v>#N/A</v>
      </c>
      <c r="IN4" s="3" t="str">
        <f t="shared" si="96"/>
        <v/>
      </c>
      <c r="IO4" s="35" t="str">
        <f>IF(AND(Include_study?="Yes",Sufficient_data="Yes"),Z_score-('Publication Bias Analysis'!AY$30+'Publication Bias Analysis'!AY$31*Inverse_standard_error),"")</f>
        <v/>
      </c>
      <c r="IQ4" s="2" t="s">
        <v>297</v>
      </c>
      <c r="IR4" s="3">
        <f>MAX(Inverse_standard_error)</f>
        <v>6.1990395540089906</v>
      </c>
      <c r="IS4" s="3">
        <f>IR4*'Publication Bias Analysis'!AY31</f>
        <v>-2.3107445020224717</v>
      </c>
      <c r="IU4" s="123"/>
      <c r="IV4" s="6" t="str">
        <f>IF('Publication Bias Analysis'!BG:BG&lt;&gt;"",RANK('Publication Bias Analysis'!BG:BG,'Publication Bias Analysis'!BG:BG,1)+COUNTIF('Publication Bias Analysis'!BG$2:BG3,'Publication Bias Analysis'!BG4),"")</f>
        <v/>
      </c>
      <c r="IW4" s="3" t="str">
        <f t="shared" si="97"/>
        <v/>
      </c>
      <c r="IX4" s="3" t="e">
        <f>IF('Publication Bias Analysis'!BF4&lt;&gt;"",'Publication Bias Analysis'!BF4,NA())</f>
        <v>#N/A</v>
      </c>
      <c r="IY4" s="3" t="e">
        <f>IF('Publication Bias Analysis'!BG4&lt;&gt;"",'Publication Bias Analysis'!BG4,NA())</f>
        <v>#N/A</v>
      </c>
      <c r="IZ4" s="3" t="str">
        <f>IF(AND(Include_study?="Yes",Sufficient_data="Yes"),'Publication Bias Analysis'!BF:BF-AVERAGE('Publication Bias Analysis'!BF:BF),"")</f>
        <v/>
      </c>
      <c r="JA4" s="35" t="str">
        <f>IF(AND(Include_study?="Yes",Sufficient_data="Yes"),'Publication Bias Analysis'!BG:BG-('Publication Bias Analysis'!BJ$30+'Publication Bias Analysis'!BJ$31*'Publication Bias Analysis'!BF:BF),"")</f>
        <v/>
      </c>
      <c r="JC4" s="2" t="s">
        <v>258</v>
      </c>
      <c r="JD4" s="3">
        <f>MAX('Publication Bias Analysis'!BF:BF)</f>
        <v>1.5647264713617974</v>
      </c>
      <c r="JE4" s="3">
        <f>'Publication Bias Analysis'!BJ$30+JD4*'Publication Bias Analysis'!BJ$31</f>
        <v>0.52611261452921765</v>
      </c>
      <c r="JG4" s="123"/>
      <c r="JH4" s="3" t="str">
        <f t="shared" si="98"/>
        <v/>
      </c>
      <c r="JI4" s="10" t="str">
        <f t="shared" si="124"/>
        <v/>
      </c>
      <c r="JJ4" s="35" t="str">
        <f t="shared" si="125"/>
        <v/>
      </c>
    </row>
    <row r="5" spans="1:270" ht="13.5" customHeight="1">
      <c r="A5" s="2">
        <f t="shared" si="0"/>
        <v>0</v>
      </c>
      <c r="B5" s="6" t="str">
        <f>IF(AND(Include_study?="Yes",Sufficient_data="Yes"),IF(Input!a_&lt;&gt;"",Input!a_,Input!n1_-Input!b_),"")</f>
        <v/>
      </c>
      <c r="C5" s="6" t="str">
        <f>IF(AND(Include_study?="Yes",Sufficient_data="Yes"),IF(Input!b_&lt;&gt;"",Input!b_,Input!n1_-Input!a_),"")</f>
        <v/>
      </c>
      <c r="D5" s="6" t="str">
        <f>IF(AND(Include_study?="Yes",Sufficient_data="Yes"),IF(Input!c_&lt;&gt;"",Input!c_,Input!n2_-Input!d_),"")</f>
        <v/>
      </c>
      <c r="E5" s="6" t="str">
        <f>IF(AND(Include_study?="Yes",Sufficient_data="Yes"),IF(Input!d_&lt;&gt;"",Input!d_,Input!n2_-Input!c_),"")</f>
        <v/>
      </c>
      <c r="F5" s="35" t="str">
        <f t="shared" si="1"/>
        <v/>
      </c>
      <c r="H5" s="130"/>
      <c r="I5" s="125"/>
      <c r="J5" s="76" t="str">
        <f t="shared" si="2"/>
        <v/>
      </c>
      <c r="K5" s="3" t="str">
        <f t="shared" si="3"/>
        <v/>
      </c>
      <c r="L5" s="3" t="str">
        <f t="shared" si="4"/>
        <v/>
      </c>
      <c r="M5" s="3" t="str">
        <f t="shared" si="5"/>
        <v/>
      </c>
      <c r="N5" s="35" t="str">
        <f t="shared" si="6"/>
        <v/>
      </c>
      <c r="P5" s="123"/>
      <c r="Q5" s="76" t="str">
        <f t="shared" si="7"/>
        <v/>
      </c>
      <c r="R5" s="3" t="str">
        <f t="shared" si="8"/>
        <v/>
      </c>
      <c r="S5" s="3" t="str">
        <f t="shared" si="9"/>
        <v/>
      </c>
      <c r="T5" s="35" t="str">
        <f t="shared" si="10"/>
        <v/>
      </c>
      <c r="V5" s="123"/>
      <c r="W5" s="76" t="str">
        <f t="shared" si="11"/>
        <v/>
      </c>
      <c r="X5" s="3" t="str">
        <f t="shared" si="12"/>
        <v/>
      </c>
      <c r="Y5" s="3" t="str">
        <f t="shared" si="13"/>
        <v/>
      </c>
      <c r="Z5" s="35" t="str">
        <f t="shared" si="14"/>
        <v/>
      </c>
      <c r="AB5" s="123"/>
      <c r="AC5" s="76" t="str">
        <f t="shared" si="15"/>
        <v/>
      </c>
      <c r="AD5" s="3" t="str">
        <f t="shared" si="16"/>
        <v/>
      </c>
      <c r="AE5" s="3" t="str">
        <f t="shared" si="17"/>
        <v/>
      </c>
      <c r="AF5" s="3" t="str">
        <f t="shared" si="18"/>
        <v/>
      </c>
      <c r="AG5" s="35" t="str">
        <f t="shared" si="19"/>
        <v/>
      </c>
      <c r="AI5" s="130"/>
      <c r="AJ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" s="6" t="str">
        <f>IF(AJ5&lt;&gt;"",IF(AJ5=0,COUNTIF(AJ$2:AJ4,0)+1,COUNTIF(AJ$2:AJ4,AJ5)+AJ5+COUNTIF(AJ:AJ,0)),"")</f>
        <v/>
      </c>
      <c r="AL5" s="6">
        <f t="shared" si="20"/>
        <v>0</v>
      </c>
      <c r="AM5" s="3" t="str">
        <f>IF(AND(Include_study?="Yes",Sufficient_data="Yes",Input!Study_name&lt;&gt;""),Input!Study_name,"")</f>
        <v/>
      </c>
      <c r="AN5" s="6" t="str">
        <f t="shared" si="21"/>
        <v/>
      </c>
      <c r="AO5" s="3" t="str">
        <f t="shared" si="22"/>
        <v/>
      </c>
      <c r="AP5" s="3" t="str">
        <f t="shared" si="23"/>
        <v/>
      </c>
      <c r="AQ5" s="3" t="str">
        <f t="shared" si="24"/>
        <v/>
      </c>
      <c r="AR5" s="3" t="str">
        <f t="shared" si="25"/>
        <v/>
      </c>
      <c r="AS5" s="3" t="str">
        <f t="shared" si="26"/>
        <v/>
      </c>
      <c r="AT5" s="3" t="str">
        <f t="shared" si="27"/>
        <v/>
      </c>
      <c r="AU5" s="80" t="str">
        <f t="shared" si="28"/>
        <v/>
      </c>
      <c r="AW5" s="44" t="e">
        <f t="shared" si="29"/>
        <v>#N/A</v>
      </c>
      <c r="AX5" s="3" t="e">
        <f t="shared" si="30"/>
        <v>#N/A</v>
      </c>
      <c r="AY5" s="35" t="e">
        <f t="shared" si="31"/>
        <v>#N/A</v>
      </c>
      <c r="BA5" s="2" t="s">
        <v>298</v>
      </c>
      <c r="BB5" s="3">
        <f>CES_CI_Upper_limit-'Forest Plot'!$B$16</f>
        <v>0.13267112324912156</v>
      </c>
      <c r="BD5" s="130"/>
      <c r="BE5" s="125"/>
      <c r="BF5" s="3" t="str">
        <f t="shared" si="32"/>
        <v/>
      </c>
      <c r="BG5" s="3" t="str">
        <f t="shared" si="33"/>
        <v/>
      </c>
      <c r="BH5" s="3" t="str">
        <f t="shared" si="34"/>
        <v/>
      </c>
      <c r="BI5" s="3" t="str">
        <f t="shared" si="99"/>
        <v/>
      </c>
      <c r="BJ5" s="35" t="str">
        <f t="shared" si="35"/>
        <v/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-0.18765365609500997</v>
      </c>
      <c r="BO5" s="123"/>
      <c r="BP5" s="3" t="str">
        <f t="shared" si="36"/>
        <v/>
      </c>
      <c r="BQ5" s="3" t="str">
        <f t="shared" si="37"/>
        <v/>
      </c>
      <c r="BR5" s="3" t="str">
        <f t="shared" si="38"/>
        <v/>
      </c>
      <c r="BS5" s="3" t="str">
        <f>IF(AND(Sufficient_data="Yes",Include_study?="Yes"),IF(Add_0_5="Yes",(a_+d_+1)*(ab_+0.5)*(c_+0.5)/(Number_of_subjects+2)^2,(a_+d_)*b_*c_/Number_of_subjects^2),"")</f>
        <v/>
      </c>
      <c r="BT5" s="3" t="str">
        <f t="shared" si="39"/>
        <v/>
      </c>
      <c r="BU5" s="3" t="str">
        <f t="shared" si="40"/>
        <v/>
      </c>
      <c r="BV5" s="3" t="str">
        <f t="shared" si="41"/>
        <v/>
      </c>
      <c r="BW5" s="3" t="str">
        <f t="shared" si="42"/>
        <v/>
      </c>
      <c r="BX5" s="3" t="str">
        <f t="shared" si="43"/>
        <v/>
      </c>
      <c r="BY5" s="35" t="str">
        <f t="shared" si="44"/>
        <v/>
      </c>
      <c r="CA5" s="3" t="s">
        <v>299</v>
      </c>
      <c r="CB5" s="3">
        <f>lnCES_OddsRatio_MH-ABS(TINV((1-Confidence_level),k_-1))*SElnCES_MH</f>
        <v>-0.53771056714991672</v>
      </c>
      <c r="CD5" s="123"/>
      <c r="CE5" s="76" t="str">
        <f t="shared" si="45"/>
        <v/>
      </c>
      <c r="CF5" s="3" t="str">
        <f t="shared" si="46"/>
        <v/>
      </c>
      <c r="CG5" s="3" t="str">
        <f t="shared" si="47"/>
        <v/>
      </c>
      <c r="CH5" s="3" t="str">
        <f t="shared" si="48"/>
        <v/>
      </c>
      <c r="CI5" s="3" t="str">
        <f t="shared" si="49"/>
        <v/>
      </c>
      <c r="CJ5" s="3" t="str">
        <f t="shared" si="50"/>
        <v/>
      </c>
      <c r="CK5" s="35" t="str">
        <f t="shared" si="51"/>
        <v/>
      </c>
      <c r="CM5" s="3" t="s">
        <v>299</v>
      </c>
      <c r="CN5" s="3">
        <f>lnCES_PetoOddsRatio-ABS(TINV((1-Confidence_level),k_-1))*SElnCES_Peto</f>
        <v>-0.55720695130111653</v>
      </c>
      <c r="CP5" s="123"/>
      <c r="CQ5" s="52" t="str">
        <f t="shared" si="52"/>
        <v/>
      </c>
      <c r="CS5" s="2" t="s">
        <v>103</v>
      </c>
      <c r="CT5" s="3">
        <f>IF(Weighting_method="Inverse variance",IF(Model_effect_size_measure="Odds Ratio",CICES_UL,""),"")</f>
        <v>0.82890174258971971</v>
      </c>
      <c r="CU5" s="3">
        <f>IF(Model_effect_size_measure="Odds Ratio",CICES_UL_MH,"")</f>
        <v>0.82838404013559286</v>
      </c>
      <c r="CV5" s="3" t="str">
        <f>IF(Model_effect_size_measure="Peto Odds Ratio",CICES_UL_Peto,"")</f>
        <v/>
      </c>
      <c r="CX5" s="130"/>
      <c r="CY5" s="48" t="e">
        <f t="shared" si="53"/>
        <v>#N/A</v>
      </c>
      <c r="CZ5" s="6" t="str">
        <f t="shared" si="54"/>
        <v/>
      </c>
      <c r="DA5" s="17" t="str">
        <f t="shared" si="55"/>
        <v/>
      </c>
      <c r="DB5" s="3" t="str">
        <f t="shared" si="56"/>
        <v/>
      </c>
      <c r="DC5" s="3" t="str">
        <f t="shared" si="57"/>
        <v/>
      </c>
      <c r="DD5" s="3" t="str">
        <f t="shared" si="58"/>
        <v/>
      </c>
      <c r="DE5" s="3" t="str">
        <f t="shared" si="59"/>
        <v/>
      </c>
      <c r="DF5" s="80" t="str">
        <f t="shared" si="60"/>
        <v/>
      </c>
      <c r="DG5" s="3" t="str">
        <f t="shared" si="61"/>
        <v/>
      </c>
      <c r="DH5" s="3" t="str">
        <f t="shared" si="62"/>
        <v/>
      </c>
      <c r="DI5" s="3" t="str">
        <f t="shared" si="63"/>
        <v/>
      </c>
      <c r="DJ5" s="35" t="str">
        <f t="shared" si="64"/>
        <v/>
      </c>
      <c r="DL5" s="44" t="e">
        <f t="shared" si="65"/>
        <v>#N/A</v>
      </c>
      <c r="DM5" s="3" t="e">
        <f t="shared" si="100"/>
        <v>#N/A</v>
      </c>
      <c r="DN5" s="35" t="e">
        <f t="shared" si="101"/>
        <v>#N/A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#VALUE!</v>
      </c>
      <c r="FA5" s="130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106</v>
      </c>
      <c r="FP5" s="3">
        <f>IF(FP3&lt;&gt;"",FP2-FP3*FP4,"")</f>
        <v>0.41344623616556253</v>
      </c>
      <c r="FR5" s="130"/>
      <c r="FS5" s="125"/>
      <c r="FT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" s="3" t="str">
        <f>IF(AND(Include_study?="Yes",Sufficient_data="Yes"),1/('Publication Bias Analysis'!F:F^2+IF(Additional_model="Fixed effect",0,Calculations!GH$12)),"")</f>
        <v/>
      </c>
      <c r="FV5" s="3" t="str">
        <f>IF(AND(Include_study?="Yes",Sufficient_data="Yes"),1/('Publication Bias Analysis'!F:F^2+IF(Additional_model="Fixed effect",0,'Publication Bias Analysis'!L$32)),"")</f>
        <v/>
      </c>
      <c r="FW5" s="3" t="str">
        <f>IF(AND(Include_study?="Yes",Sufficient_data="Yes"),'Publication Bias Analysis'!E:E-'Publication Bias Analysis'!I$37,"")</f>
        <v/>
      </c>
      <c r="FX5" s="3" t="str">
        <f>IF(AND(Include_study?="Yes",Sufficient_data="Yes"),IF(Additional_model="Fixed effect",1/'Publication Bias Analysis'!F:F,1/SQRT('Publication Bias Analysis'!F:F^2+GH$12)),"")</f>
        <v/>
      </c>
      <c r="FY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" s="6" t="str">
        <f t="shared" si="80"/>
        <v/>
      </c>
      <c r="GA5" s="83" t="str">
        <f>IF(AND(Include_study?="Yes",Sufficient_data="Yes"),FZ:FZ+IF(GL:GL&lt;0,-1,1)*COUNTIF(FZ$2:FZ4,FZ:FZ),"")</f>
        <v/>
      </c>
      <c r="GB5" s="83" t="str">
        <f>IF(AND(Include_study?="Yes",Sufficient_data="Yes"),RANK(GP:GP,GP:GP,1)*IF(GO:GO&lt;0,-1,1)+IF(GO:GO&lt;0,-1,1)*COUNTIF(FZ$2:FZ4,FZ:FZ),"")</f>
        <v/>
      </c>
      <c r="GC5" s="83" t="str">
        <f>IF(AND(Include_study?="Yes",Sufficient_data="Yes"),RANK(GS:GS,GS:GS,1)*IF(GR:GR&lt;0,-1,1)+IF(GR:GR&lt;0,-1,1)*COUNTIF(FZ$2:FZ4,FZ:FZ),"")</f>
        <v/>
      </c>
      <c r="GD5" s="3" t="e">
        <f>IF(AND(Include_study?="Yes",Sufficient_data="Yes"),'Publication Bias Analysis'!E5,NA())</f>
        <v>#N/A</v>
      </c>
      <c r="GE5" s="35" t="e">
        <f>IF(AND(Include_study?="Yes",Sufficient_data="Yes"),'Publication Bias Analysis'!F5,NA())</f>
        <v>#N/A</v>
      </c>
      <c r="GG5" s="2" t="s">
        <v>300</v>
      </c>
      <c r="GH5" s="3">
        <f>IF(Additional_valid_options="Yes",IF(Trim_and_fill="Off",'Publication Bias Analysis'!I29,'Publication Bias Analysis'!I37)+ABS(TINV((1-Additional_confidence_level),k_-1))*GI3,"")</f>
        <v>0.2594810874011178</v>
      </c>
      <c r="GI5" s="3">
        <f>IF(Trim_and_fill="Off",GH17,GH22)</f>
        <v>0.28375231517764754</v>
      </c>
      <c r="GK5" s="123"/>
      <c r="GL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" s="3" t="str">
        <f t="shared" si="81"/>
        <v/>
      </c>
      <c r="GN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" s="3" t="str">
        <f>IF(AND(Include_study?="Yes",Sufficient_data="Yes"),IF('Publication Bias Analysis'!L$38="Left",'Publication Bias Analysis'!E:E-GW$3,GW$3-'Publication Bias Analysis'!E:E),"")</f>
        <v/>
      </c>
      <c r="GP5" s="3" t="str">
        <f t="shared" si="82"/>
        <v/>
      </c>
      <c r="GQ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" s="3" t="str">
        <f>IF(AND(Include_study?="Yes",Sufficient_data="Yes"),IF('Publication Bias Analysis'!L$38="Left",'Publication Bias Analysis'!E:E-GW$10,GW$10-'Publication Bias Analysis'!E:E),"")</f>
        <v/>
      </c>
      <c r="GS5" s="3" t="str">
        <f t="shared" si="83"/>
        <v/>
      </c>
      <c r="GT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5" s="2" t="s">
        <v>65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21.569761009679056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23"/>
      <c r="HL5" s="3" t="str">
        <f t="shared" si="89"/>
        <v/>
      </c>
      <c r="HM5" s="35" t="str">
        <f>IF(AND(Include_study?="Yes",Sufficient_data="Yes"),Z_score-('Publication Bias Analysis'!P$3+'Publication Bias Analysis'!P$4*Inverse_standard_error),"")</f>
        <v/>
      </c>
      <c r="HO5" s="123"/>
      <c r="HP5" s="3" t="str">
        <f>IF(AND(Include_study?="Yes",Sufficient_data="Yes"),(GD:GD-SUMPRODUCT(Calculations!FT:FT,'Publication Bias Analysis'!E:E)/SUM(Calculations!FT:FT))/SQRT(Calculations!HQ:HQ),"")</f>
        <v/>
      </c>
      <c r="HQ5" s="3" t="str">
        <f>IF(AND(Include_study?="Yes",Sufficient_data="Yes"),GE:GE^2-1/SUM(Calculations!FT:FT),"")</f>
        <v/>
      </c>
      <c r="HR5" s="6" t="str">
        <f t="shared" si="90"/>
        <v/>
      </c>
      <c r="HS5" s="6" t="str">
        <f t="shared" si="91"/>
        <v/>
      </c>
      <c r="HT5" s="6" t="str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/>
      </c>
      <c r="HU5" s="57" t="str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/>
      </c>
      <c r="HW5" s="123"/>
      <c r="HX5" s="20">
        <v>4</v>
      </c>
      <c r="HY5" s="3">
        <f t="shared" si="123"/>
        <v>-1.2000000000000002</v>
      </c>
      <c r="HZ5" s="35">
        <f>HZ6-HY14</f>
        <v>-0.4</v>
      </c>
      <c r="IB5" s="123"/>
      <c r="IC5" s="76" t="e">
        <f t="shared" si="92"/>
        <v>#N/A</v>
      </c>
      <c r="ID5" s="3" t="e">
        <f t="shared" si="93"/>
        <v>#N/A</v>
      </c>
      <c r="IE5" s="3" t="str">
        <f t="shared" si="94"/>
        <v/>
      </c>
      <c r="IF5" s="35" t="str">
        <f t="shared" si="95"/>
        <v/>
      </c>
      <c r="IH5" s="107" t="s">
        <v>301</v>
      </c>
      <c r="II5" s="107"/>
      <c r="IK5" s="123"/>
      <c r="IL5" s="3" t="e">
        <f>IF(AND(Include_study?="Yes",Sufficient_data="Yes"),'Publication Bias Analysis'!AV:AV,NA())</f>
        <v>#N/A</v>
      </c>
      <c r="IM5" s="3" t="e">
        <f>IF(AND(Sufficient_data="Yes",Include_study?="Yes"),'Publication Bias Analysis'!AU:AU,NA())</f>
        <v>#N/A</v>
      </c>
      <c r="IN5" s="3" t="str">
        <f t="shared" si="96"/>
        <v/>
      </c>
      <c r="IO5" s="35" t="str">
        <f>IF(AND(Include_study?="Yes",Sufficient_data="Yes"),Z_score-('Publication Bias Analysis'!AY$30+'Publication Bias Analysis'!AY$31*Inverse_standard_error),"")</f>
        <v/>
      </c>
      <c r="IQ5" s="24" t="s">
        <v>257</v>
      </c>
      <c r="IR5" s="2" t="s">
        <v>254</v>
      </c>
      <c r="IS5" s="2" t="s">
        <v>255</v>
      </c>
      <c r="IU5" s="123"/>
      <c r="IV5" s="6" t="str">
        <f>IF('Publication Bias Analysis'!BG:BG&lt;&gt;"",RANK('Publication Bias Analysis'!BG:BG,'Publication Bias Analysis'!BG:BG,1)+COUNTIF('Publication Bias Analysis'!BG$2:BG4,'Publication Bias Analysis'!BG5),"")</f>
        <v/>
      </c>
      <c r="IW5" s="3" t="str">
        <f t="shared" si="97"/>
        <v/>
      </c>
      <c r="IX5" s="3" t="e">
        <f>IF('Publication Bias Analysis'!BF5&lt;&gt;"",'Publication Bias Analysis'!BF5,NA())</f>
        <v>#N/A</v>
      </c>
      <c r="IY5" s="3" t="e">
        <f>IF('Publication Bias Analysis'!BG5&lt;&gt;"",'Publication Bias Analysis'!BG5,NA())</f>
        <v>#N/A</v>
      </c>
      <c r="IZ5" s="3" t="str">
        <f>IF(AND(Include_study?="Yes",Sufficient_data="Yes"),'Publication Bias Analysis'!BF:BF-AVERAGE('Publication Bias Analysis'!BF:BF),"")</f>
        <v/>
      </c>
      <c r="JA5" s="35" t="str">
        <f>IF(AND(Include_study?="Yes",Sufficient_data="Yes"),'Publication Bias Analysis'!BG:BG-('Publication Bias Analysis'!BJ$30+'Publication Bias Analysis'!BJ$31*'Publication Bias Analysis'!BF:BF),"")</f>
        <v/>
      </c>
      <c r="JC5" s="24" t="s">
        <v>302</v>
      </c>
      <c r="JD5" s="2" t="s">
        <v>254</v>
      </c>
      <c r="JE5" s="2" t="s">
        <v>255</v>
      </c>
      <c r="JG5" s="123"/>
      <c r="JH5" s="3" t="str">
        <f t="shared" si="98"/>
        <v/>
      </c>
      <c r="JI5" s="10" t="str">
        <f t="shared" si="124"/>
        <v/>
      </c>
      <c r="JJ5" s="35" t="str">
        <f t="shared" si="125"/>
        <v/>
      </c>
    </row>
    <row r="6" spans="1:270" ht="14.1">
      <c r="A6" s="2">
        <f t="shared" si="0"/>
        <v>0</v>
      </c>
      <c r="B6" s="6" t="str">
        <f>IF(AND(Include_study?="Yes",Sufficient_data="Yes"),IF(Input!a_&lt;&gt;"",Input!a_,Input!n1_-Input!b_),"")</f>
        <v/>
      </c>
      <c r="C6" s="6" t="str">
        <f>IF(AND(Include_study?="Yes",Sufficient_data="Yes"),IF(Input!b_&lt;&gt;"",Input!b_,Input!n1_-Input!a_),"")</f>
        <v/>
      </c>
      <c r="D6" s="6" t="str">
        <f>IF(AND(Include_study?="Yes",Sufficient_data="Yes"),IF(Input!c_&lt;&gt;"",Input!c_,Input!n2_-Input!d_),"")</f>
        <v/>
      </c>
      <c r="E6" s="6" t="str">
        <f>IF(AND(Include_study?="Yes",Sufficient_data="Yes"),IF(Input!d_&lt;&gt;"",Input!d_,Input!n2_-Input!c_),"")</f>
        <v/>
      </c>
      <c r="F6" s="35" t="str">
        <f t="shared" si="1"/>
        <v/>
      </c>
      <c r="H6" s="130"/>
      <c r="I6" s="125"/>
      <c r="J6" s="76" t="str">
        <f t="shared" si="2"/>
        <v/>
      </c>
      <c r="K6" s="3" t="str">
        <f t="shared" si="3"/>
        <v/>
      </c>
      <c r="L6" s="3" t="str">
        <f t="shared" si="4"/>
        <v/>
      </c>
      <c r="M6" s="3" t="str">
        <f t="shared" si="5"/>
        <v/>
      </c>
      <c r="N6" s="35" t="str">
        <f t="shared" si="6"/>
        <v/>
      </c>
      <c r="P6" s="123"/>
      <c r="Q6" s="76" t="str">
        <f t="shared" si="7"/>
        <v/>
      </c>
      <c r="R6" s="3" t="str">
        <f t="shared" si="8"/>
        <v/>
      </c>
      <c r="S6" s="3" t="str">
        <f t="shared" si="9"/>
        <v/>
      </c>
      <c r="T6" s="35" t="str">
        <f t="shared" si="10"/>
        <v/>
      </c>
      <c r="V6" s="123"/>
      <c r="W6" s="76" t="str">
        <f t="shared" si="11"/>
        <v/>
      </c>
      <c r="X6" s="3" t="str">
        <f t="shared" si="12"/>
        <v/>
      </c>
      <c r="Y6" s="3" t="str">
        <f t="shared" si="13"/>
        <v/>
      </c>
      <c r="Z6" s="35" t="str">
        <f t="shared" si="14"/>
        <v/>
      </c>
      <c r="AB6" s="123"/>
      <c r="AC6" s="76" t="str">
        <f t="shared" si="15"/>
        <v/>
      </c>
      <c r="AD6" s="3" t="str">
        <f t="shared" si="16"/>
        <v/>
      </c>
      <c r="AE6" s="3" t="str">
        <f t="shared" si="17"/>
        <v/>
      </c>
      <c r="AF6" s="3" t="str">
        <f t="shared" si="18"/>
        <v/>
      </c>
      <c r="AG6" s="35" t="str">
        <f t="shared" si="19"/>
        <v/>
      </c>
      <c r="AI6" s="130"/>
      <c r="AJ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" s="6" t="str">
        <f>IF(AJ6&lt;&gt;"",IF(AJ6=0,COUNTIF(AJ$2:AJ5,0)+1,COUNTIF(AJ$2:AJ5,AJ6)+AJ6+COUNTIF(AJ:AJ,0)),"")</f>
        <v/>
      </c>
      <c r="AL6" s="6">
        <f t="shared" si="20"/>
        <v>0</v>
      </c>
      <c r="AM6" s="3" t="str">
        <f>IF(AND(Include_study?="Yes",Sufficient_data="Yes",Input!Study_name&lt;&gt;""),Input!Study_name,"")</f>
        <v/>
      </c>
      <c r="AN6" s="6" t="str">
        <f t="shared" si="21"/>
        <v/>
      </c>
      <c r="AO6" s="3" t="str">
        <f t="shared" si="22"/>
        <v/>
      </c>
      <c r="AP6" s="3" t="str">
        <f t="shared" si="23"/>
        <v/>
      </c>
      <c r="AQ6" s="3" t="str">
        <f t="shared" si="24"/>
        <v/>
      </c>
      <c r="AR6" s="3" t="str">
        <f t="shared" si="25"/>
        <v/>
      </c>
      <c r="AS6" s="3" t="str">
        <f t="shared" si="26"/>
        <v/>
      </c>
      <c r="AT6" s="3" t="str">
        <f t="shared" si="27"/>
        <v/>
      </c>
      <c r="AU6" s="80" t="str">
        <f t="shared" si="28"/>
        <v/>
      </c>
      <c r="AW6" s="44" t="e">
        <f t="shared" si="29"/>
        <v>#N/A</v>
      </c>
      <c r="AX6" s="3" t="e">
        <f t="shared" si="30"/>
        <v>#N/A</v>
      </c>
      <c r="AY6" s="35" t="e">
        <f t="shared" si="31"/>
        <v>#N/A</v>
      </c>
      <c r="BA6" s="2" t="s">
        <v>303</v>
      </c>
      <c r="BB6" s="3">
        <f>'Forest Plot'!$B$16-CES_PI_Lower_limit</f>
        <v>0.25926969404198474</v>
      </c>
      <c r="BD6" s="130"/>
      <c r="BE6" s="125"/>
      <c r="BF6" s="3" t="str">
        <f t="shared" si="32"/>
        <v/>
      </c>
      <c r="BG6" s="3" t="str">
        <f t="shared" si="33"/>
        <v/>
      </c>
      <c r="BH6" s="3" t="str">
        <f t="shared" si="34"/>
        <v/>
      </c>
      <c r="BI6" s="3" t="str">
        <f t="shared" si="99"/>
        <v/>
      </c>
      <c r="BJ6" s="35" t="str">
        <f t="shared" si="35"/>
        <v/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-0.82791150367702382</v>
      </c>
      <c r="BO6" s="123"/>
      <c r="BP6" s="3" t="str">
        <f t="shared" si="36"/>
        <v/>
      </c>
      <c r="BQ6" s="3" t="str">
        <f t="shared" si="37"/>
        <v/>
      </c>
      <c r="BR6" s="3" t="str">
        <f t="shared" si="38"/>
        <v/>
      </c>
      <c r="BS6" s="3" t="str">
        <f>IF(AND(Sufficient_data="Yes",Include_study?="Yes"),IF(Add_0_5="Yes",(a_+d_+1)*(ab_+0.5)*(c_+0.5)/(Number_of_subjects+2)^2,(a_+d_)*b_*c_/Number_of_subjects^2),"")</f>
        <v/>
      </c>
      <c r="BT6" s="3" t="str">
        <f t="shared" si="39"/>
        <v/>
      </c>
      <c r="BU6" s="3" t="str">
        <f t="shared" si="40"/>
        <v/>
      </c>
      <c r="BV6" s="3" t="str">
        <f t="shared" si="41"/>
        <v/>
      </c>
      <c r="BW6" s="3" t="str">
        <f t="shared" si="42"/>
        <v/>
      </c>
      <c r="BX6" s="3" t="str">
        <f t="shared" si="43"/>
        <v/>
      </c>
      <c r="BY6" s="35" t="str">
        <f t="shared" si="44"/>
        <v/>
      </c>
      <c r="CA6" s="3" t="s">
        <v>304</v>
      </c>
      <c r="CB6" s="3">
        <f>lnCES_OddsRatio_MH+ABS(TINV((1-Confidence_level),k_-1))*SElnCES_MH</f>
        <v>-0.18827841553766311</v>
      </c>
      <c r="CD6" s="123"/>
      <c r="CE6" s="76" t="str">
        <f t="shared" si="45"/>
        <v/>
      </c>
      <c r="CF6" s="3" t="str">
        <f t="shared" si="46"/>
        <v/>
      </c>
      <c r="CG6" s="3" t="str">
        <f t="shared" si="47"/>
        <v/>
      </c>
      <c r="CH6" s="3" t="str">
        <f t="shared" si="48"/>
        <v/>
      </c>
      <c r="CI6" s="3" t="str">
        <f t="shared" si="49"/>
        <v/>
      </c>
      <c r="CJ6" s="3" t="str">
        <f t="shared" si="50"/>
        <v/>
      </c>
      <c r="CK6" s="35" t="str">
        <f t="shared" si="51"/>
        <v/>
      </c>
      <c r="CM6" s="3" t="s">
        <v>304</v>
      </c>
      <c r="CN6" s="3">
        <f>lnCES_PetoOddsRatio+ABS(TINV((1-Confidence_level),k_-1))*SElnCES_Peto</f>
        <v>-0.18243625004774144</v>
      </c>
      <c r="CP6" s="123"/>
      <c r="CQ6" s="52" t="str">
        <f t="shared" si="52"/>
        <v/>
      </c>
      <c r="CS6" s="2" t="s">
        <v>305</v>
      </c>
      <c r="CT6" s="3">
        <f>IF(Weighting_method="Inverse variance",IF(Model_effect_size_measure="Odds Ratio",PICES_LL,""),"")</f>
        <v>0.43696092529861341</v>
      </c>
      <c r="CU6" s="3">
        <f>IF(Model_effect_size_measure="Odds Ratio",PICES_LL_MH,"")</f>
        <v>0.45152649884411122</v>
      </c>
      <c r="CV6" s="3" t="str">
        <f>IF(Model_effect_size_measure="Peto Odds Ratio",PICES_LL_Peto,"")</f>
        <v/>
      </c>
      <c r="CX6" s="130"/>
      <c r="CY6" s="48" t="e">
        <f t="shared" si="53"/>
        <v>#N/A</v>
      </c>
      <c r="CZ6" s="6" t="str">
        <f t="shared" si="54"/>
        <v/>
      </c>
      <c r="DA6" s="17" t="str">
        <f t="shared" si="55"/>
        <v/>
      </c>
      <c r="DB6" s="3" t="str">
        <f t="shared" si="56"/>
        <v/>
      </c>
      <c r="DC6" s="3" t="str">
        <f t="shared" si="57"/>
        <v/>
      </c>
      <c r="DD6" s="3" t="str">
        <f t="shared" si="58"/>
        <v/>
      </c>
      <c r="DE6" s="3" t="str">
        <f t="shared" si="59"/>
        <v/>
      </c>
      <c r="DF6" s="80" t="str">
        <f t="shared" si="60"/>
        <v/>
      </c>
      <c r="DG6" s="3" t="str">
        <f t="shared" si="61"/>
        <v/>
      </c>
      <c r="DH6" s="3" t="str">
        <f t="shared" si="62"/>
        <v/>
      </c>
      <c r="DI6" s="3" t="str">
        <f t="shared" si="63"/>
        <v/>
      </c>
      <c r="DJ6" s="35" t="str">
        <f t="shared" si="64"/>
        <v/>
      </c>
      <c r="DL6" s="44" t="e">
        <f t="shared" si="65"/>
        <v>#N/A</v>
      </c>
      <c r="DM6" s="3" t="e">
        <f t="shared" si="100"/>
        <v>#N/A</v>
      </c>
      <c r="DN6" s="35" t="e">
        <f t="shared" si="101"/>
        <v>#N/A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#VALUE!</v>
      </c>
      <c r="FA6" s="130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306</v>
      </c>
      <c r="FP6" s="3">
        <f>IF(FP3&lt;&gt;"",SUM(FH:FH),"")</f>
        <v>0</v>
      </c>
      <c r="FR6" s="130"/>
      <c r="FS6" s="125"/>
      <c r="FT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" s="3" t="str">
        <f>IF(AND(Include_study?="Yes",Sufficient_data="Yes"),1/('Publication Bias Analysis'!F:F^2+IF(Additional_model="Fixed effect",0,Calculations!GH$12)),"")</f>
        <v/>
      </c>
      <c r="FV6" s="3" t="str">
        <f>IF(AND(Include_study?="Yes",Sufficient_data="Yes"),1/('Publication Bias Analysis'!F:F^2+IF(Additional_model="Fixed effect",0,'Publication Bias Analysis'!L$32)),"")</f>
        <v/>
      </c>
      <c r="FW6" s="3" t="str">
        <f>IF(AND(Include_study?="Yes",Sufficient_data="Yes"),'Publication Bias Analysis'!E:E-'Publication Bias Analysis'!I$37,"")</f>
        <v/>
      </c>
      <c r="FX6" s="3" t="str">
        <f>IF(AND(Include_study?="Yes",Sufficient_data="Yes"),IF(Additional_model="Fixed effect",1/'Publication Bias Analysis'!F:F,1/SQRT('Publication Bias Analysis'!F:F^2+GH$12)),"")</f>
        <v/>
      </c>
      <c r="FY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" s="6" t="str">
        <f t="shared" si="80"/>
        <v/>
      </c>
      <c r="GA6" s="83" t="str">
        <f>IF(AND(Include_study?="Yes",Sufficient_data="Yes"),FZ:FZ+IF(GL:GL&lt;0,-1,1)*COUNTIF(FZ$2:FZ5,FZ:FZ),"")</f>
        <v/>
      </c>
      <c r="GB6" s="83" t="str">
        <f>IF(AND(Include_study?="Yes",Sufficient_data="Yes"),RANK(GP:GP,GP:GP,1)*IF(GO:GO&lt;0,-1,1)+IF(GO:GO&lt;0,-1,1)*COUNTIF(FZ$2:FZ5,FZ:FZ),"")</f>
        <v/>
      </c>
      <c r="GC6" s="83" t="str">
        <f>IF(AND(Include_study?="Yes",Sufficient_data="Yes"),RANK(GS:GS,GS:GS,1)*IF(GR:GR&lt;0,-1,1)+IF(GR:GR&lt;0,-1,1)*COUNTIF(FZ$2:FZ5,FZ:FZ),"")</f>
        <v/>
      </c>
      <c r="GD6" s="3" t="e">
        <f>IF(AND(Include_study?="Yes",Sufficient_data="Yes"),'Publication Bias Analysis'!E6,NA())</f>
        <v>#N/A</v>
      </c>
      <c r="GE6" s="35" t="e">
        <f>IF(AND(Include_study?="Yes",Sufficient_data="Yes"),'Publication Bias Analysis'!F6,NA())</f>
        <v>#N/A</v>
      </c>
      <c r="GG6" s="24" t="s">
        <v>307</v>
      </c>
      <c r="GH6" s="2" t="s">
        <v>254</v>
      </c>
      <c r="GI6" s="2" t="s">
        <v>255</v>
      </c>
      <c r="GK6" s="123"/>
      <c r="GL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" s="3" t="str">
        <f t="shared" si="81"/>
        <v/>
      </c>
      <c r="GN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" s="3" t="str">
        <f>IF(AND(Include_study?="Yes",Sufficient_data="Yes"),IF('Publication Bias Analysis'!L$38="Left",'Publication Bias Analysis'!E:E-GW$3,GW$3-'Publication Bias Analysis'!E:E),"")</f>
        <v/>
      </c>
      <c r="GP6" s="3" t="str">
        <f t="shared" si="82"/>
        <v/>
      </c>
      <c r="GQ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" s="3" t="str">
        <f>IF(AND(Include_study?="Yes",Sufficient_data="Yes"),IF('Publication Bias Analysis'!L$38="Left",'Publication Bias Analysis'!E:E-GW$10,GW$10-'Publication Bias Analysis'!E:E),"")</f>
        <v/>
      </c>
      <c r="GS6" s="3" t="str">
        <f t="shared" si="83"/>
        <v/>
      </c>
      <c r="GT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6" s="2" t="s">
        <v>153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3.4334074302217646E-2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23"/>
      <c r="HL6" s="3" t="str">
        <f t="shared" si="89"/>
        <v/>
      </c>
      <c r="HM6" s="35" t="str">
        <f>IF(AND(Include_study?="Yes",Sufficient_data="Yes"),Z_score-('Publication Bias Analysis'!P$3+'Publication Bias Analysis'!P$4*Inverse_standard_error),"")</f>
        <v/>
      </c>
      <c r="HO6" s="123"/>
      <c r="HP6" s="3" t="str">
        <f>IF(AND(Include_study?="Yes",Sufficient_data="Yes"),(GD:GD-SUMPRODUCT(Calculations!FT:FT,'Publication Bias Analysis'!E:E)/SUM(Calculations!FT:FT))/SQRT(Calculations!HQ:HQ),"")</f>
        <v/>
      </c>
      <c r="HQ6" s="3" t="str">
        <f>IF(AND(Include_study?="Yes",Sufficient_data="Yes"),GE:GE^2-1/SUM(Calculations!FT:FT),"")</f>
        <v/>
      </c>
      <c r="HR6" s="6" t="str">
        <f t="shared" si="90"/>
        <v/>
      </c>
      <c r="HS6" s="6" t="str">
        <f t="shared" si="91"/>
        <v/>
      </c>
      <c r="HT6" s="6" t="str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/>
      </c>
      <c r="HU6" s="57" t="str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/>
      </c>
      <c r="HW6" s="123"/>
      <c r="HX6" s="20">
        <v>5</v>
      </c>
      <c r="HY6" s="3">
        <f t="shared" si="123"/>
        <v>-0.4</v>
      </c>
      <c r="HZ6" s="35">
        <f>1/2*HY14</f>
        <v>0.4</v>
      </c>
      <c r="IB6" s="123"/>
      <c r="IC6" s="76" t="e">
        <f t="shared" si="92"/>
        <v>#N/A</v>
      </c>
      <c r="ID6" s="3" t="e">
        <f t="shared" si="93"/>
        <v>#N/A</v>
      </c>
      <c r="IE6" s="3" t="str">
        <f t="shared" si="94"/>
        <v/>
      </c>
      <c r="IF6" s="35" t="str">
        <f t="shared" si="95"/>
        <v/>
      </c>
      <c r="IH6" s="3">
        <v>0</v>
      </c>
      <c r="II6" s="3">
        <v>0</v>
      </c>
      <c r="IK6" s="123"/>
      <c r="IL6" s="3" t="e">
        <f>IF(AND(Include_study?="Yes",Sufficient_data="Yes"),'Publication Bias Analysis'!AV:AV,NA())</f>
        <v>#N/A</v>
      </c>
      <c r="IM6" s="3" t="e">
        <f>IF(AND(Sufficient_data="Yes",Include_study?="Yes"),'Publication Bias Analysis'!AU:AU,NA())</f>
        <v>#N/A</v>
      </c>
      <c r="IN6" s="3" t="str">
        <f t="shared" si="96"/>
        <v/>
      </c>
      <c r="IO6" s="35" t="str">
        <f>IF(AND(Include_study?="Yes",Sufficient_data="Yes"),Z_score-('Publication Bias Analysis'!AY$30+'Publication Bias Analysis'!AY$31*Inverse_standard_error),"")</f>
        <v/>
      </c>
      <c r="IQ6" s="2" t="s">
        <v>106</v>
      </c>
      <c r="IR6" s="3">
        <v>0</v>
      </c>
      <c r="IS6" s="3">
        <f>ABS(TINV((1-Additional_confidence_level),k_-1))*-1</f>
        <v>-2.2281388519862744</v>
      </c>
      <c r="IU6" s="123"/>
      <c r="IV6" s="6" t="str">
        <f>IF('Publication Bias Analysis'!BG:BG&lt;&gt;"",RANK('Publication Bias Analysis'!BG:BG,'Publication Bias Analysis'!BG:BG,1)+COUNTIF('Publication Bias Analysis'!BG$2:BG5,'Publication Bias Analysis'!BG6),"")</f>
        <v/>
      </c>
      <c r="IW6" s="3" t="str">
        <f t="shared" si="97"/>
        <v/>
      </c>
      <c r="IX6" s="3" t="e">
        <f>IF('Publication Bias Analysis'!BF6&lt;&gt;"",'Publication Bias Analysis'!BF6,NA())</f>
        <v>#N/A</v>
      </c>
      <c r="IY6" s="3" t="e">
        <f>IF('Publication Bias Analysis'!BG6&lt;&gt;"",'Publication Bias Analysis'!BG6,NA())</f>
        <v>#N/A</v>
      </c>
      <c r="IZ6" s="3" t="str">
        <f>IF(AND(Include_study?="Yes",Sufficient_data="Yes"),'Publication Bias Analysis'!BF:BF-AVERAGE('Publication Bias Analysis'!BF:BF),"")</f>
        <v/>
      </c>
      <c r="JA6" s="35" t="str">
        <f>IF(AND(Include_study?="Yes",Sufficient_data="Yes"),'Publication Bias Analysis'!BG:BG-('Publication Bias Analysis'!BJ$30+'Publication Bias Analysis'!BJ$31*'Publication Bias Analysis'!BF:BF),"")</f>
        <v/>
      </c>
      <c r="JC6" s="2" t="s">
        <v>294</v>
      </c>
      <c r="JD6" s="3">
        <f>MIN('Publication Bias Analysis'!BF:BF)</f>
        <v>-1.5647264713617985</v>
      </c>
      <c r="JE6" s="3">
        <f>'Publication Bias Analysis'!BJ30</f>
        <v>-2.0047618487516248</v>
      </c>
      <c r="JG6" s="123"/>
      <c r="JH6" s="3" t="str">
        <f t="shared" si="98"/>
        <v/>
      </c>
      <c r="JI6" s="10" t="str">
        <f t="shared" si="124"/>
        <v/>
      </c>
      <c r="JJ6" s="35" t="str">
        <f t="shared" si="125"/>
        <v/>
      </c>
    </row>
    <row r="7" spans="1:270" ht="14.1">
      <c r="A7" s="2">
        <f t="shared" si="0"/>
        <v>0</v>
      </c>
      <c r="B7" s="6" t="str">
        <f>IF(AND(Include_study?="Yes",Sufficient_data="Yes"),IF(Input!a_&lt;&gt;"",Input!a_,Input!n1_-Input!b_),"")</f>
        <v/>
      </c>
      <c r="C7" s="6" t="str">
        <f>IF(AND(Include_study?="Yes",Sufficient_data="Yes"),IF(Input!b_&lt;&gt;"",Input!b_,Input!n1_-Input!a_),"")</f>
        <v/>
      </c>
      <c r="D7" s="6" t="str">
        <f>IF(AND(Include_study?="Yes",Sufficient_data="Yes"),IF(Input!c_&lt;&gt;"",Input!c_,Input!n2_-Input!d_),"")</f>
        <v/>
      </c>
      <c r="E7" s="6" t="str">
        <f>IF(AND(Include_study?="Yes",Sufficient_data="Yes"),IF(Input!d_&lt;&gt;"",Input!d_,Input!n2_-Input!c_),"")</f>
        <v/>
      </c>
      <c r="F7" s="35" t="str">
        <f t="shared" si="1"/>
        <v/>
      </c>
      <c r="H7" s="130"/>
      <c r="I7" s="125"/>
      <c r="J7" s="76" t="str">
        <f t="shared" si="2"/>
        <v/>
      </c>
      <c r="K7" s="3" t="str">
        <f t="shared" si="3"/>
        <v/>
      </c>
      <c r="L7" s="3" t="str">
        <f t="shared" si="4"/>
        <v/>
      </c>
      <c r="M7" s="3" t="str">
        <f t="shared" si="5"/>
        <v/>
      </c>
      <c r="N7" s="35" t="str">
        <f t="shared" si="6"/>
        <v/>
      </c>
      <c r="P7" s="123"/>
      <c r="Q7" s="76" t="str">
        <f t="shared" si="7"/>
        <v/>
      </c>
      <c r="R7" s="3" t="str">
        <f t="shared" si="8"/>
        <v/>
      </c>
      <c r="S7" s="3" t="str">
        <f t="shared" si="9"/>
        <v/>
      </c>
      <c r="T7" s="35" t="str">
        <f t="shared" si="10"/>
        <v/>
      </c>
      <c r="V7" s="123"/>
      <c r="W7" s="76" t="str">
        <f t="shared" si="11"/>
        <v/>
      </c>
      <c r="X7" s="3" t="str">
        <f t="shared" si="12"/>
        <v/>
      </c>
      <c r="Y7" s="3" t="str">
        <f t="shared" si="13"/>
        <v/>
      </c>
      <c r="Z7" s="35" t="str">
        <f t="shared" si="14"/>
        <v/>
      </c>
      <c r="AB7" s="123"/>
      <c r="AC7" s="76" t="str">
        <f t="shared" si="15"/>
        <v/>
      </c>
      <c r="AD7" s="3" t="str">
        <f t="shared" si="16"/>
        <v/>
      </c>
      <c r="AE7" s="3" t="str">
        <f t="shared" si="17"/>
        <v/>
      </c>
      <c r="AF7" s="3" t="str">
        <f t="shared" si="18"/>
        <v/>
      </c>
      <c r="AG7" s="35" t="str">
        <f t="shared" si="19"/>
        <v/>
      </c>
      <c r="AI7" s="130"/>
      <c r="AJ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" s="6" t="str">
        <f>IF(AJ7&lt;&gt;"",IF(AJ7=0,COUNTIF(AJ$2:AJ6,0)+1,COUNTIF(AJ$2:AJ6,AJ7)+AJ7+COUNTIF(AJ:AJ,0)),"")</f>
        <v/>
      </c>
      <c r="AL7" s="6">
        <f t="shared" si="20"/>
        <v>0</v>
      </c>
      <c r="AM7" s="3" t="str">
        <f>IF(AND(Include_study?="Yes",Sufficient_data="Yes",Input!Study_name&lt;&gt;""),Input!Study_name,"")</f>
        <v/>
      </c>
      <c r="AN7" s="6" t="str">
        <f t="shared" si="21"/>
        <v/>
      </c>
      <c r="AO7" s="3" t="str">
        <f t="shared" si="22"/>
        <v/>
      </c>
      <c r="AP7" s="3" t="str">
        <f t="shared" si="23"/>
        <v/>
      </c>
      <c r="AQ7" s="3" t="str">
        <f t="shared" si="24"/>
        <v/>
      </c>
      <c r="AR7" s="3" t="str">
        <f t="shared" si="25"/>
        <v/>
      </c>
      <c r="AS7" s="3" t="str">
        <f t="shared" si="26"/>
        <v/>
      </c>
      <c r="AT7" s="3" t="str">
        <f t="shared" si="27"/>
        <v/>
      </c>
      <c r="AU7" s="80" t="str">
        <f t="shared" si="28"/>
        <v/>
      </c>
      <c r="AW7" s="44" t="e">
        <f t="shared" si="29"/>
        <v>#N/A</v>
      </c>
      <c r="AX7" s="3" t="e">
        <f t="shared" si="30"/>
        <v>#N/A</v>
      </c>
      <c r="AY7" s="35" t="e">
        <f t="shared" si="31"/>
        <v>#N/A</v>
      </c>
      <c r="BA7" s="2" t="s">
        <v>308</v>
      </c>
      <c r="BB7" s="3">
        <f>CES_PI_Upper_limit-'Forest Plot'!$B$16</f>
        <v>0.41310673153609601</v>
      </c>
      <c r="BD7" s="130"/>
      <c r="BE7" s="125"/>
      <c r="BF7" s="3" t="str">
        <f t="shared" si="32"/>
        <v/>
      </c>
      <c r="BG7" s="3" t="str">
        <f t="shared" si="33"/>
        <v/>
      </c>
      <c r="BH7" s="3" t="str">
        <f t="shared" si="34"/>
        <v/>
      </c>
      <c r="BI7" s="3" t="str">
        <f t="shared" si="99"/>
        <v/>
      </c>
      <c r="BJ7" s="35" t="str">
        <f t="shared" si="35"/>
        <v/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0.10376285586785305</v>
      </c>
      <c r="BO7" s="123"/>
      <c r="BP7" s="3" t="str">
        <f t="shared" si="36"/>
        <v/>
      </c>
      <c r="BQ7" s="3" t="str">
        <f t="shared" si="37"/>
        <v/>
      </c>
      <c r="BR7" s="3" t="str">
        <f t="shared" si="38"/>
        <v/>
      </c>
      <c r="BS7" s="3" t="str">
        <f>IF(AND(Sufficient_data="Yes",Include_study?="Yes"),IF(Add_0_5="Yes",(a_+d_+1)*(ab_+0.5)*(c_+0.5)/(Number_of_subjects+2)^2,(a_+d_)*b_*c_/Number_of_subjects^2),"")</f>
        <v/>
      </c>
      <c r="BT7" s="3" t="str">
        <f t="shared" si="39"/>
        <v/>
      </c>
      <c r="BU7" s="3" t="str">
        <f t="shared" si="40"/>
        <v/>
      </c>
      <c r="BV7" s="3" t="str">
        <f t="shared" si="41"/>
        <v/>
      </c>
      <c r="BW7" s="3" t="str">
        <f t="shared" si="42"/>
        <v/>
      </c>
      <c r="BX7" s="3" t="str">
        <f t="shared" si="43"/>
        <v/>
      </c>
      <c r="BY7" s="35" t="str">
        <f t="shared" si="44"/>
        <v/>
      </c>
      <c r="CA7" s="3" t="s">
        <v>309</v>
      </c>
      <c r="CB7" s="3">
        <f>lnCES_OddsRatio_MH-ABS(TINV((1-Confidence_level),k_-1))*SQRT(T2_MH+SElnCES_MH^2)</f>
        <v>-0.79512121716269601</v>
      </c>
      <c r="CD7" s="123"/>
      <c r="CE7" s="76" t="str">
        <f t="shared" si="45"/>
        <v/>
      </c>
      <c r="CF7" s="3" t="str">
        <f t="shared" si="46"/>
        <v/>
      </c>
      <c r="CG7" s="3" t="str">
        <f t="shared" si="47"/>
        <v/>
      </c>
      <c r="CH7" s="3" t="str">
        <f t="shared" si="48"/>
        <v/>
      </c>
      <c r="CI7" s="3" t="str">
        <f t="shared" si="49"/>
        <v/>
      </c>
      <c r="CJ7" s="3" t="str">
        <f t="shared" si="50"/>
        <v/>
      </c>
      <c r="CK7" s="35" t="str">
        <f t="shared" si="51"/>
        <v/>
      </c>
      <c r="CM7" s="3" t="s">
        <v>309</v>
      </c>
      <c r="CN7" s="3">
        <f>lnCES_PetoOddsRatio-ABS(TINV((1-Confidence_level),k_-1))*SQRT(T2_Peto+SElnCES_Peto^2)</f>
        <v>-0.88254480193523199</v>
      </c>
      <c r="CP7" s="123"/>
      <c r="CQ7" s="52" t="str">
        <f t="shared" si="52"/>
        <v/>
      </c>
      <c r="CS7" s="2" t="s">
        <v>310</v>
      </c>
      <c r="CT7" s="3">
        <f>IF(Weighting_method="Inverse variance",IF(Model_effect_size_measure="Odds Ratio",PICES_UL,""),"")</f>
        <v>1.1093373508766942</v>
      </c>
      <c r="CU7" s="3">
        <f>IF(Model_effect_size_measure="Odds Ratio",PICES_UL_MH,"")</f>
        <v>1.0715778993210399</v>
      </c>
      <c r="CV7" s="3" t="str">
        <f>IF(Model_effect_size_measure="Peto Odds Ratio",PICES_UL_Peto,"")</f>
        <v/>
      </c>
      <c r="CX7" s="130"/>
      <c r="CY7" s="48" t="e">
        <f t="shared" si="53"/>
        <v>#N/A</v>
      </c>
      <c r="CZ7" s="6" t="str">
        <f t="shared" si="54"/>
        <v/>
      </c>
      <c r="DA7" s="17" t="str">
        <f t="shared" si="55"/>
        <v/>
      </c>
      <c r="DB7" s="3" t="str">
        <f t="shared" si="56"/>
        <v/>
      </c>
      <c r="DC7" s="3" t="str">
        <f t="shared" si="57"/>
        <v/>
      </c>
      <c r="DD7" s="3" t="str">
        <f t="shared" si="58"/>
        <v/>
      </c>
      <c r="DE7" s="3" t="str">
        <f t="shared" si="59"/>
        <v/>
      </c>
      <c r="DF7" s="80" t="str">
        <f t="shared" si="60"/>
        <v/>
      </c>
      <c r="DG7" s="3" t="str">
        <f t="shared" si="61"/>
        <v/>
      </c>
      <c r="DH7" s="3" t="str">
        <f t="shared" si="62"/>
        <v/>
      </c>
      <c r="DI7" s="3" t="str">
        <f t="shared" si="63"/>
        <v/>
      </c>
      <c r="DJ7" s="35" t="str">
        <f t="shared" si="64"/>
        <v/>
      </c>
      <c r="DL7" s="44" t="e">
        <f t="shared" si="65"/>
        <v>#N/A</v>
      </c>
      <c r="DM7" s="3" t="e">
        <f t="shared" si="100"/>
        <v>#N/A</v>
      </c>
      <c r="DN7" s="35" t="e">
        <f t="shared" si="101"/>
        <v>#N/A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#VALUE!</v>
      </c>
      <c r="FA7" s="130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111</v>
      </c>
      <c r="FP7" s="3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>0</v>
      </c>
      <c r="FR7" s="130"/>
      <c r="FS7" s="125"/>
      <c r="FT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" s="3" t="str">
        <f>IF(AND(Include_study?="Yes",Sufficient_data="Yes"),1/('Publication Bias Analysis'!F:F^2+IF(Additional_model="Fixed effect",0,Calculations!GH$12)),"")</f>
        <v/>
      </c>
      <c r="FV7" s="3" t="str">
        <f>IF(AND(Include_study?="Yes",Sufficient_data="Yes"),1/('Publication Bias Analysis'!F:F^2+IF(Additional_model="Fixed effect",0,'Publication Bias Analysis'!L$32)),"")</f>
        <v/>
      </c>
      <c r="FW7" s="3" t="str">
        <f>IF(AND(Include_study?="Yes",Sufficient_data="Yes"),'Publication Bias Analysis'!E:E-'Publication Bias Analysis'!I$37,"")</f>
        <v/>
      </c>
      <c r="FX7" s="3" t="str">
        <f>IF(AND(Include_study?="Yes",Sufficient_data="Yes"),IF(Additional_model="Fixed effect",1/'Publication Bias Analysis'!F:F,1/SQRT('Publication Bias Analysis'!F:F^2+GH$12)),"")</f>
        <v/>
      </c>
      <c r="FY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" s="6" t="str">
        <f t="shared" si="80"/>
        <v/>
      </c>
      <c r="GA7" s="83" t="str">
        <f>IF(AND(Include_study?="Yes",Sufficient_data="Yes"),FZ:FZ+IF(GL:GL&lt;0,-1,1)*COUNTIF(FZ$2:FZ6,FZ:FZ),"")</f>
        <v/>
      </c>
      <c r="GB7" s="83" t="str">
        <f>IF(AND(Include_study?="Yes",Sufficient_data="Yes"),RANK(GP:GP,GP:GP,1)*IF(GO:GO&lt;0,-1,1)+IF(GO:GO&lt;0,-1,1)*COUNTIF(FZ$2:FZ6,FZ:FZ),"")</f>
        <v/>
      </c>
      <c r="GC7" s="83" t="str">
        <f>IF(AND(Include_study?="Yes",Sufficient_data="Yes"),RANK(GS:GS,GS:GS,1)*IF(GR:GR&lt;0,-1,1)+IF(GR:GR&lt;0,-1,1)*COUNTIF(FZ$2:FZ6,FZ:FZ),"")</f>
        <v/>
      </c>
      <c r="GD7" s="3" t="e">
        <f>IF(AND(Include_study?="Yes",Sufficient_data="Yes"),'Publication Bias Analysis'!E7,NA())</f>
        <v>#N/A</v>
      </c>
      <c r="GE7" s="35" t="e">
        <f>IF(AND(Include_study?="Yes",Sufficient_data="Yes"),'Publication Bias Analysis'!F7,NA())</f>
        <v>#N/A</v>
      </c>
      <c r="GG7" s="2" t="s">
        <v>257</v>
      </c>
      <c r="GH7" s="3">
        <f>IF(Trim_and_fill="Off",'Publication Bias Analysis'!I29,'Publication Bias Analysis'!I37)</f>
        <v>-0.37275847038725324</v>
      </c>
      <c r="GI7" s="3">
        <v>0</v>
      </c>
      <c r="GK7" s="123"/>
      <c r="GL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" s="3" t="str">
        <f t="shared" si="81"/>
        <v/>
      </c>
      <c r="GN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" s="3" t="str">
        <f>IF(AND(Include_study?="Yes",Sufficient_data="Yes"),IF('Publication Bias Analysis'!L$38="Left",'Publication Bias Analysis'!E:E-GW$3,GW$3-'Publication Bias Analysis'!E:E),"")</f>
        <v/>
      </c>
      <c r="GP7" s="3" t="str">
        <f t="shared" si="82"/>
        <v/>
      </c>
      <c r="GQ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" s="3" t="str">
        <f>IF(AND(Include_study?="Yes",Sufficient_data="Yes"),IF('Publication Bias Analysis'!L$38="Left",'Publication Bias Analysis'!E:E-GW$10,GW$10-'Publication Bias Analysis'!E:E),"")</f>
        <v/>
      </c>
      <c r="GS7" s="3" t="str">
        <f t="shared" si="83"/>
        <v/>
      </c>
      <c r="GT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7" s="36" t="s">
        <v>311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23"/>
      <c r="HL7" s="3" t="str">
        <f t="shared" si="89"/>
        <v/>
      </c>
      <c r="HM7" s="35" t="str">
        <f>IF(AND(Include_study?="Yes",Sufficient_data="Yes"),Z_score-('Publication Bias Analysis'!P$3+'Publication Bias Analysis'!P$4*Inverse_standard_error),"")</f>
        <v/>
      </c>
      <c r="HO7" s="123"/>
      <c r="HP7" s="3" t="str">
        <f>IF(AND(Include_study?="Yes",Sufficient_data="Yes"),(GD:GD-SUMPRODUCT(Calculations!FT:FT,'Publication Bias Analysis'!E:E)/SUM(Calculations!FT:FT))/SQRT(Calculations!HQ:HQ),"")</f>
        <v/>
      </c>
      <c r="HQ7" s="3" t="str">
        <f>IF(AND(Include_study?="Yes",Sufficient_data="Yes"),GE:GE^2-1/SUM(Calculations!FT:FT),"")</f>
        <v/>
      </c>
      <c r="HR7" s="6" t="str">
        <f t="shared" si="90"/>
        <v/>
      </c>
      <c r="HS7" s="6" t="str">
        <f t="shared" si="91"/>
        <v/>
      </c>
      <c r="HT7" s="6" t="str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/>
      </c>
      <c r="HU7" s="57" t="str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/>
      </c>
      <c r="HW7" s="123"/>
      <c r="HX7" s="20">
        <v>6</v>
      </c>
      <c r="HY7" s="3">
        <f t="shared" si="123"/>
        <v>0.4</v>
      </c>
      <c r="HZ7" s="35">
        <f>HZ6+HY14</f>
        <v>1.2000000000000002</v>
      </c>
      <c r="IB7" s="123"/>
      <c r="IC7" s="76" t="e">
        <f t="shared" si="92"/>
        <v>#N/A</v>
      </c>
      <c r="ID7" s="3" t="e">
        <f t="shared" si="93"/>
        <v>#N/A</v>
      </c>
      <c r="IE7" s="3" t="str">
        <f t="shared" si="94"/>
        <v/>
      </c>
      <c r="IF7" s="35" t="str">
        <f t="shared" si="95"/>
        <v/>
      </c>
      <c r="IH7" s="3">
        <f>MAX('Publication Bias Analysis'!AH:AH)</f>
        <v>8.4726867335562991E-2</v>
      </c>
      <c r="II7" s="3">
        <f>EXP(SUMPRODUCT(LogRiskRatio,IE:IE)/SUM(IE:IE))*MAX('Publication Bias Analysis'!AH:AH)</f>
        <v>5.8747688537840466E-2</v>
      </c>
      <c r="IK7" s="123"/>
      <c r="IL7" s="3" t="e">
        <f>IF(AND(Include_study?="Yes",Sufficient_data="Yes"),'Publication Bias Analysis'!AV:AV,NA())</f>
        <v>#N/A</v>
      </c>
      <c r="IM7" s="3" t="e">
        <f>IF(AND(Sufficient_data="Yes",Include_study?="Yes"),'Publication Bias Analysis'!AU:AU,NA())</f>
        <v>#N/A</v>
      </c>
      <c r="IN7" s="3" t="str">
        <f t="shared" si="96"/>
        <v/>
      </c>
      <c r="IO7" s="35" t="str">
        <f>IF(AND(Include_study?="Yes",Sufficient_data="Yes"),Z_score-('Publication Bias Analysis'!AY$30+'Publication Bias Analysis'!AY$31*Inverse_standard_error),"")</f>
        <v/>
      </c>
      <c r="IQ7" s="2" t="s">
        <v>297</v>
      </c>
      <c r="IR7" s="3">
        <f>MAX(Inverse_standard_error)</f>
        <v>6.1990395540089906</v>
      </c>
      <c r="IS7" s="3">
        <f>IR7*'Publication Bias Analysis'!AY31+IS6</f>
        <v>-4.5388833540087461</v>
      </c>
      <c r="IU7" s="123"/>
      <c r="IV7" s="6" t="str">
        <f>IF('Publication Bias Analysis'!BG:BG&lt;&gt;"",RANK('Publication Bias Analysis'!BG:BG,'Publication Bias Analysis'!BG:BG,1)+COUNTIF('Publication Bias Analysis'!BG$2:BG6,'Publication Bias Analysis'!BG7),"")</f>
        <v/>
      </c>
      <c r="IW7" s="3" t="str">
        <f t="shared" si="97"/>
        <v/>
      </c>
      <c r="IX7" s="3" t="e">
        <f>IF('Publication Bias Analysis'!BF7&lt;&gt;"",'Publication Bias Analysis'!BF7,NA())</f>
        <v>#N/A</v>
      </c>
      <c r="IY7" s="3" t="e">
        <f>IF('Publication Bias Analysis'!BG7&lt;&gt;"",'Publication Bias Analysis'!BG7,NA())</f>
        <v>#N/A</v>
      </c>
      <c r="IZ7" s="3" t="str">
        <f>IF(AND(Include_study?="Yes",Sufficient_data="Yes"),'Publication Bias Analysis'!BF:BF-AVERAGE('Publication Bias Analysis'!BF:BF),"")</f>
        <v/>
      </c>
      <c r="JA7" s="35" t="str">
        <f>IF(AND(Include_study?="Yes",Sufficient_data="Yes"),'Publication Bias Analysis'!BG:BG-('Publication Bias Analysis'!BJ$30+'Publication Bias Analysis'!BJ$31*'Publication Bias Analysis'!BF:BF),"")</f>
        <v/>
      </c>
      <c r="JC7" s="2" t="s">
        <v>300</v>
      </c>
      <c r="JD7" s="3">
        <f>MAX('Publication Bias Analysis'!BF:BF)</f>
        <v>1.5647264713617974</v>
      </c>
      <c r="JE7" s="3">
        <f>'Publication Bias Analysis'!BJ30</f>
        <v>-2.0047618487516248</v>
      </c>
      <c r="JG7" s="123"/>
      <c r="JH7" s="3" t="str">
        <f t="shared" si="98"/>
        <v/>
      </c>
      <c r="JI7" s="10" t="str">
        <f t="shared" si="124"/>
        <v/>
      </c>
      <c r="JJ7" s="35" t="str">
        <f t="shared" si="125"/>
        <v/>
      </c>
    </row>
    <row r="8" spans="1:270" ht="12.95">
      <c r="A8" s="2">
        <f t="shared" si="0"/>
        <v>0</v>
      </c>
      <c r="B8" s="6" t="str">
        <f>IF(AND(Include_study?="Yes",Sufficient_data="Yes"),IF(Input!a_&lt;&gt;"",Input!a_,Input!n1_-Input!b_),"")</f>
        <v/>
      </c>
      <c r="C8" s="6" t="str">
        <f>IF(AND(Include_study?="Yes",Sufficient_data="Yes"),IF(Input!b_&lt;&gt;"",Input!b_,Input!n1_-Input!a_),"")</f>
        <v/>
      </c>
      <c r="D8" s="6" t="str">
        <f>IF(AND(Include_study?="Yes",Sufficient_data="Yes"),IF(Input!c_&lt;&gt;"",Input!c_,Input!n2_-Input!d_),"")</f>
        <v/>
      </c>
      <c r="E8" s="6" t="str">
        <f>IF(AND(Include_study?="Yes",Sufficient_data="Yes"),IF(Input!d_&lt;&gt;"",Input!d_,Input!n2_-Input!c_),"")</f>
        <v/>
      </c>
      <c r="F8" s="35" t="str">
        <f t="shared" si="1"/>
        <v/>
      </c>
      <c r="H8" s="130"/>
      <c r="I8" s="125"/>
      <c r="J8" s="76" t="str">
        <f t="shared" si="2"/>
        <v/>
      </c>
      <c r="K8" s="3" t="str">
        <f t="shared" si="3"/>
        <v/>
      </c>
      <c r="L8" s="3" t="str">
        <f t="shared" si="4"/>
        <v/>
      </c>
      <c r="M8" s="3" t="str">
        <f t="shared" si="5"/>
        <v/>
      </c>
      <c r="N8" s="35" t="str">
        <f t="shared" si="6"/>
        <v/>
      </c>
      <c r="P8" s="123"/>
      <c r="Q8" s="76" t="str">
        <f t="shared" si="7"/>
        <v/>
      </c>
      <c r="R8" s="3" t="str">
        <f t="shared" si="8"/>
        <v/>
      </c>
      <c r="S8" s="3" t="str">
        <f t="shared" si="9"/>
        <v/>
      </c>
      <c r="T8" s="35" t="str">
        <f t="shared" si="10"/>
        <v/>
      </c>
      <c r="V8" s="123"/>
      <c r="W8" s="76" t="str">
        <f t="shared" si="11"/>
        <v/>
      </c>
      <c r="X8" s="3" t="str">
        <f t="shared" si="12"/>
        <v/>
      </c>
      <c r="Y8" s="3" t="str">
        <f t="shared" si="13"/>
        <v/>
      </c>
      <c r="Z8" s="35" t="str">
        <f t="shared" si="14"/>
        <v/>
      </c>
      <c r="AB8" s="123"/>
      <c r="AC8" s="76" t="str">
        <f t="shared" si="15"/>
        <v/>
      </c>
      <c r="AD8" s="3" t="str">
        <f t="shared" si="16"/>
        <v/>
      </c>
      <c r="AE8" s="3" t="str">
        <f t="shared" si="17"/>
        <v/>
      </c>
      <c r="AF8" s="3" t="str">
        <f t="shared" si="18"/>
        <v/>
      </c>
      <c r="AG8" s="35" t="str">
        <f t="shared" si="19"/>
        <v/>
      </c>
      <c r="AI8" s="130"/>
      <c r="AJ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" s="6" t="str">
        <f>IF(AJ8&lt;&gt;"",IF(AJ8=0,COUNTIF(AJ$2:AJ7,0)+1,COUNTIF(AJ$2:AJ7,AJ8)+AJ8+COUNTIF(AJ:AJ,0)),"")</f>
        <v/>
      </c>
      <c r="AL8" s="6">
        <f t="shared" si="20"/>
        <v>0</v>
      </c>
      <c r="AM8" s="3" t="str">
        <f>IF(AND(Include_study?="Yes",Sufficient_data="Yes",Input!Study_name&lt;&gt;""),Input!Study_name,"")</f>
        <v/>
      </c>
      <c r="AN8" s="6" t="str">
        <f t="shared" si="21"/>
        <v/>
      </c>
      <c r="AO8" s="3" t="str">
        <f t="shared" si="22"/>
        <v/>
      </c>
      <c r="AP8" s="3" t="str">
        <f t="shared" si="23"/>
        <v/>
      </c>
      <c r="AQ8" s="3" t="str">
        <f t="shared" si="24"/>
        <v/>
      </c>
      <c r="AR8" s="3" t="str">
        <f t="shared" si="25"/>
        <v/>
      </c>
      <c r="AS8" s="3" t="str">
        <f t="shared" si="26"/>
        <v/>
      </c>
      <c r="AT8" s="3" t="str">
        <f t="shared" si="27"/>
        <v/>
      </c>
      <c r="AU8" s="80" t="str">
        <f t="shared" si="28"/>
        <v/>
      </c>
      <c r="AW8" s="44" t="e">
        <f t="shared" si="29"/>
        <v>#N/A</v>
      </c>
      <c r="AX8" s="3" t="e">
        <f t="shared" si="30"/>
        <v>#N/A</v>
      </c>
      <c r="AY8" s="35" t="e">
        <f t="shared" si="31"/>
        <v>#N/A</v>
      </c>
      <c r="BA8" s="2" t="s">
        <v>312</v>
      </c>
      <c r="BB8" s="9">
        <f>IF(BB2&lt;&gt;"",MAX(Weight_lookup),"")</f>
        <v>0.10103884629307694</v>
      </c>
      <c r="BD8" s="130"/>
      <c r="BE8" s="125"/>
      <c r="BF8" s="3" t="str">
        <f t="shared" si="32"/>
        <v/>
      </c>
      <c r="BG8" s="3" t="str">
        <f t="shared" si="33"/>
        <v/>
      </c>
      <c r="BH8" s="3" t="str">
        <f t="shared" si="34"/>
        <v/>
      </c>
      <c r="BI8" s="3" t="str">
        <f t="shared" si="99"/>
        <v/>
      </c>
      <c r="BJ8" s="35" t="str">
        <f t="shared" si="35"/>
        <v/>
      </c>
      <c r="BO8" s="123"/>
      <c r="BP8" s="3" t="str">
        <f t="shared" si="36"/>
        <v/>
      </c>
      <c r="BQ8" s="3" t="str">
        <f t="shared" si="37"/>
        <v/>
      </c>
      <c r="BR8" s="3" t="str">
        <f t="shared" si="38"/>
        <v/>
      </c>
      <c r="BS8" s="3" t="str">
        <f>IF(AND(Sufficient_data="Yes",Include_study?="Yes"),IF(Add_0_5="Yes",(a_+d_+1)*(ab_+0.5)*(c_+0.5)/(Number_of_subjects+2)^2,(a_+d_)*b_*c_/Number_of_subjects^2),"")</f>
        <v/>
      </c>
      <c r="BT8" s="3" t="str">
        <f t="shared" si="39"/>
        <v/>
      </c>
      <c r="BU8" s="3" t="str">
        <f t="shared" si="40"/>
        <v/>
      </c>
      <c r="BV8" s="3" t="str">
        <f t="shared" si="41"/>
        <v/>
      </c>
      <c r="BW8" s="3" t="str">
        <f t="shared" si="42"/>
        <v/>
      </c>
      <c r="BX8" s="3" t="str">
        <f t="shared" si="43"/>
        <v/>
      </c>
      <c r="BY8" s="35" t="str">
        <f t="shared" si="44"/>
        <v/>
      </c>
      <c r="CA8" s="3" t="s">
        <v>313</v>
      </c>
      <c r="CB8" s="3">
        <f>lnCES_OddsRatio_MH+ABS(TINV((1-Confidence_level),k_-1))*SQRT(T2_MH+SElnCES_MH^2)</f>
        <v>6.9132234475116239E-2</v>
      </c>
      <c r="CD8" s="123"/>
      <c r="CE8" s="76" t="str">
        <f t="shared" si="45"/>
        <v/>
      </c>
      <c r="CF8" s="3" t="str">
        <f t="shared" si="46"/>
        <v/>
      </c>
      <c r="CG8" s="3" t="str">
        <f t="shared" si="47"/>
        <v/>
      </c>
      <c r="CH8" s="3" t="str">
        <f t="shared" si="48"/>
        <v/>
      </c>
      <c r="CI8" s="3" t="str">
        <f t="shared" si="49"/>
        <v/>
      </c>
      <c r="CJ8" s="3" t="str">
        <f t="shared" si="50"/>
        <v/>
      </c>
      <c r="CK8" s="35" t="str">
        <f t="shared" si="51"/>
        <v/>
      </c>
      <c r="CM8" s="3" t="s">
        <v>313</v>
      </c>
      <c r="CN8" s="3">
        <f>lnCES_PetoOddsRatio+ABS(TINV((1-Confidence_level),k_-1))*SQRT(T2_Peto+SElnCES_Peto^2)</f>
        <v>0.14290160058637408</v>
      </c>
      <c r="CP8" s="123"/>
      <c r="CQ8" s="52" t="str">
        <f t="shared" si="52"/>
        <v/>
      </c>
      <c r="CX8" s="130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80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30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314</v>
      </c>
      <c r="FP8" s="6">
        <f>COUNTIFS(Include_study?,"Yes",Sufficient_data,"Yes",Moderator,"&lt;&gt;")</f>
        <v>2</v>
      </c>
      <c r="FR8" s="130"/>
      <c r="FS8" s="125"/>
      <c r="FT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" s="3" t="str">
        <f>IF(AND(Include_study?="Yes",Sufficient_data="Yes"),1/('Publication Bias Analysis'!F:F^2+IF(Additional_model="Fixed effect",0,Calculations!GH$12)),"")</f>
        <v/>
      </c>
      <c r="FV8" s="3" t="str">
        <f>IF(AND(Include_study?="Yes",Sufficient_data="Yes"),1/('Publication Bias Analysis'!F:F^2+IF(Additional_model="Fixed effect",0,'Publication Bias Analysis'!L$32)),"")</f>
        <v/>
      </c>
      <c r="FW8" s="3" t="str">
        <f>IF(AND(Include_study?="Yes",Sufficient_data="Yes"),'Publication Bias Analysis'!E:E-'Publication Bias Analysis'!I$37,"")</f>
        <v/>
      </c>
      <c r="FX8" s="3" t="str">
        <f>IF(AND(Include_study?="Yes",Sufficient_data="Yes"),IF(Additional_model="Fixed effect",1/'Publication Bias Analysis'!F:F,1/SQRT('Publication Bias Analysis'!F:F^2+GH$12)),"")</f>
        <v/>
      </c>
      <c r="FY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" s="6" t="str">
        <f t="shared" si="80"/>
        <v/>
      </c>
      <c r="GA8" s="83" t="str">
        <f>IF(AND(Include_study?="Yes",Sufficient_data="Yes"),FZ:FZ+IF(GL:GL&lt;0,-1,1)*COUNTIF(FZ$2:FZ7,FZ:FZ),"")</f>
        <v/>
      </c>
      <c r="GB8" s="83" t="str">
        <f>IF(AND(Include_study?="Yes",Sufficient_data="Yes"),RANK(GP:GP,GP:GP,1)*IF(GO:GO&lt;0,-1,1)+IF(GO:GO&lt;0,-1,1)*COUNTIF(FZ$2:FZ7,FZ:FZ),"")</f>
        <v/>
      </c>
      <c r="GC8" s="83" t="str">
        <f>IF(AND(Include_study?="Yes",Sufficient_data="Yes"),RANK(GS:GS,GS:GS,1)*IF(GR:GR&lt;0,-1,1)+IF(GR:GR&lt;0,-1,1)*COUNTIF(FZ$2:FZ7,FZ:FZ),"")</f>
        <v/>
      </c>
      <c r="GD8" s="3" t="e">
        <f>IF(AND(Include_study?="Yes",Sufficient_data="Yes"),'Publication Bias Analysis'!E8,NA())</f>
        <v>#N/A</v>
      </c>
      <c r="GE8" s="35" t="e">
        <f>IF(AND(Include_study?="Yes",Sufficient_data="Yes"),'Publication Bias Analysis'!F8,NA())</f>
        <v>#N/A</v>
      </c>
      <c r="GG8" s="2" t="s">
        <v>258</v>
      </c>
      <c r="GH8" s="3">
        <f>IF(Trim_and_fill="Off",'Publication Bias Analysis'!I29,'Publication Bias Analysis'!I37)</f>
        <v>-0.37275847038725324</v>
      </c>
      <c r="GI8" s="3">
        <f>IF(Trim_and_fill="Off",GH17,GH22)</f>
        <v>0.28375231517764754</v>
      </c>
      <c r="GK8" s="123"/>
      <c r="GL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" s="3" t="str">
        <f t="shared" si="81"/>
        <v/>
      </c>
      <c r="GN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" s="3" t="str">
        <f>IF(AND(Include_study?="Yes",Sufficient_data="Yes"),IF('Publication Bias Analysis'!L$38="Left",'Publication Bias Analysis'!E:E-GW$3,GW$3-'Publication Bias Analysis'!E:E),"")</f>
        <v/>
      </c>
      <c r="GP8" s="3" t="str">
        <f t="shared" si="82"/>
        <v/>
      </c>
      <c r="GQ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" s="3" t="str">
        <f>IF(AND(Include_study?="Yes",Sufficient_data="Yes"),IF('Publication Bias Analysis'!L$38="Left",'Publication Bias Analysis'!E:E-GW$10,GW$10-'Publication Bias Analysis'!E:E),"")</f>
        <v/>
      </c>
      <c r="GS8" s="3" t="str">
        <f t="shared" si="83"/>
        <v/>
      </c>
      <c r="GT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23"/>
      <c r="HL8" s="3" t="str">
        <f t="shared" si="89"/>
        <v/>
      </c>
      <c r="HM8" s="35" t="str">
        <f>IF(AND(Include_study?="Yes",Sufficient_data="Yes"),Z_score-('Publication Bias Analysis'!P$3+'Publication Bias Analysis'!P$4*Inverse_standard_error),"")</f>
        <v/>
      </c>
      <c r="HO8" s="123"/>
      <c r="HP8" s="3" t="str">
        <f>IF(AND(Include_study?="Yes",Sufficient_data="Yes"),(GD:GD-SUMPRODUCT(Calculations!FT:FT,'Publication Bias Analysis'!E:E)/SUM(Calculations!FT:FT))/SQRT(Calculations!HQ:HQ),"")</f>
        <v/>
      </c>
      <c r="HQ8" s="3" t="str">
        <f>IF(AND(Include_study?="Yes",Sufficient_data="Yes"),GE:GE^2-1/SUM(Calculations!FT:FT),"")</f>
        <v/>
      </c>
      <c r="HR8" s="6" t="str">
        <f t="shared" si="90"/>
        <v/>
      </c>
      <c r="HS8" s="6" t="str">
        <f t="shared" si="91"/>
        <v/>
      </c>
      <c r="HT8" s="6" t="str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/>
      </c>
      <c r="HU8" s="57" t="str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/>
      </c>
      <c r="HW8" s="123"/>
      <c r="HX8" s="20">
        <v>7</v>
      </c>
      <c r="HY8" s="3">
        <f t="shared" si="123"/>
        <v>1.2000000000000002</v>
      </c>
      <c r="HZ8" s="35">
        <f>HZ7+HY14</f>
        <v>2</v>
      </c>
      <c r="IB8" s="123"/>
      <c r="IC8" s="76" t="e">
        <f t="shared" si="92"/>
        <v>#N/A</v>
      </c>
      <c r="ID8" s="3" t="e">
        <f t="shared" si="93"/>
        <v>#N/A</v>
      </c>
      <c r="IE8" s="3" t="str">
        <f t="shared" si="94"/>
        <v/>
      </c>
      <c r="IF8" s="35" t="str">
        <f t="shared" si="95"/>
        <v/>
      </c>
      <c r="IK8" s="123"/>
      <c r="IL8" s="3" t="e">
        <f>IF(AND(Include_study?="Yes",Sufficient_data="Yes"),'Publication Bias Analysis'!AV:AV,NA())</f>
        <v>#N/A</v>
      </c>
      <c r="IM8" s="3" t="e">
        <f>IF(AND(Sufficient_data="Yes",Include_study?="Yes"),'Publication Bias Analysis'!AU:AU,NA())</f>
        <v>#N/A</v>
      </c>
      <c r="IN8" s="3" t="str">
        <f t="shared" si="96"/>
        <v/>
      </c>
      <c r="IO8" s="35" t="str">
        <f>IF(AND(Include_study?="Yes",Sufficient_data="Yes"),Z_score-('Publication Bias Analysis'!AY$30+'Publication Bias Analysis'!AY$31*Inverse_standard_error),"")</f>
        <v/>
      </c>
      <c r="IQ8" s="24" t="s">
        <v>258</v>
      </c>
      <c r="IR8" s="2" t="s">
        <v>254</v>
      </c>
      <c r="IS8" s="2" t="s">
        <v>255</v>
      </c>
      <c r="IU8" s="123"/>
      <c r="IV8" s="6" t="str">
        <f>IF('Publication Bias Analysis'!BG:BG&lt;&gt;"",RANK('Publication Bias Analysis'!BG:BG,'Publication Bias Analysis'!BG:BG,1)+COUNTIF('Publication Bias Analysis'!BG$2:BG7,'Publication Bias Analysis'!BG8),"")</f>
        <v/>
      </c>
      <c r="IW8" s="3" t="str">
        <f t="shared" si="97"/>
        <v/>
      </c>
      <c r="IX8" s="3" t="e">
        <f>IF('Publication Bias Analysis'!BF8&lt;&gt;"",'Publication Bias Analysis'!BF8,NA())</f>
        <v>#N/A</v>
      </c>
      <c r="IY8" s="3" t="e">
        <f>IF('Publication Bias Analysis'!BG8&lt;&gt;"",'Publication Bias Analysis'!BG8,NA())</f>
        <v>#N/A</v>
      </c>
      <c r="IZ8" s="3" t="str">
        <f>IF(AND(Include_study?="Yes",Sufficient_data="Yes"),'Publication Bias Analysis'!BF:BF-AVERAGE('Publication Bias Analysis'!BF:BF),"")</f>
        <v/>
      </c>
      <c r="JA8" s="35" t="str">
        <f>IF(AND(Include_study?="Yes",Sufficient_data="Yes"),'Publication Bias Analysis'!BG:BG-('Publication Bias Analysis'!BJ$30+'Publication Bias Analysis'!BJ$31*'Publication Bias Analysis'!BF:BF),"")</f>
        <v/>
      </c>
      <c r="JG8" s="123"/>
      <c r="JH8" s="3" t="str">
        <f t="shared" si="98"/>
        <v/>
      </c>
      <c r="JI8" s="10" t="str">
        <f t="shared" si="124"/>
        <v/>
      </c>
      <c r="JJ8" s="35" t="str">
        <f t="shared" si="125"/>
        <v/>
      </c>
    </row>
    <row r="9" spans="1:270" ht="12" customHeight="1">
      <c r="A9" s="2">
        <f t="shared" si="0"/>
        <v>0</v>
      </c>
      <c r="B9" s="6" t="str">
        <f>IF(AND(Include_study?="Yes",Sufficient_data="Yes"),IF(Input!a_&lt;&gt;"",Input!a_,Input!n1_-Input!b_),"")</f>
        <v/>
      </c>
      <c r="C9" s="6" t="str">
        <f>IF(AND(Include_study?="Yes",Sufficient_data="Yes"),IF(Input!b_&lt;&gt;"",Input!b_,Input!n1_-Input!a_),"")</f>
        <v/>
      </c>
      <c r="D9" s="6" t="str">
        <f>IF(AND(Include_study?="Yes",Sufficient_data="Yes"),IF(Input!c_&lt;&gt;"",Input!c_,Input!n2_-Input!d_),"")</f>
        <v/>
      </c>
      <c r="E9" s="6" t="str">
        <f>IF(AND(Include_study?="Yes",Sufficient_data="Yes"),IF(Input!d_&lt;&gt;"",Input!d_,Input!n2_-Input!c_),"")</f>
        <v/>
      </c>
      <c r="F9" s="35" t="str">
        <f t="shared" si="1"/>
        <v/>
      </c>
      <c r="H9" s="130"/>
      <c r="I9" s="125"/>
      <c r="J9" s="76" t="str">
        <f t="shared" si="2"/>
        <v/>
      </c>
      <c r="K9" s="3" t="str">
        <f t="shared" si="3"/>
        <v/>
      </c>
      <c r="L9" s="3" t="str">
        <f t="shared" si="4"/>
        <v/>
      </c>
      <c r="M9" s="3" t="str">
        <f t="shared" si="5"/>
        <v/>
      </c>
      <c r="N9" s="35" t="str">
        <f t="shared" si="6"/>
        <v/>
      </c>
      <c r="P9" s="123"/>
      <c r="Q9" s="76" t="str">
        <f t="shared" si="7"/>
        <v/>
      </c>
      <c r="R9" s="3" t="str">
        <f t="shared" si="8"/>
        <v/>
      </c>
      <c r="S9" s="3" t="str">
        <f t="shared" si="9"/>
        <v/>
      </c>
      <c r="T9" s="35" t="str">
        <f t="shared" si="10"/>
        <v/>
      </c>
      <c r="V9" s="123"/>
      <c r="W9" s="76" t="str">
        <f t="shared" si="11"/>
        <v/>
      </c>
      <c r="X9" s="3" t="str">
        <f t="shared" si="12"/>
        <v/>
      </c>
      <c r="Y9" s="3" t="str">
        <f t="shared" si="13"/>
        <v/>
      </c>
      <c r="Z9" s="35" t="str">
        <f t="shared" si="14"/>
        <v/>
      </c>
      <c r="AB9" s="123"/>
      <c r="AC9" s="76" t="str">
        <f t="shared" si="15"/>
        <v/>
      </c>
      <c r="AD9" s="3" t="str">
        <f t="shared" si="16"/>
        <v/>
      </c>
      <c r="AE9" s="3" t="str">
        <f t="shared" si="17"/>
        <v/>
      </c>
      <c r="AF9" s="3" t="str">
        <f t="shared" si="18"/>
        <v/>
      </c>
      <c r="AG9" s="35" t="str">
        <f t="shared" si="19"/>
        <v/>
      </c>
      <c r="AI9" s="130"/>
      <c r="AJ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" s="6" t="str">
        <f>IF(AJ9&lt;&gt;"",IF(AJ9=0,COUNTIF(AJ$2:AJ8,0)+1,COUNTIF(AJ$2:AJ8,AJ9)+AJ9+COUNTIF(AJ:AJ,0)),"")</f>
        <v/>
      </c>
      <c r="AL9" s="6">
        <f t="shared" si="20"/>
        <v>0</v>
      </c>
      <c r="AM9" s="3" t="str">
        <f>IF(AND(Include_study?="Yes",Sufficient_data="Yes",Input!Study_name&lt;&gt;""),Input!Study_name,"")</f>
        <v/>
      </c>
      <c r="AN9" s="6" t="str">
        <f t="shared" si="21"/>
        <v/>
      </c>
      <c r="AO9" s="3" t="str">
        <f t="shared" si="22"/>
        <v/>
      </c>
      <c r="AP9" s="3" t="str">
        <f t="shared" si="23"/>
        <v/>
      </c>
      <c r="AQ9" s="3" t="str">
        <f t="shared" si="24"/>
        <v/>
      </c>
      <c r="AR9" s="3" t="str">
        <f t="shared" si="25"/>
        <v/>
      </c>
      <c r="AS9" s="3" t="str">
        <f t="shared" si="26"/>
        <v/>
      </c>
      <c r="AT9" s="3" t="str">
        <f t="shared" si="27"/>
        <v/>
      </c>
      <c r="AU9" s="80" t="str">
        <f t="shared" si="28"/>
        <v/>
      </c>
      <c r="AW9" s="44" t="e">
        <f t="shared" si="29"/>
        <v>#N/A</v>
      </c>
      <c r="AX9" s="3" t="e">
        <f t="shared" si="30"/>
        <v>#N/A</v>
      </c>
      <c r="AY9" s="35" t="e">
        <f t="shared" si="31"/>
        <v>#N/A</v>
      </c>
      <c r="BD9" s="130"/>
      <c r="BE9" s="125"/>
      <c r="BF9" s="3" t="str">
        <f t="shared" si="32"/>
        <v/>
      </c>
      <c r="BG9" s="3" t="str">
        <f t="shared" si="33"/>
        <v/>
      </c>
      <c r="BH9" s="3" t="str">
        <f t="shared" si="34"/>
        <v/>
      </c>
      <c r="BI9" s="3" t="str">
        <f t="shared" si="99"/>
        <v/>
      </c>
      <c r="BJ9" s="35" t="str">
        <f t="shared" si="35"/>
        <v/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0.69623061934059816</v>
      </c>
      <c r="BO9" s="123"/>
      <c r="BP9" s="3" t="str">
        <f t="shared" si="36"/>
        <v/>
      </c>
      <c r="BQ9" s="3" t="str">
        <f t="shared" si="37"/>
        <v/>
      </c>
      <c r="BR9" s="3" t="str">
        <f t="shared" si="38"/>
        <v/>
      </c>
      <c r="BS9" s="3" t="str">
        <f>IF(AND(Sufficient_data="Yes",Include_study?="Yes"),IF(Add_0_5="Yes",(a_+d_+1)*(ab_+0.5)*(c_+0.5)/(Number_of_subjects+2)^2,(a_+d_)*b_*c_/Number_of_subjects^2),"")</f>
        <v/>
      </c>
      <c r="BT9" s="3" t="str">
        <f t="shared" si="39"/>
        <v/>
      </c>
      <c r="BU9" s="3" t="str">
        <f t="shared" si="40"/>
        <v/>
      </c>
      <c r="BV9" s="3" t="str">
        <f t="shared" si="41"/>
        <v/>
      </c>
      <c r="BW9" s="3" t="str">
        <f t="shared" si="42"/>
        <v/>
      </c>
      <c r="BX9" s="3" t="str">
        <f t="shared" si="43"/>
        <v/>
      </c>
      <c r="BY9" s="35" t="str">
        <f t="shared" si="44"/>
        <v/>
      </c>
      <c r="CD9" s="123"/>
      <c r="CE9" s="76" t="str">
        <f t="shared" si="45"/>
        <v/>
      </c>
      <c r="CF9" s="3" t="str">
        <f t="shared" si="46"/>
        <v/>
      </c>
      <c r="CG9" s="3" t="str">
        <f t="shared" si="47"/>
        <v/>
      </c>
      <c r="CH9" s="3" t="str">
        <f t="shared" si="48"/>
        <v/>
      </c>
      <c r="CI9" s="3" t="str">
        <f t="shared" si="49"/>
        <v/>
      </c>
      <c r="CJ9" s="3" t="str">
        <f t="shared" si="50"/>
        <v/>
      </c>
      <c r="CK9" s="35" t="str">
        <f t="shared" si="51"/>
        <v/>
      </c>
      <c r="CP9" s="123"/>
      <c r="CQ9" s="52" t="str">
        <f t="shared" si="52"/>
        <v/>
      </c>
      <c r="CS9" s="107" t="s">
        <v>157</v>
      </c>
      <c r="CT9" s="107"/>
      <c r="CU9" s="107"/>
      <c r="CV9" s="107"/>
      <c r="CX9" s="130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#VALUE!</v>
      </c>
      <c r="FA9" s="130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30"/>
      <c r="FS9" s="125"/>
      <c r="FT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" s="3" t="str">
        <f>IF(AND(Include_study?="Yes",Sufficient_data="Yes"),1/('Publication Bias Analysis'!F:F^2+IF(Additional_model="Fixed effect",0,Calculations!GH$12)),"")</f>
        <v/>
      </c>
      <c r="FV9" s="3" t="str">
        <f>IF(AND(Include_study?="Yes",Sufficient_data="Yes"),1/('Publication Bias Analysis'!F:F^2+IF(Additional_model="Fixed effect",0,'Publication Bias Analysis'!L$32)),"")</f>
        <v/>
      </c>
      <c r="FW9" s="3" t="str">
        <f>IF(AND(Include_study?="Yes",Sufficient_data="Yes"),'Publication Bias Analysis'!E:E-'Publication Bias Analysis'!I$37,"")</f>
        <v/>
      </c>
      <c r="FX9" s="3" t="str">
        <f>IF(AND(Include_study?="Yes",Sufficient_data="Yes"),IF(Additional_model="Fixed effect",1/'Publication Bias Analysis'!F:F,1/SQRT('Publication Bias Analysis'!F:F^2+GH$12)),"")</f>
        <v/>
      </c>
      <c r="FY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" s="6" t="str">
        <f t="shared" si="80"/>
        <v/>
      </c>
      <c r="GA9" s="83" t="str">
        <f>IF(AND(Include_study?="Yes",Sufficient_data="Yes"),FZ:FZ+IF(GL:GL&lt;0,-1,1)*COUNTIF(FZ$2:FZ8,FZ:FZ),"")</f>
        <v/>
      </c>
      <c r="GB9" s="83" t="str">
        <f>IF(AND(Include_study?="Yes",Sufficient_data="Yes"),RANK(GP:GP,GP:GP,1)*IF(GO:GO&lt;0,-1,1)+IF(GO:GO&lt;0,-1,1)*COUNTIF(FZ$2:FZ8,FZ:FZ),"")</f>
        <v/>
      </c>
      <c r="GC9" s="83" t="str">
        <f>IF(AND(Include_study?="Yes",Sufficient_data="Yes"),RANK(GS:GS,GS:GS,1)*IF(GR:GR&lt;0,-1,1)+IF(GR:GR&lt;0,-1,1)*COUNTIF(FZ$2:FZ8,FZ:FZ),"")</f>
        <v/>
      </c>
      <c r="GD9" s="3" t="e">
        <f>IF(AND(Include_study?="Yes",Sufficient_data="Yes"),'Publication Bias Analysis'!E9,NA())</f>
        <v>#N/A</v>
      </c>
      <c r="GE9" s="35" t="e">
        <f>IF(AND(Include_study?="Yes",Sufficient_data="Yes"),'Publication Bias Analysis'!F9,NA())</f>
        <v>#N/A</v>
      </c>
      <c r="GK9" s="123"/>
      <c r="GL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" s="3" t="str">
        <f t="shared" si="81"/>
        <v/>
      </c>
      <c r="GN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" s="3" t="str">
        <f>IF(AND(Include_study?="Yes",Sufficient_data="Yes"),IF('Publication Bias Analysis'!L$38="Left",'Publication Bias Analysis'!E:E-GW$3,GW$3-'Publication Bias Analysis'!E:E),"")</f>
        <v/>
      </c>
      <c r="GP9" s="3" t="str">
        <f t="shared" si="82"/>
        <v/>
      </c>
      <c r="GQ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" s="3" t="str">
        <f>IF(AND(Include_study?="Yes",Sufficient_data="Yes"),IF('Publication Bias Analysis'!L$38="Left",'Publication Bias Analysis'!E:E-GW$10,GW$10-'Publication Bias Analysis'!E:E),"")</f>
        <v/>
      </c>
      <c r="GS9" s="3" t="str">
        <f t="shared" si="83"/>
        <v/>
      </c>
      <c r="GT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9" s="107" t="s">
        <v>110</v>
      </c>
      <c r="GW9" s="107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23"/>
      <c r="HL9" s="3" t="str">
        <f t="shared" si="89"/>
        <v/>
      </c>
      <c r="HM9" s="35" t="str">
        <f>IF(AND(Include_study?="Yes",Sufficient_data="Yes"),Z_score-('Publication Bias Analysis'!P$3+'Publication Bias Analysis'!P$4*Inverse_standard_error),"")</f>
        <v/>
      </c>
      <c r="HO9" s="123"/>
      <c r="HP9" s="3" t="str">
        <f>IF(AND(Include_study?="Yes",Sufficient_data="Yes"),(GD:GD-SUMPRODUCT(Calculations!FT:FT,'Publication Bias Analysis'!E:E)/SUM(Calculations!FT:FT))/SQRT(Calculations!HQ:HQ),"")</f>
        <v/>
      </c>
      <c r="HQ9" s="3" t="str">
        <f>IF(AND(Include_study?="Yes",Sufficient_data="Yes"),GE:GE^2-1/SUM(Calculations!FT:FT),"")</f>
        <v/>
      </c>
      <c r="HR9" s="6" t="str">
        <f t="shared" si="90"/>
        <v/>
      </c>
      <c r="HS9" s="6" t="str">
        <f t="shared" si="91"/>
        <v/>
      </c>
      <c r="HT9" s="6" t="str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/>
      </c>
      <c r="HU9" s="57" t="str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/>
      </c>
      <c r="HW9" s="123"/>
      <c r="HX9" s="20">
        <v>8</v>
      </c>
      <c r="HY9" s="3">
        <f t="shared" si="123"/>
        <v>2</v>
      </c>
      <c r="HZ9" s="35">
        <f>HZ8+HY14</f>
        <v>2.8</v>
      </c>
      <c r="IB9" s="123"/>
      <c r="IC9" s="76" t="e">
        <f t="shared" si="92"/>
        <v>#N/A</v>
      </c>
      <c r="ID9" s="3" t="e">
        <f t="shared" si="93"/>
        <v>#N/A</v>
      </c>
      <c r="IE9" s="3" t="str">
        <f t="shared" si="94"/>
        <v/>
      </c>
      <c r="IF9" s="35" t="str">
        <f t="shared" si="95"/>
        <v/>
      </c>
      <c r="IK9" s="123"/>
      <c r="IL9" s="3" t="e">
        <f>IF(AND(Include_study?="Yes",Sufficient_data="Yes"),'Publication Bias Analysis'!AV:AV,NA())</f>
        <v>#N/A</v>
      </c>
      <c r="IM9" s="3" t="e">
        <f>IF(AND(Sufficient_data="Yes",Include_study?="Yes"),'Publication Bias Analysis'!AU:AU,NA())</f>
        <v>#N/A</v>
      </c>
      <c r="IN9" s="3" t="str">
        <f t="shared" si="96"/>
        <v/>
      </c>
      <c r="IO9" s="35" t="str">
        <f>IF(AND(Include_study?="Yes",Sufficient_data="Yes"),Z_score-('Publication Bias Analysis'!AY$30+'Publication Bias Analysis'!AY$31*Inverse_standard_error),"")</f>
        <v/>
      </c>
      <c r="IQ9" s="2" t="s">
        <v>106</v>
      </c>
      <c r="IR9" s="3">
        <v>0</v>
      </c>
      <c r="IS9" s="3">
        <f>ABS(TINV((1-Additional_confidence_level),k_-1))</f>
        <v>2.2281388519862744</v>
      </c>
      <c r="IU9" s="123"/>
      <c r="IV9" s="6" t="str">
        <f>IF('Publication Bias Analysis'!BG:BG&lt;&gt;"",RANK('Publication Bias Analysis'!BG:BG,'Publication Bias Analysis'!BG:BG,1)+COUNTIF('Publication Bias Analysis'!BG$2:BG8,'Publication Bias Analysis'!BG9),"")</f>
        <v/>
      </c>
      <c r="IW9" s="3" t="str">
        <f t="shared" si="97"/>
        <v/>
      </c>
      <c r="IX9" s="3" t="e">
        <f>IF('Publication Bias Analysis'!BF9&lt;&gt;"",'Publication Bias Analysis'!BF9,NA())</f>
        <v>#N/A</v>
      </c>
      <c r="IY9" s="3" t="e">
        <f>IF('Publication Bias Analysis'!BG9&lt;&gt;"",'Publication Bias Analysis'!BG9,NA())</f>
        <v>#N/A</v>
      </c>
      <c r="IZ9" s="3" t="str">
        <f>IF(AND(Include_study?="Yes",Sufficient_data="Yes"),'Publication Bias Analysis'!BF:BF-AVERAGE('Publication Bias Analysis'!BF:BF),"")</f>
        <v/>
      </c>
      <c r="JA9" s="35" t="str">
        <f>IF(AND(Include_study?="Yes",Sufficient_data="Yes"),'Publication Bias Analysis'!BG:BG-('Publication Bias Analysis'!BJ$30+'Publication Bias Analysis'!BJ$31*'Publication Bias Analysis'!BF:BF),"")</f>
        <v/>
      </c>
      <c r="JG9" s="123"/>
      <c r="JH9" s="3" t="str">
        <f t="shared" si="98"/>
        <v/>
      </c>
      <c r="JI9" s="10" t="str">
        <f t="shared" si="124"/>
        <v/>
      </c>
      <c r="JJ9" s="35" t="str">
        <f t="shared" si="125"/>
        <v/>
      </c>
    </row>
    <row r="10" spans="1:270" ht="12.95">
      <c r="A10" s="2">
        <f t="shared" si="0"/>
        <v>0</v>
      </c>
      <c r="B10" s="6" t="str">
        <f>IF(AND(Include_study?="Yes",Sufficient_data="Yes"),IF(Input!a_&lt;&gt;"",Input!a_,Input!n1_-Input!b_),"")</f>
        <v/>
      </c>
      <c r="C10" s="6" t="str">
        <f>IF(AND(Include_study?="Yes",Sufficient_data="Yes"),IF(Input!b_&lt;&gt;"",Input!b_,Input!n1_-Input!a_),"")</f>
        <v/>
      </c>
      <c r="D10" s="6" t="str">
        <f>IF(AND(Include_study?="Yes",Sufficient_data="Yes"),IF(Input!c_&lt;&gt;"",Input!c_,Input!n2_-Input!d_),"")</f>
        <v/>
      </c>
      <c r="E10" s="6" t="str">
        <f>IF(AND(Include_study?="Yes",Sufficient_data="Yes"),IF(Input!d_&lt;&gt;"",Input!d_,Input!n2_-Input!c_),"")</f>
        <v/>
      </c>
      <c r="F10" s="35" t="str">
        <f t="shared" si="1"/>
        <v/>
      </c>
      <c r="H10" s="130"/>
      <c r="I10" s="125"/>
      <c r="J10" s="76" t="str">
        <f t="shared" si="2"/>
        <v/>
      </c>
      <c r="K10" s="3" t="str">
        <f t="shared" si="3"/>
        <v/>
      </c>
      <c r="L10" s="3" t="str">
        <f t="shared" si="4"/>
        <v/>
      </c>
      <c r="M10" s="3" t="str">
        <f t="shared" si="5"/>
        <v/>
      </c>
      <c r="N10" s="35" t="str">
        <f t="shared" si="6"/>
        <v/>
      </c>
      <c r="P10" s="123"/>
      <c r="Q10" s="76" t="str">
        <f t="shared" si="7"/>
        <v/>
      </c>
      <c r="R10" s="3" t="str">
        <f t="shared" si="8"/>
        <v/>
      </c>
      <c r="S10" s="3" t="str">
        <f t="shared" si="9"/>
        <v/>
      </c>
      <c r="T10" s="35" t="str">
        <f t="shared" si="10"/>
        <v/>
      </c>
      <c r="V10" s="123"/>
      <c r="W10" s="76" t="str">
        <f t="shared" si="11"/>
        <v/>
      </c>
      <c r="X10" s="3" t="str">
        <f t="shared" si="12"/>
        <v/>
      </c>
      <c r="Y10" s="3" t="str">
        <f t="shared" si="13"/>
        <v/>
      </c>
      <c r="Z10" s="35" t="str">
        <f t="shared" si="14"/>
        <v/>
      </c>
      <c r="AB10" s="123"/>
      <c r="AC10" s="76" t="str">
        <f t="shared" si="15"/>
        <v/>
      </c>
      <c r="AD10" s="3" t="str">
        <f t="shared" si="16"/>
        <v/>
      </c>
      <c r="AE10" s="3" t="str">
        <f t="shared" si="17"/>
        <v/>
      </c>
      <c r="AF10" s="3" t="str">
        <f t="shared" si="18"/>
        <v/>
      </c>
      <c r="AG10" s="35" t="str">
        <f t="shared" si="19"/>
        <v/>
      </c>
      <c r="AI10" s="130"/>
      <c r="AJ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" s="6" t="str">
        <f>IF(AJ10&lt;&gt;"",IF(AJ10=0,COUNTIF(AJ$2:AJ9,0)+1,COUNTIF(AJ$2:AJ9,AJ10)+AJ10+COUNTIF(AJ:AJ,0)),"")</f>
        <v/>
      </c>
      <c r="AL10" s="6">
        <f t="shared" si="20"/>
        <v>0</v>
      </c>
      <c r="AM10" s="3" t="str">
        <f>IF(AND(Include_study?="Yes",Sufficient_data="Yes",Input!Study_name&lt;&gt;""),Input!Study_name,"")</f>
        <v/>
      </c>
      <c r="AN10" s="6" t="str">
        <f t="shared" si="21"/>
        <v/>
      </c>
      <c r="AO10" s="3" t="str">
        <f t="shared" si="22"/>
        <v/>
      </c>
      <c r="AP10" s="3" t="str">
        <f t="shared" si="23"/>
        <v/>
      </c>
      <c r="AQ10" s="3" t="str">
        <f t="shared" si="24"/>
        <v/>
      </c>
      <c r="AR10" s="3" t="str">
        <f t="shared" si="25"/>
        <v/>
      </c>
      <c r="AS10" s="3" t="str">
        <f t="shared" si="26"/>
        <v/>
      </c>
      <c r="AT10" s="3" t="str">
        <f t="shared" si="27"/>
        <v/>
      </c>
      <c r="AU10" s="80" t="str">
        <f t="shared" si="28"/>
        <v/>
      </c>
      <c r="AW10" s="44" t="e">
        <f t="shared" si="29"/>
        <v>#N/A</v>
      </c>
      <c r="AX10" s="3" t="e">
        <f t="shared" si="30"/>
        <v>#N/A</v>
      </c>
      <c r="AY10" s="35" t="e">
        <f t="shared" si="31"/>
        <v>#N/A</v>
      </c>
      <c r="BD10" s="130"/>
      <c r="BE10" s="125"/>
      <c r="BF10" s="3" t="str">
        <f t="shared" si="32"/>
        <v/>
      </c>
      <c r="BG10" s="3" t="str">
        <f t="shared" si="33"/>
        <v/>
      </c>
      <c r="BH10" s="3" t="str">
        <f t="shared" si="34"/>
        <v/>
      </c>
      <c r="BI10" s="3" t="str">
        <f t="shared" si="99"/>
        <v/>
      </c>
      <c r="BJ10" s="35" t="str">
        <f t="shared" si="35"/>
        <v/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23"/>
      <c r="BP10" s="3" t="str">
        <f t="shared" si="36"/>
        <v/>
      </c>
      <c r="BQ10" s="3" t="str">
        <f t="shared" si="37"/>
        <v/>
      </c>
      <c r="BR10" s="3" t="str">
        <f t="shared" si="38"/>
        <v/>
      </c>
      <c r="BS10" s="3" t="str">
        <f>IF(AND(Sufficient_data="Yes",Include_study?="Yes"),IF(Add_0_5="Yes",(a_+d_+1)*(ab_+0.5)*(c_+0.5)/(Number_of_subjects+2)^2,(a_+d_)*b_*c_/Number_of_subjects^2),"")</f>
        <v/>
      </c>
      <c r="BT10" s="3" t="str">
        <f t="shared" si="39"/>
        <v/>
      </c>
      <c r="BU10" s="3" t="str">
        <f t="shared" si="40"/>
        <v/>
      </c>
      <c r="BV10" s="3" t="str">
        <f t="shared" si="41"/>
        <v/>
      </c>
      <c r="BW10" s="3" t="str">
        <f t="shared" si="42"/>
        <v/>
      </c>
      <c r="BX10" s="3" t="str">
        <f t="shared" si="43"/>
        <v/>
      </c>
      <c r="BY10" s="35" t="str">
        <f t="shared" si="44"/>
        <v/>
      </c>
      <c r="CA10" s="3" t="s">
        <v>315</v>
      </c>
      <c r="CB10" s="3">
        <f>IF(Meta_analysis_model="Fixed effect model",SUMPRODUCT(Weightf_MH,OddsRatio)/SUM(Weightf_MH),EXP(SUMPRODUCT(Weight_MH,LogOddsRatio)/SUM(Weight_MH)))</f>
        <v>0.69559026525617551</v>
      </c>
      <c r="CD10" s="123"/>
      <c r="CE10" s="76" t="str">
        <f t="shared" si="45"/>
        <v/>
      </c>
      <c r="CF10" s="3" t="str">
        <f t="shared" si="46"/>
        <v/>
      </c>
      <c r="CG10" s="3" t="str">
        <f t="shared" si="47"/>
        <v/>
      </c>
      <c r="CH10" s="3" t="str">
        <f t="shared" si="48"/>
        <v/>
      </c>
      <c r="CI10" s="3" t="str">
        <f t="shared" si="49"/>
        <v/>
      </c>
      <c r="CJ10" s="3" t="str">
        <f t="shared" si="50"/>
        <v/>
      </c>
      <c r="CK10" s="35" t="str">
        <f t="shared" si="51"/>
        <v/>
      </c>
      <c r="CM10" s="3" t="s">
        <v>316</v>
      </c>
      <c r="CN10" s="3">
        <f>EXP(lnCES_PetoOddsRatio)</f>
        <v>0.69085756816850852</v>
      </c>
      <c r="CP10" s="123"/>
      <c r="CQ10" s="52" t="str">
        <f t="shared" si="52"/>
        <v/>
      </c>
      <c r="CS10" s="2"/>
      <c r="CT10" s="2" t="s">
        <v>45</v>
      </c>
      <c r="CU10" s="2" t="s">
        <v>69</v>
      </c>
      <c r="CV10" s="2" t="s">
        <v>70</v>
      </c>
      <c r="CX10" s="130"/>
      <c r="CY10" s="48" t="e">
        <f t="shared" si="53"/>
        <v>#N/A</v>
      </c>
      <c r="CZ10" s="6" t="str">
        <f t="shared" si="54"/>
        <v/>
      </c>
      <c r="DA10" s="17" t="str">
        <f t="shared" si="55"/>
        <v/>
      </c>
      <c r="DB10" s="3" t="str">
        <f t="shared" si="56"/>
        <v/>
      </c>
      <c r="DC10" s="3" t="str">
        <f t="shared" si="57"/>
        <v/>
      </c>
      <c r="DD10" s="3" t="str">
        <f t="shared" si="58"/>
        <v/>
      </c>
      <c r="DE10" s="3" t="str">
        <f t="shared" si="59"/>
        <v/>
      </c>
      <c r="DF10" s="80" t="str">
        <f t="shared" si="60"/>
        <v/>
      </c>
      <c r="DG10" s="3" t="str">
        <f t="shared" si="61"/>
        <v/>
      </c>
      <c r="DH10" s="3" t="str">
        <f t="shared" si="62"/>
        <v/>
      </c>
      <c r="DI10" s="3" t="str">
        <f t="shared" si="63"/>
        <v/>
      </c>
      <c r="DJ10" s="35" t="str">
        <f t="shared" si="64"/>
        <v/>
      </c>
      <c r="DL10" s="44" t="e">
        <f t="shared" si="65"/>
        <v>#N/A</v>
      </c>
      <c r="DM10" s="3" t="e">
        <f t="shared" si="100"/>
        <v>#N/A</v>
      </c>
      <c r="DN10" s="35" t="e">
        <f t="shared" si="101"/>
        <v>#N/A</v>
      </c>
      <c r="DP10" s="48" t="str">
        <f t="shared" si="102"/>
        <v/>
      </c>
      <c r="DQ10" s="17" t="str">
        <f>IF(AND(Sufficient_data="Yes",Subgroup&lt;&gt;""),IF(COUNTIFS(Input!J$2:J9,"="&amp;"Yes",Input!C$2:C9,"="&amp;"Yes",Input!K$2:K9,"="&amp;Subgroup)&gt;0,"",Subgroup),"")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30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317</v>
      </c>
      <c r="FP10" s="1"/>
      <c r="FR10" s="130"/>
      <c r="FS10" s="125"/>
      <c r="FT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" s="3" t="str">
        <f>IF(AND(Include_study?="Yes",Sufficient_data="Yes"),1/('Publication Bias Analysis'!F:F^2+IF(Additional_model="Fixed effect",0,Calculations!GH$12)),"")</f>
        <v/>
      </c>
      <c r="FV10" s="3" t="str">
        <f>IF(AND(Include_study?="Yes",Sufficient_data="Yes"),1/('Publication Bias Analysis'!F:F^2+IF(Additional_model="Fixed effect",0,'Publication Bias Analysis'!L$32)),"")</f>
        <v/>
      </c>
      <c r="FW10" s="3" t="str">
        <f>IF(AND(Include_study?="Yes",Sufficient_data="Yes"),'Publication Bias Analysis'!E:E-'Publication Bias Analysis'!I$37,"")</f>
        <v/>
      </c>
      <c r="FX10" s="3" t="str">
        <f>IF(AND(Include_study?="Yes",Sufficient_data="Yes"),IF(Additional_model="Fixed effect",1/'Publication Bias Analysis'!F:F,1/SQRT('Publication Bias Analysis'!F:F^2+GH$12)),"")</f>
        <v/>
      </c>
      <c r="FY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" s="6" t="str">
        <f t="shared" si="80"/>
        <v/>
      </c>
      <c r="GA10" s="83" t="str">
        <f>IF(AND(Include_study?="Yes",Sufficient_data="Yes"),FZ:FZ+IF(GL:GL&lt;0,-1,1)*COUNTIF(FZ$2:FZ9,FZ:FZ),"")</f>
        <v/>
      </c>
      <c r="GB10" s="83" t="str">
        <f>IF(AND(Include_study?="Yes",Sufficient_data="Yes"),RANK(GP:GP,GP:GP,1)*IF(GO:GO&lt;0,-1,1)+IF(GO:GO&lt;0,-1,1)*COUNTIF(FZ$2:FZ9,FZ:FZ),"")</f>
        <v/>
      </c>
      <c r="GC10" s="83" t="str">
        <f>IF(AND(Include_study?="Yes",Sufficient_data="Yes"),RANK(GS:GS,GS:GS,1)*IF(GR:GR&lt;0,-1,1)+IF(GR:GR&lt;0,-1,1)*COUNTIF(FZ$2:FZ9,FZ:FZ),"")</f>
        <v/>
      </c>
      <c r="GD10" s="3" t="e">
        <f>IF(AND(Include_study?="Yes",Sufficient_data="Yes"),'Publication Bias Analysis'!E10,NA())</f>
        <v>#N/A</v>
      </c>
      <c r="GE10" s="35" t="e">
        <f>IF(AND(Include_study?="Yes",Sufficient_data="Yes"),'Publication Bias Analysis'!F10,NA())</f>
        <v>#N/A</v>
      </c>
      <c r="GG10" s="107" t="s">
        <v>64</v>
      </c>
      <c r="GH10" s="107"/>
      <c r="GK10" s="123"/>
      <c r="GL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" s="3" t="str">
        <f t="shared" si="81"/>
        <v/>
      </c>
      <c r="GN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" s="3" t="str">
        <f>IF(AND(Include_study?="Yes",Sufficient_data="Yes"),IF('Publication Bias Analysis'!L$38="Left",'Publication Bias Analysis'!E:E-GW$3,GW$3-'Publication Bias Analysis'!E:E),"")</f>
        <v/>
      </c>
      <c r="GP10" s="3" t="str">
        <f t="shared" si="82"/>
        <v/>
      </c>
      <c r="GQ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" s="3" t="str">
        <f>IF(AND(Include_study?="Yes",Sufficient_data="Yes"),IF('Publication Bias Analysis'!L$38="Left",'Publication Bias Analysis'!E:E-GW$10,GW$10-'Publication Bias Analysis'!E:E),"")</f>
        <v/>
      </c>
      <c r="GS10" s="3" t="str">
        <f t="shared" si="83"/>
        <v/>
      </c>
      <c r="GT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-0.37275847038725324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23"/>
      <c r="HL10" s="3" t="str">
        <f t="shared" si="89"/>
        <v/>
      </c>
      <c r="HM10" s="35" t="str">
        <f>IF(AND(Include_study?="Yes",Sufficient_data="Yes"),Z_score-('Publication Bias Analysis'!P$3+'Publication Bias Analysis'!P$4*Inverse_standard_error),"")</f>
        <v/>
      </c>
      <c r="HO10" s="123"/>
      <c r="HP10" s="3" t="str">
        <f>IF(AND(Include_study?="Yes",Sufficient_data="Yes"),(GD:GD-SUMPRODUCT(Calculations!FT:FT,'Publication Bias Analysis'!E:E)/SUM(Calculations!FT:FT))/SQRT(Calculations!HQ:HQ),"")</f>
        <v/>
      </c>
      <c r="HQ10" s="3" t="str">
        <f>IF(AND(Include_study?="Yes",Sufficient_data="Yes"),GE:GE^2-1/SUM(Calculations!FT:FT),"")</f>
        <v/>
      </c>
      <c r="HR10" s="6" t="str">
        <f t="shared" si="90"/>
        <v/>
      </c>
      <c r="HS10" s="6" t="str">
        <f t="shared" si="91"/>
        <v/>
      </c>
      <c r="HT10" s="6" t="str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/>
      </c>
      <c r="HU10" s="57" t="str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/>
      </c>
      <c r="HW10" s="123"/>
      <c r="HX10" s="54">
        <v>9</v>
      </c>
      <c r="HY10" s="32">
        <f t="shared" si="123"/>
        <v>2.8</v>
      </c>
      <c r="HZ10" s="39"/>
      <c r="IB10" s="123"/>
      <c r="IC10" s="76" t="e">
        <f t="shared" si="92"/>
        <v>#N/A</v>
      </c>
      <c r="ID10" s="3" t="e">
        <f t="shared" si="93"/>
        <v>#N/A</v>
      </c>
      <c r="IE10" s="3" t="str">
        <f t="shared" si="94"/>
        <v/>
      </c>
      <c r="IF10" s="35" t="str">
        <f t="shared" si="95"/>
        <v/>
      </c>
      <c r="IK10" s="123"/>
      <c r="IL10" s="3" t="e">
        <f>IF(AND(Include_study?="Yes",Sufficient_data="Yes"),'Publication Bias Analysis'!AV:AV,NA())</f>
        <v>#N/A</v>
      </c>
      <c r="IM10" s="3" t="e">
        <f>IF(AND(Sufficient_data="Yes",Include_study?="Yes"),'Publication Bias Analysis'!AU:AU,NA())</f>
        <v>#N/A</v>
      </c>
      <c r="IN10" s="3" t="str">
        <f t="shared" si="96"/>
        <v/>
      </c>
      <c r="IO10" s="35" t="str">
        <f>IF(AND(Include_study?="Yes",Sufficient_data="Yes"),Z_score-('Publication Bias Analysis'!AY$30+'Publication Bias Analysis'!AY$31*Inverse_standard_error),"")</f>
        <v/>
      </c>
      <c r="IQ10" s="2" t="s">
        <v>297</v>
      </c>
      <c r="IR10" s="3">
        <f>MAX(Inverse_standard_error)</f>
        <v>6.1990395540089906</v>
      </c>
      <c r="IS10" s="3">
        <f>IR10*'Publication Bias Analysis'!AY31+IS9</f>
        <v>-8.2605650036197353E-2</v>
      </c>
      <c r="IU10" s="123"/>
      <c r="IV10" s="6" t="str">
        <f>IF('Publication Bias Analysis'!BG:BG&lt;&gt;"",RANK('Publication Bias Analysis'!BG:BG,'Publication Bias Analysis'!BG:BG,1)+COUNTIF('Publication Bias Analysis'!BG$2:BG9,'Publication Bias Analysis'!BG10),"")</f>
        <v/>
      </c>
      <c r="IW10" s="3" t="str">
        <f t="shared" si="97"/>
        <v/>
      </c>
      <c r="IX10" s="3" t="e">
        <f>IF('Publication Bias Analysis'!BF10&lt;&gt;"",'Publication Bias Analysis'!BF10,NA())</f>
        <v>#N/A</v>
      </c>
      <c r="IY10" s="3" t="e">
        <f>IF('Publication Bias Analysis'!BG10&lt;&gt;"",'Publication Bias Analysis'!BG10,NA())</f>
        <v>#N/A</v>
      </c>
      <c r="IZ10" s="3" t="str">
        <f>IF(AND(Include_study?="Yes",Sufficient_data="Yes"),'Publication Bias Analysis'!BF:BF-AVERAGE('Publication Bias Analysis'!BF:BF),"")</f>
        <v/>
      </c>
      <c r="JA10" s="35" t="str">
        <f>IF(AND(Include_study?="Yes",Sufficient_data="Yes"),'Publication Bias Analysis'!BG:BG-('Publication Bias Analysis'!BJ$30+'Publication Bias Analysis'!BJ$31*'Publication Bias Analysis'!BF:BF),"")</f>
        <v/>
      </c>
      <c r="JG10" s="123"/>
      <c r="JH10" s="3" t="str">
        <f t="shared" si="98"/>
        <v/>
      </c>
      <c r="JI10" s="10" t="str">
        <f t="shared" si="124"/>
        <v/>
      </c>
      <c r="JJ10" s="35" t="str">
        <f t="shared" si="125"/>
        <v/>
      </c>
    </row>
    <row r="11" spans="1:270" ht="13.5" customHeight="1">
      <c r="A11" s="2">
        <f t="shared" si="0"/>
        <v>1</v>
      </c>
      <c r="B11" s="6">
        <f>IF(AND(Include_study?="Yes",Sufficient_data="Yes"),IF(Input!a_&lt;&gt;"",Input!a_,Input!n1_-Input!b_),"")</f>
        <v>66</v>
      </c>
      <c r="C11" s="6">
        <f>IF(AND(Include_study?="Yes",Sufficient_data="Yes"),IF(Input!b_&lt;&gt;"",Input!b_,Input!n1_-Input!a_),"")</f>
        <v>6484</v>
      </c>
      <c r="D11" s="6">
        <f>IF(AND(Include_study?="Yes",Sufficient_data="Yes"),IF(Input!c_&lt;&gt;"",Input!c_,Input!n2_-Input!d_),"")</f>
        <v>80</v>
      </c>
      <c r="E11" s="6">
        <f>IF(AND(Include_study?="Yes",Sufficient_data="Yes"),IF(Input!d_&lt;&gt;"",Input!d_,Input!n2_-Input!c_),"")</f>
        <v>6470</v>
      </c>
      <c r="F11" s="35" t="str">
        <f t="shared" si="1"/>
        <v>No</v>
      </c>
      <c r="H11" s="130"/>
      <c r="I11" s="125"/>
      <c r="J11" s="76">
        <f t="shared" si="2"/>
        <v>0.82321869216533006</v>
      </c>
      <c r="K11" s="3">
        <f t="shared" si="3"/>
        <v>-0.19453338800807651</v>
      </c>
      <c r="L11" s="3">
        <f t="shared" si="4"/>
        <v>0.16721333811474565</v>
      </c>
      <c r="M11" s="3">
        <f t="shared" si="5"/>
        <v>0.59315721541009148</v>
      </c>
      <c r="N11" s="35">
        <f t="shared" si="6"/>
        <v>1.142511626806836</v>
      </c>
      <c r="P11" s="123"/>
      <c r="Q11" s="76">
        <f t="shared" si="7"/>
        <v>0.82371761201042859</v>
      </c>
      <c r="R11" s="3">
        <f t="shared" si="8"/>
        <v>0.16644497661385013</v>
      </c>
      <c r="S11" s="3">
        <f t="shared" si="9"/>
        <v>0.59441127323866172</v>
      </c>
      <c r="T11" s="35">
        <f t="shared" si="10"/>
        <v>1.14148357355217</v>
      </c>
      <c r="V11" s="123"/>
      <c r="W11" s="76">
        <f t="shared" si="11"/>
        <v>-2.1374045801526714E-3</v>
      </c>
      <c r="X11" s="3">
        <f t="shared" si="12"/>
        <v>1.8343361357193763E-3</v>
      </c>
      <c r="Y11" s="3">
        <f t="shared" si="13"/>
        <v>-5.7329696014482897E-3</v>
      </c>
      <c r="Z11" s="35">
        <f t="shared" si="14"/>
        <v>1.4581604411429473E-3</v>
      </c>
      <c r="AB11" s="123"/>
      <c r="AC11" s="76">
        <f t="shared" si="15"/>
        <v>0.82500000000000007</v>
      </c>
      <c r="AD11" s="3">
        <f t="shared" si="16"/>
        <v>-0.19237189264745599</v>
      </c>
      <c r="AE11" s="3">
        <f t="shared" si="17"/>
        <v>0.16536677913070924</v>
      </c>
      <c r="AF11" s="3">
        <f t="shared" si="18"/>
        <v>0.59659619934381836</v>
      </c>
      <c r="AG11" s="35">
        <f t="shared" si="19"/>
        <v>1.140847026428601</v>
      </c>
      <c r="AI11" s="130"/>
      <c r="AJ11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11" s="6">
        <f>IF(AJ11&lt;&gt;"",IF(AJ11=0,COUNTIF(AJ$2:AJ10,0)+1,COUNTIF(AJ$2:AJ10,AJ11)+AJ11+COUNTIF(AJ:AJ,0)),"")</f>
        <v>1</v>
      </c>
      <c r="AL11" s="6">
        <f t="shared" si="20"/>
        <v>1</v>
      </c>
      <c r="AM11" s="3" t="str">
        <f>IF(AND(Include_study?="Yes",Sufficient_data="Yes",Input!Study_name&lt;&gt;""),Input!Study_name,"")</f>
        <v>Law et al.</v>
      </c>
      <c r="AN11" s="6">
        <f t="shared" si="21"/>
        <v>13100</v>
      </c>
      <c r="AO11" s="3">
        <f t="shared" si="22"/>
        <v>0.82321869216533006</v>
      </c>
      <c r="AP11" s="3">
        <f t="shared" si="23"/>
        <v>35.764994801167163</v>
      </c>
      <c r="AQ11" s="3">
        <f t="shared" si="24"/>
        <v>15.257228096400079</v>
      </c>
      <c r="AR11" s="3">
        <f t="shared" si="25"/>
        <v>0.16721333811474565</v>
      </c>
      <c r="AS11" s="3">
        <f t="shared" si="26"/>
        <v>0.59315721541009148</v>
      </c>
      <c r="AT11" s="3">
        <f t="shared" si="27"/>
        <v>1.142511626806836</v>
      </c>
      <c r="AU11" s="80">
        <f t="shared" si="28"/>
        <v>9.8051786231727417E-2</v>
      </c>
      <c r="AW11" s="44">
        <f t="shared" si="29"/>
        <v>0.82321869216533006</v>
      </c>
      <c r="AX11" s="3">
        <f t="shared" si="30"/>
        <v>0.23006147675523858</v>
      </c>
      <c r="AY11" s="35">
        <f t="shared" si="31"/>
        <v>0.31929293464150599</v>
      </c>
      <c r="BD11" s="130"/>
      <c r="BE11" s="125"/>
      <c r="BF11" s="3">
        <f t="shared" si="32"/>
        <v>-0.19453338800807651</v>
      </c>
      <c r="BG11" s="3">
        <f t="shared" si="33"/>
        <v>0.16721333811474565</v>
      </c>
      <c r="BH11" s="3">
        <f t="shared" si="34"/>
        <v>35.764994801167163</v>
      </c>
      <c r="BI11" s="3">
        <f t="shared" si="99"/>
        <v>15.257228096400079</v>
      </c>
      <c r="BJ11" s="35">
        <f t="shared" si="35"/>
        <v>0.16754093589650887</v>
      </c>
      <c r="BL11" s="3" t="s">
        <v>318</v>
      </c>
      <c r="BM11" s="3">
        <f>IF(Model_effect_size_measure="Risk Difference",CES_IV-ABS(TINV((1-Confidence_level),k_-1))*SECES_Risk_Difference,EXP(CIlnCES_LL))</f>
        <v>0.58479437356825836</v>
      </c>
      <c r="BO11" s="123"/>
      <c r="BP11" s="3">
        <f t="shared" si="36"/>
        <v>32.596946564885499</v>
      </c>
      <c r="BQ11" s="3">
        <f t="shared" si="37"/>
        <v>39.596946564885499</v>
      </c>
      <c r="BR11" s="3">
        <f t="shared" si="38"/>
        <v>16.263636850999358</v>
      </c>
      <c r="BS11" s="3">
        <f>IF(AND(Sufficient_data="Yes",Include_study?="Yes"),IF(Add_0_5="Yes",(a_+d_+1)*(ab_+0.5)*(c_+0.5)/(Number_of_subjects+2)^2,(a_+d_)*b_*c_/Number_of_subjects^2),"")</f>
        <v>19.756155934968824</v>
      </c>
      <c r="BT11" s="3">
        <f t="shared" si="39"/>
        <v>16.333309713886138</v>
      </c>
      <c r="BU11" s="3">
        <f t="shared" si="40"/>
        <v>19.840790629916672</v>
      </c>
      <c r="BV11" s="3">
        <f t="shared" si="41"/>
        <v>39.596946564885499</v>
      </c>
      <c r="BW11" s="3">
        <f t="shared" si="42"/>
        <v>1.079545071587132</v>
      </c>
      <c r="BX11" s="3">
        <f t="shared" si="43"/>
        <v>16.828044670963266</v>
      </c>
      <c r="BY11" s="35">
        <f t="shared" si="44"/>
        <v>0.1684611033357134</v>
      </c>
      <c r="CA11" s="3" t="s">
        <v>318</v>
      </c>
      <c r="CB11" s="3">
        <f>EXP(CIlnCES_LL_MH)</f>
        <v>0.58408394377076489</v>
      </c>
      <c r="CD11" s="123"/>
      <c r="CE11" s="76">
        <f t="shared" si="45"/>
        <v>73</v>
      </c>
      <c r="CF11" s="3">
        <f t="shared" si="46"/>
        <v>36.095961523780439</v>
      </c>
      <c r="CG11" s="3">
        <f t="shared" si="47"/>
        <v>-0.19392751167989578</v>
      </c>
      <c r="CH11" s="3">
        <f t="shared" si="48"/>
        <v>2.7703930239985113E-2</v>
      </c>
      <c r="CI11" s="3">
        <f t="shared" si="49"/>
        <v>36.095961523780439</v>
      </c>
      <c r="CJ11" s="3">
        <f t="shared" si="50"/>
        <v>13.590078579295692</v>
      </c>
      <c r="CK11" s="35">
        <f t="shared" si="51"/>
        <v>0.17589408899453321</v>
      </c>
      <c r="CM11" s="3" t="s">
        <v>318</v>
      </c>
      <c r="CN11" s="3">
        <f>EXP(CIlnCES_LL_Peto)</f>
        <v>0.57280670869269623</v>
      </c>
      <c r="CP11" s="123"/>
      <c r="CQ11" s="52">
        <f t="shared" si="52"/>
        <v>1.2213740458015267E-2</v>
      </c>
      <c r="CS11" s="2" t="s">
        <v>292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0.7020716260017551</v>
      </c>
      <c r="CU11" s="3">
        <f>IF(Model_effect_size_measure="Odds Ratio",CES_OddsRatio_MH/(1-MEDIAN(Control_group_risk)+(MEDIAN(Control_group_risk)*CES_OddsRatio_MH)),NA())</f>
        <v>0.70143830478466496</v>
      </c>
      <c r="CV11" s="3" t="e">
        <f>IF(Model_effect_size_measure="Peto Odds Ratio",CES_PetoOddsRatio/(1-MEDIAN(Control_group_risk)+(MEDIAN(Control_group_risk)*CES_PetoOddsRatio)),NA())</f>
        <v>#N/A</v>
      </c>
      <c r="CX11" s="130"/>
      <c r="CY11" s="48">
        <f t="shared" si="53"/>
        <v>1</v>
      </c>
      <c r="CZ11" s="6" t="str">
        <f t="shared" si="54"/>
        <v>Law et al.</v>
      </c>
      <c r="DA11" s="17" t="str">
        <f t="shared" si="55"/>
        <v>Audio</v>
      </c>
      <c r="DB11" s="3">
        <f t="shared" si="56"/>
        <v>-0.19453338800807651</v>
      </c>
      <c r="DC11" s="3">
        <f t="shared" si="57"/>
        <v>0.16721333811474565</v>
      </c>
      <c r="DD11" s="3">
        <f t="shared" si="58"/>
        <v>35.764994801167163</v>
      </c>
      <c r="DE11" s="3">
        <f t="shared" si="59"/>
        <v>14.919894699085907</v>
      </c>
      <c r="DF11" s="80">
        <f t="shared" si="60"/>
        <v>0.13705115757863243</v>
      </c>
      <c r="DG11" s="3">
        <f t="shared" si="61"/>
        <v>0.82321869216533006</v>
      </c>
      <c r="DH11" s="3">
        <f t="shared" si="62"/>
        <v>0.59315721678176314</v>
      </c>
      <c r="DI11" s="3">
        <f t="shared" si="63"/>
        <v>1.1425116241647864</v>
      </c>
      <c r="DJ11" s="35">
        <f t="shared" si="64"/>
        <v>0.17789210543736456</v>
      </c>
      <c r="DL11" s="44">
        <f t="shared" si="65"/>
        <v>0.82321869216533006</v>
      </c>
      <c r="DM11" s="3">
        <f t="shared" si="100"/>
        <v>0.23006147538356692</v>
      </c>
      <c r="DN11" s="35">
        <f t="shared" si="101"/>
        <v>0.3192929319994563</v>
      </c>
      <c r="DP11" s="48">
        <f t="shared" si="102"/>
        <v>9</v>
      </c>
      <c r="DQ11" s="17" t="str">
        <f>IF(AND(Sufficient_data="Yes",Subgroup&lt;&gt;""),IF(COUNTIFS(Input!J$2:J10,"="&amp;"Yes",Input!C$2:C10,"="&amp;"Yes",Input!K$2:K10,"="&amp;Subgroup)&gt;0,"",Subgroup),"")</f>
        <v>Audio</v>
      </c>
      <c r="DR11" s="6">
        <f t="shared" si="103"/>
        <v>1</v>
      </c>
      <c r="DS11" s="6">
        <f t="shared" si="66"/>
        <v>8</v>
      </c>
      <c r="DT11" s="3">
        <f t="shared" si="67"/>
        <v>15.112699834882655</v>
      </c>
      <c r="DU11" s="10">
        <f t="shared" si="104"/>
        <v>3.4581589688572438E-2</v>
      </c>
      <c r="DV11" s="9">
        <f t="shared" si="105"/>
        <v>0.53681340352947249</v>
      </c>
      <c r="DW11" s="10">
        <f t="shared" si="68"/>
        <v>207.67553926564969</v>
      </c>
      <c r="DX11" s="3">
        <f t="shared" si="69"/>
        <v>3.9064301282517609E-2</v>
      </c>
      <c r="DY11" s="3">
        <f t="shared" si="106"/>
        <v>0.19764691063236381</v>
      </c>
      <c r="DZ11" s="3">
        <f t="shared" si="70"/>
        <v>-0.37242549344544107</v>
      </c>
      <c r="EA11" s="3">
        <f t="shared" si="71"/>
        <v>9.2727172710785372E-2</v>
      </c>
      <c r="EB11" s="6">
        <f t="shared" si="72"/>
        <v>53421</v>
      </c>
      <c r="EC11" s="3">
        <f t="shared" si="107"/>
        <v>-0.59169041481899687</v>
      </c>
      <c r="ED11" s="3">
        <f t="shared" si="108"/>
        <v>-0.1531605720718853</v>
      </c>
      <c r="EE11" s="3">
        <f t="shared" si="109"/>
        <v>0.68906098920554815</v>
      </c>
      <c r="EF11" s="3">
        <f t="shared" si="110"/>
        <v>0.55339103322747352</v>
      </c>
      <c r="EG11" s="3">
        <f t="shared" si="111"/>
        <v>0.85799194120617084</v>
      </c>
      <c r="EH11" s="3">
        <f t="shared" si="112"/>
        <v>0.13566995597807463</v>
      </c>
      <c r="EI11" s="3">
        <f t="shared" si="113"/>
        <v>0.16893095200062269</v>
      </c>
      <c r="EJ11" s="3">
        <f t="shared" si="114"/>
        <v>-0.88866488482363126</v>
      </c>
      <c r="EK11" s="3">
        <f t="shared" si="73"/>
        <v>0.14381389793274912</v>
      </c>
      <c r="EL11" s="3">
        <f t="shared" si="115"/>
        <v>0.41120439164666811</v>
      </c>
      <c r="EM11" s="3">
        <f t="shared" si="116"/>
        <v>1.1546692022027576</v>
      </c>
      <c r="EN11" s="3">
        <f t="shared" si="117"/>
        <v>0.27785659755888004</v>
      </c>
      <c r="EO11" s="3">
        <f t="shared" si="118"/>
        <v>0.46560821299720945</v>
      </c>
      <c r="EP11" s="3">
        <f t="shared" si="74"/>
        <v>6.5523204085090239</v>
      </c>
      <c r="EQ11" s="3">
        <f t="shared" si="119"/>
        <v>0.68906098920554815</v>
      </c>
      <c r="ER11" s="9" t="e">
        <f t="shared" si="120"/>
        <v>#VALUE!</v>
      </c>
      <c r="ES11" s="3">
        <f t="shared" si="121"/>
        <v>116.3016734177655</v>
      </c>
      <c r="ET11" s="3" t="e">
        <f t="shared" si="122"/>
        <v>#VALUE!</v>
      </c>
      <c r="EU11" s="3" t="e">
        <f t="shared" si="75"/>
        <v>#VALUE!</v>
      </c>
      <c r="EV11" s="35" t="e">
        <f t="shared" si="76"/>
        <v>#VALUE!</v>
      </c>
      <c r="EX11" s="2" t="s">
        <v>207</v>
      </c>
      <c r="EY11" s="3" t="e">
        <f>IF(Subgroup_valid_options="Yes",IF(Subgroup_effect_size_measure="Risk Difference",EY9-ABS(TINV((1-Subgroup_confidence_level),Subgroup_k-1))*EY10,EXP(EY4)),"")</f>
        <v>#VALUE!</v>
      </c>
      <c r="FA11" s="130"/>
      <c r="FB11" s="44">
        <f>IF(AND(Include_study?="Yes",Sufficient_data="Yes",Moderator&lt;&gt;""),'Moderator Analysis'!E11,NA())</f>
        <v>26</v>
      </c>
      <c r="FC11" s="3">
        <f>IF(AND(Include_study?="Yes",Sufficient_data="Yes",Moderator&lt;&gt;""),'Moderator Analysis'!F11,NA())</f>
        <v>-0.19453338800807651</v>
      </c>
      <c r="FD11" s="3">
        <f t="shared" si="77"/>
        <v>0.16721333811474565</v>
      </c>
      <c r="FE11" s="3">
        <f t="shared" si="78"/>
        <v>35.764994801167163</v>
      </c>
      <c r="FF11" s="3">
        <f>IF(AND(Include_study?="Yes",Sufficient_data="Yes",Moderator&lt;&gt;""),'Moderator Analysis'!F:F-FP$2,"")</f>
        <v>4.0348257514201347E-2</v>
      </c>
      <c r="FG11" s="3">
        <f>IF(AND(Include_study?="Yes",Sufficient_data="Yes",Moderator&lt;&gt;""),'Moderator Analysis'!E:E-FP$3,"")</f>
        <v>-1.7254767325386986</v>
      </c>
      <c r="FH11" s="35">
        <f>IF(AND(Include_study?="Yes",Sufficient_data="Yes",Moderator&lt;&gt;""),FE:FE*('Moderator Analysis'!F:F-FP$5-FP$4*'Moderator Analysis'!E:E)^2,"")</f>
        <v>0</v>
      </c>
      <c r="FJ11" s="44">
        <f t="shared" si="79"/>
        <v>35.764994801167163</v>
      </c>
      <c r="FK11" s="3">
        <f>IF(AND(Include_study?="Yes",Sufficient_data="Yes",Moderator&lt;&gt;""),'Moderator Analysis'!F:F-'Moderator Analysis'!J$37,"")</f>
        <v>4.0348257514201347E-2</v>
      </c>
      <c r="FL11" s="3">
        <f>IF(AND(Include_study?="Yes",Sufficient_data="Yes",Moderator&lt;&gt;""),'Moderator Analysis'!E:E-SUMPRODUCT('Moderator Analysis'!E:E,FJ:FJ)/SUM(FJ:FJ),"")</f>
        <v>-1.7254767325386986</v>
      </c>
      <c r="FM11" s="35">
        <f>IF(AND(Include_study?="Yes",Sufficient_data="Yes",Moderator&lt;&gt;""),FJ:FJ*('Moderator Analysis'!F:F-'Moderator Analysis'!J$29-'Moderator Analysis'!J$30*'Moderator Analysis'!E:E)^2,"")</f>
        <v>2.8213606174073509E-29</v>
      </c>
      <c r="FN11" s="14"/>
      <c r="FO11" s="2" t="s">
        <v>254</v>
      </c>
      <c r="FP11" s="2" t="s">
        <v>255</v>
      </c>
      <c r="FR11" s="130"/>
      <c r="FS11" s="125"/>
      <c r="FT11" s="76">
        <f>IF(AND(Include_study?="Yes",Sufficient_data="Yes"),IF(Additional_weighting_method="Inverse Variance",1/'Publication Bias Analysis'!F:F^2,IF(Additional_weighting_method="Mantel-Haenszel",Weightf_MH,Weightf_Peto)),"")</f>
        <v>35.764994801167163</v>
      </c>
      <c r="FU11" s="3">
        <f>IF(AND(Include_study?="Yes",Sufficient_data="Yes"),1/('Publication Bias Analysis'!F:F^2+IF(Additional_model="Fixed effect",0,Calculations!GH$12)),"")</f>
        <v>35.764994801167163</v>
      </c>
      <c r="FV11" s="3">
        <f>IF(AND(Include_study?="Yes",Sufficient_data="Yes"),1/('Publication Bias Analysis'!F:F^2+IF(Additional_model="Fixed effect",0,'Publication Bias Analysis'!L$32)),"")</f>
        <v>35.764994801167163</v>
      </c>
      <c r="FW11" s="3">
        <f>IF(AND(Include_study?="Yes",Sufficient_data="Yes"),'Publication Bias Analysis'!E:E-'Publication Bias Analysis'!I$37,"")</f>
        <v>0.17822508237917672</v>
      </c>
      <c r="FX11" s="3">
        <f>IF(AND(Include_study?="Yes",Sufficient_data="Yes"),IF(Additional_model="Fixed effect",1/'Publication Bias Analysis'!F:F,1/SQRT('Publication Bias Analysis'!F:F^2+GH$12)),"")</f>
        <v>5.9803841683596852</v>
      </c>
      <c r="FY11" s="3">
        <f>IF(AND(Include_study?="Yes",Sufficient_data="Yes"),IF(Additional_model="Fixed effect",'Publication Bias Analysis'!E:E/'Publication Bias Analysis'!F:F,'Publication Bias Analysis'!E:E/SQRT('Publication Bias Analysis'!F:F^2+GH$12)),"")</f>
        <v>-1.1633843938608726</v>
      </c>
      <c r="FZ11" s="6">
        <f t="shared" si="80"/>
        <v>-7</v>
      </c>
      <c r="GA11" s="83">
        <f>IF(AND(Include_study?="Yes",Sufficient_data="Yes"),FZ:FZ+IF(GL:GL&lt;0,-1,1)*COUNTIF(FZ$2:FZ10,FZ:FZ),"")</f>
        <v>-7</v>
      </c>
      <c r="GB11" s="83">
        <f>IF(AND(Include_study?="Yes",Sufficient_data="Yes"),RANK(GP:GP,GP:GP,1)*IF(GO:GO&lt;0,-1,1)+IF(GO:GO&lt;0,-1,1)*COUNTIF(FZ$2:FZ10,FZ:FZ),"")</f>
        <v>-7</v>
      </c>
      <c r="GC11" s="83">
        <f>IF(AND(Include_study?="Yes",Sufficient_data="Yes"),RANK(GS:GS,GS:GS,1)*IF(GR:GR&lt;0,-1,1)+IF(GR:GR&lt;0,-1,1)*COUNTIF(FZ$2:FZ10,FZ:FZ),"")</f>
        <v>-7</v>
      </c>
      <c r="GD11" s="3">
        <f>IF(AND(Include_study?="Yes",Sufficient_data="Yes"),'Publication Bias Analysis'!E11,NA())</f>
        <v>-0.19453338800807651</v>
      </c>
      <c r="GE11" s="35">
        <f>IF(AND(Include_study?="Yes",Sufficient_data="Yes"),'Publication Bias Analysis'!F11,NA())</f>
        <v>0.16721333811474565</v>
      </c>
      <c r="GG11" s="2" t="s">
        <v>65</v>
      </c>
      <c r="GH11" s="3">
        <f>SUMPRODUCT(Calculations!FT:FT,'Publication Bias Analysis'!E:E,'Publication Bias Analysis'!E:E)-SUMPRODUCT(Calculations!FT:FT,'Publication Bias Analysis'!E:E)^2/SUM(Calculations!FT:FT)</f>
        <v>21.569761009679056</v>
      </c>
      <c r="GK11" s="123"/>
      <c r="GL11" s="76">
        <f>IF(AND(Include_study?="Yes",Sufficient_data="Yes"),IF('Publication Bias Analysis'!L$38="Left",'Publication Bias Analysis'!E:E-'Publication Bias Analysis'!I$29,'Publication Bias Analysis'!I$29-'Publication Bias Analysis'!E:E),"")</f>
        <v>-0.17822508237917672</v>
      </c>
      <c r="GM11" s="3">
        <f t="shared" si="81"/>
        <v>0.17822508237917672</v>
      </c>
      <c r="GN11" s="35">
        <f>IF(AND(Include_study?="Yes",Sufficient_data="Yes"),IF(AND(Additional_weighting_method="Mantel-Haenszel",Additional_model="Fixed effect"),Weightf_MH,1/('Publication Bias Analysis'!F:F^2+IF(Additional_model="Fixed effect",0,GW$6))),"")</f>
        <v>35.764994801167163</v>
      </c>
      <c r="GO11" s="3">
        <f>IF(AND(Include_study?="Yes",Sufficient_data="Yes"),IF('Publication Bias Analysis'!L$38="Left",'Publication Bias Analysis'!E:E-GW$3,GW$3-'Publication Bias Analysis'!E:E),"")</f>
        <v>-0.17822508237917672</v>
      </c>
      <c r="GP11" s="3">
        <f t="shared" si="82"/>
        <v>0.17822508237917672</v>
      </c>
      <c r="GQ11" s="35">
        <f>IF(AND(Include_study?="Yes",Sufficient_data="Yes"),IF(AND(Additional_weighting_method="Mantel-Haenszel",Additional_model="Fixed effect"),Weightf_MH,1/('Publication Bias Analysis'!F:F^2+IF(Additional_model="Fixed effect",0,GW$13))),"")</f>
        <v>35.764994801167163</v>
      </c>
      <c r="GR11" s="3">
        <f>IF(AND(Include_study?="Yes",Sufficient_data="Yes"),IF('Publication Bias Analysis'!L$38="Left",'Publication Bias Analysis'!E:E-GW$10,GW$10-'Publication Bias Analysis'!E:E),"")</f>
        <v>-0.17822508237917672</v>
      </c>
      <c r="GS11" s="3">
        <f t="shared" si="83"/>
        <v>0.17822508237917672</v>
      </c>
      <c r="GT11" s="35">
        <f>IF(AND(Include_study?="Yes",Sufficient_data="Yes"),IF(AND(Additional_weighting_method="Mantel-Haenszel",Additional_model="Fixed effect"),Weightf_MH,1/('Publication Bias Analysis'!F:F^2+IF(Additional_model="Fixed effect",0,GW$20))),"")</f>
        <v>35.764994801167163</v>
      </c>
      <c r="GV11" s="107" t="s">
        <v>64</v>
      </c>
      <c r="GW11" s="107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23"/>
      <c r="HL11" s="3">
        <f t="shared" si="89"/>
        <v>0.45097429172438552</v>
      </c>
      <c r="HM11" s="35">
        <f>IF(AND(Include_study?="Yes",Sufficient_data="Yes"),Z_score-('Publication Bias Analysis'!P$3+'Publication Bias Analysis'!P$4*Inverse_standard_error),"")</f>
        <v>1.4354029441576728</v>
      </c>
      <c r="HO11" s="123"/>
      <c r="HP11" s="3">
        <f>IF(AND(Include_study?="Yes",Sufficient_data="Yes"),(GD:GD-SUMPRODUCT(Calculations!FT:FT,'Publication Bias Analysis'!E:E)/SUM(Calculations!FT:FT))/SQRT(Calculations!HQ:HQ),"")</f>
        <v>1.1267735314476826</v>
      </c>
      <c r="HQ11" s="3">
        <f>IF(AND(Include_study?="Yes",Sufficient_data="Yes"),GE:GE^2-1/SUM(Calculations!FT:FT),"")</f>
        <v>2.5018679003247276E-2</v>
      </c>
      <c r="HR11" s="6">
        <f t="shared" si="90"/>
        <v>3</v>
      </c>
      <c r="HS11" s="6">
        <f t="shared" si="91"/>
        <v>8</v>
      </c>
      <c r="HT11" s="6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>5</v>
      </c>
      <c r="HU11" s="57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>5</v>
      </c>
      <c r="HW11" s="123"/>
      <c r="IB11" s="123"/>
      <c r="IC11" s="76">
        <f t="shared" si="92"/>
        <v>1.0076335877862596E-2</v>
      </c>
      <c r="ID11" s="3">
        <f t="shared" si="93"/>
        <v>1.2213740458015267E-2</v>
      </c>
      <c r="IE11" s="3">
        <f t="shared" si="94"/>
        <v>36.568189988791836</v>
      </c>
      <c r="IF11" s="35">
        <f t="shared" si="95"/>
        <v>35.764994801167163</v>
      </c>
      <c r="IK11" s="123"/>
      <c r="IL11" s="3">
        <f>IF(AND(Include_study?="Yes",Sufficient_data="Yes"),'Publication Bias Analysis'!AV:AV,NA())</f>
        <v>-1.1633843938608726</v>
      </c>
      <c r="IM11" s="3">
        <f>IF(AND(Sufficient_data="Yes",Include_study?="Yes"),'Publication Bias Analysis'!AU:AU,NA())</f>
        <v>5.9803841683596852</v>
      </c>
      <c r="IN11" s="3">
        <f t="shared" si="96"/>
        <v>0.45097429172438552</v>
      </c>
      <c r="IO11" s="35">
        <f>IF(AND(Include_study?="Yes",Sufficient_data="Yes"),Z_score-('Publication Bias Analysis'!AY$30+'Publication Bias Analysis'!AY$31*Inverse_standard_error),"")</f>
        <v>1.0658544610650291</v>
      </c>
      <c r="IU11" s="123"/>
      <c r="IV11" s="6">
        <f>IF('Publication Bias Analysis'!BG:BG&lt;&gt;"",RANK('Publication Bias Analysis'!BG:BG,'Publication Bias Analysis'!BG:BG,1)+COUNTIF('Publication Bias Analysis'!BG$2:BG10,'Publication Bias Analysis'!BG11),"")</f>
        <v>7</v>
      </c>
      <c r="IW11" s="3">
        <f t="shared" si="97"/>
        <v>0.58823529411764708</v>
      </c>
      <c r="IX11" s="3">
        <f>IF('Publication Bias Analysis'!BF11&lt;&gt;"",'Publication Bias Analysis'!BF11,NA())</f>
        <v>0.22300783094036683</v>
      </c>
      <c r="IY11" s="3">
        <f>IF('Publication Bias Analysis'!BG11&lt;&gt;"",'Publication Bias Analysis'!BG11,NA())</f>
        <v>-1.1633843938608726</v>
      </c>
      <c r="IZ11" s="3">
        <f>IF(AND(Include_study?="Yes",Sufficient_data="Yes"),'Publication Bias Analysis'!BF:BF-AVERAGE('Publication Bias Analysis'!BF:BF),"")</f>
        <v>0.22300783094036739</v>
      </c>
      <c r="JA11" s="35">
        <f>IF(AND(Include_study?="Yes",Sufficient_data="Yes"),'Publication Bias Analysis'!BG:BG-('Publication Bias Analysis'!BJ$30+'Publication Bias Analysis'!BJ$31*'Publication Bias Analysis'!BF:BF),"")</f>
        <v>0.48067235098372985</v>
      </c>
      <c r="JG11" s="123"/>
      <c r="JH11" s="3">
        <f t="shared" si="98"/>
        <v>-1.1633843938608726</v>
      </c>
      <c r="JI11" s="10">
        <f t="shared" si="124"/>
        <v>0.12233678924213642</v>
      </c>
      <c r="JJ11" s="35">
        <f t="shared" si="125"/>
        <v>-2.1009774700589783</v>
      </c>
    </row>
    <row r="12" spans="1:270" ht="14.1">
      <c r="A12" s="2">
        <f t="shared" si="0"/>
        <v>2</v>
      </c>
      <c r="B12" s="6">
        <f>IF(AND(Include_study?="Yes",Sufficient_data="Yes"),IF(Input!a_&lt;&gt;"",Input!a_,Input!n1_-Input!b_),"")</f>
        <v>45</v>
      </c>
      <c r="C12" s="6">
        <f>IF(AND(Include_study?="Yes",Sufficient_data="Yes"),IF(Input!b_&lt;&gt;"",Input!b_,Input!n1_-Input!a_),"")</f>
        <v>3352</v>
      </c>
      <c r="D12" s="6">
        <f>IF(AND(Include_study?="Yes",Sufficient_data="Yes"),IF(Input!c_&lt;&gt;"",Input!c_,Input!n2_-Input!d_),"")</f>
        <v>71</v>
      </c>
      <c r="E12" s="6">
        <f>IF(AND(Include_study?="Yes",Sufficient_data="Yes"),IF(Input!d_&lt;&gt;"",Input!d_,Input!n2_-Input!c_),"")</f>
        <v>3965</v>
      </c>
      <c r="F12" s="35" t="str">
        <f t="shared" si="1"/>
        <v>No</v>
      </c>
      <c r="H12" s="130"/>
      <c r="I12" s="125"/>
      <c r="J12" s="76">
        <f t="shared" si="2"/>
        <v>0.74971007428821135</v>
      </c>
      <c r="K12" s="3">
        <f t="shared" si="3"/>
        <v>-0.28806871480402096</v>
      </c>
      <c r="L12" s="3">
        <f t="shared" si="4"/>
        <v>0.19198246125536622</v>
      </c>
      <c r="M12" s="3">
        <f t="shared" si="5"/>
        <v>0.5145776958373327</v>
      </c>
      <c r="N12" s="35">
        <f t="shared" si="6"/>
        <v>1.0922844111512255</v>
      </c>
      <c r="P12" s="123"/>
      <c r="Q12" s="76">
        <f t="shared" si="7"/>
        <v>0.75369091820504053</v>
      </c>
      <c r="R12" s="3">
        <f t="shared" si="8"/>
        <v>0.18784433793356031</v>
      </c>
      <c r="S12" s="3">
        <f t="shared" si="9"/>
        <v>0.52152345377621945</v>
      </c>
      <c r="T12" s="35">
        <f t="shared" si="10"/>
        <v>1.0892127594102445</v>
      </c>
      <c r="V12" s="123"/>
      <c r="W12" s="76">
        <f t="shared" si="11"/>
        <v>-4.3446922939350974E-3</v>
      </c>
      <c r="X12" s="3">
        <f t="shared" si="12"/>
        <v>2.8513098659425202E-3</v>
      </c>
      <c r="Y12" s="3">
        <f t="shared" si="13"/>
        <v>-9.9340673374035925E-3</v>
      </c>
      <c r="Z12" s="35">
        <f t="shared" si="14"/>
        <v>1.2446827495333967E-3</v>
      </c>
      <c r="AB12" s="123"/>
      <c r="AC12" s="76">
        <f t="shared" si="15"/>
        <v>0.75302566058701337</v>
      </c>
      <c r="AD12" s="3">
        <f t="shared" si="16"/>
        <v>-0.28365597395808007</v>
      </c>
      <c r="AE12" s="3">
        <f t="shared" si="17"/>
        <v>0.18911526063034631</v>
      </c>
      <c r="AF12" s="3">
        <f t="shared" si="18"/>
        <v>0.51976657807051485</v>
      </c>
      <c r="AG12" s="35">
        <f t="shared" si="19"/>
        <v>1.0909659632358635</v>
      </c>
      <c r="AI12" s="130"/>
      <c r="AJ12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12" s="6">
        <f>IF(AJ12&lt;&gt;"",IF(AJ12=0,COUNTIF(AJ$2:AJ11,0)+1,COUNTIF(AJ$2:AJ11,AJ12)+AJ12+COUNTIF(AJ:AJ,0)),"")</f>
        <v>2</v>
      </c>
      <c r="AL12" s="6">
        <f t="shared" si="20"/>
        <v>2</v>
      </c>
      <c r="AM12" s="3" t="str">
        <f>IF(AND(Include_study?="Yes",Sufficient_data="Yes",Input!Study_name&lt;&gt;""),Input!Study_name,"")</f>
        <v>Zou et al.</v>
      </c>
      <c r="AN12" s="6">
        <f t="shared" si="21"/>
        <v>7433</v>
      </c>
      <c r="AO12" s="3">
        <f t="shared" si="22"/>
        <v>0.74971007428821135</v>
      </c>
      <c r="AP12" s="3">
        <f t="shared" si="23"/>
        <v>27.131692716276554</v>
      </c>
      <c r="AQ12" s="3">
        <f t="shared" si="24"/>
        <v>13.433697387385829</v>
      </c>
      <c r="AR12" s="3">
        <f t="shared" si="25"/>
        <v>0.19198246125536622</v>
      </c>
      <c r="AS12" s="3">
        <f t="shared" si="26"/>
        <v>0.5145776958373327</v>
      </c>
      <c r="AT12" s="3">
        <f t="shared" si="27"/>
        <v>1.0922844111512255</v>
      </c>
      <c r="AU12" s="80">
        <f t="shared" si="28"/>
        <v>8.6332721527605752E-2</v>
      </c>
      <c r="AW12" s="44">
        <f t="shared" si="29"/>
        <v>0.74971007428821135</v>
      </c>
      <c r="AX12" s="3">
        <f t="shared" si="30"/>
        <v>0.23513237845087864</v>
      </c>
      <c r="AY12" s="35">
        <f t="shared" si="31"/>
        <v>0.34257433686301419</v>
      </c>
      <c r="BD12" s="130"/>
      <c r="BE12" s="125"/>
      <c r="BF12" s="3">
        <f t="shared" si="32"/>
        <v>-0.28806871480402096</v>
      </c>
      <c r="BG12" s="3">
        <f t="shared" si="33"/>
        <v>0.19198246125536622</v>
      </c>
      <c r="BH12" s="3">
        <f t="shared" si="34"/>
        <v>27.131692716276554</v>
      </c>
      <c r="BI12" s="3">
        <f t="shared" si="99"/>
        <v>13.433697387385829</v>
      </c>
      <c r="BJ12" s="35">
        <f t="shared" si="35"/>
        <v>7.4005609100564418E-2</v>
      </c>
      <c r="BL12" s="3" t="s">
        <v>319</v>
      </c>
      <c r="BM12" s="3">
        <f>IF(Model_effect_size_measure="Risk Difference",CES_IV+ABS(TINV((1-Confidence_level),k_-1))*SECES_Risk_Difference,EXP(CIlnCES_UL))</f>
        <v>0.82890174258971971</v>
      </c>
      <c r="BO12" s="123"/>
      <c r="BP12" s="3">
        <f t="shared" si="36"/>
        <v>24.004439660971343</v>
      </c>
      <c r="BQ12" s="3">
        <f t="shared" si="37"/>
        <v>32.018296784609177</v>
      </c>
      <c r="BR12" s="3">
        <f t="shared" si="38"/>
        <v>12.950060949884984</v>
      </c>
      <c r="BS12" s="3">
        <f>IF(AND(Sufficient_data="Yes",Include_study?="Yes"),IF(Add_0_5="Yes",(a_+d_+1)*(ab_+0.5)*(c_+0.5)/(Number_of_subjects+2)^2,(a_+d_)*b_*c_/Number_of_subjects^2),"")</f>
        <v>17.273425280005757</v>
      </c>
      <c r="BT12" s="3">
        <f t="shared" si="39"/>
        <v>11.054378711086359</v>
      </c>
      <c r="BU12" s="3">
        <f t="shared" si="40"/>
        <v>14.744871504603418</v>
      </c>
      <c r="BV12" s="3">
        <f t="shared" si="41"/>
        <v>32.018296784609177</v>
      </c>
      <c r="BW12" s="3">
        <f t="shared" si="42"/>
        <v>0.17451765326269617</v>
      </c>
      <c r="BX12" s="3">
        <f t="shared" si="43"/>
        <v>14.636664815265696</v>
      </c>
      <c r="BY12" s="35">
        <f t="shared" si="44"/>
        <v>7.4925776539768951E-2</v>
      </c>
      <c r="CA12" s="3" t="s">
        <v>319</v>
      </c>
      <c r="CB12" s="3">
        <f>EXP(CIlnCES_UL_MH)</f>
        <v>0.82838404013559286</v>
      </c>
      <c r="CD12" s="123"/>
      <c r="CE12" s="76">
        <f t="shared" si="45"/>
        <v>53.013857123637834</v>
      </c>
      <c r="CF12" s="3">
        <f t="shared" si="46"/>
        <v>28.340256858421125</v>
      </c>
      <c r="CG12" s="3">
        <f t="shared" si="47"/>
        <v>-0.28277291782048786</v>
      </c>
      <c r="CH12" s="3">
        <f t="shared" si="48"/>
        <v>3.5285495293697608E-2</v>
      </c>
      <c r="CI12" s="3">
        <f t="shared" si="49"/>
        <v>28.340256858421125</v>
      </c>
      <c r="CJ12" s="3">
        <f t="shared" si="50"/>
        <v>12.320633616461317</v>
      </c>
      <c r="CK12" s="35">
        <f t="shared" si="51"/>
        <v>8.7048682853941128E-2</v>
      </c>
      <c r="CM12" s="3" t="s">
        <v>319</v>
      </c>
      <c r="CN12" s="3">
        <f>EXP(CIlnCES_UL_Peto)</f>
        <v>0.8332377611026941</v>
      </c>
      <c r="CP12" s="123"/>
      <c r="CQ12" s="52">
        <f t="shared" si="52"/>
        <v>1.7591674925668981E-2</v>
      </c>
      <c r="CS12" s="2" t="s">
        <v>102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0.59152097449769803</v>
      </c>
      <c r="CU12" s="3">
        <f>IF(Model_effect_size_measure="Odds Ratio",CICES_LL_MH/(1-MEDIAN(Control_group_risk)+(MEDIAN(Control_group_risk)*CICES_LL_MH)),"")</f>
        <v>0.59081400087452418</v>
      </c>
      <c r="CV12" s="3" t="str">
        <f>IF(Model_effect_size_measure="Peto Odds Ratio",CICES_LL_Peto/(1-MEDIAN(Control_group_risk)+(MEDIAN(Control_group_risk)*CICES_LL_Peto)),"")</f>
        <v/>
      </c>
      <c r="CX12" s="130"/>
      <c r="CY12" s="48">
        <f t="shared" si="53"/>
        <v>2</v>
      </c>
      <c r="CZ12" s="6" t="str">
        <f t="shared" si="54"/>
        <v>Zou et al.</v>
      </c>
      <c r="DA12" s="17" t="str">
        <f t="shared" si="55"/>
        <v>Audio</v>
      </c>
      <c r="DB12" s="3">
        <f t="shared" si="56"/>
        <v>-0.28806871480402096</v>
      </c>
      <c r="DC12" s="3">
        <f t="shared" si="57"/>
        <v>0.19198246125536622</v>
      </c>
      <c r="DD12" s="3">
        <f t="shared" si="58"/>
        <v>27.131692716276554</v>
      </c>
      <c r="DE12" s="3">
        <f t="shared" si="59"/>
        <v>13.171487935581482</v>
      </c>
      <c r="DF12" s="80">
        <f t="shared" si="60"/>
        <v>0.12099064403685306</v>
      </c>
      <c r="DG12" s="3">
        <f t="shared" si="61"/>
        <v>0.74971007428821135</v>
      </c>
      <c r="DH12" s="3">
        <f t="shared" si="62"/>
        <v>0.51457770008223069</v>
      </c>
      <c r="DI12" s="3">
        <f t="shared" si="63"/>
        <v>1.0922844021406604</v>
      </c>
      <c r="DJ12" s="35">
        <f t="shared" si="64"/>
        <v>8.4356778641420105E-2</v>
      </c>
      <c r="DL12" s="44">
        <f t="shared" si="65"/>
        <v>0.74971007428821135</v>
      </c>
      <c r="DM12" s="3">
        <f t="shared" si="100"/>
        <v>0.23513237420598065</v>
      </c>
      <c r="DN12" s="35">
        <f t="shared" si="101"/>
        <v>0.34257432785244901</v>
      </c>
      <c r="DP12" s="48" t="str">
        <f t="shared" si="102"/>
        <v/>
      </c>
      <c r="DQ12" s="17" t="str">
        <f>IF(AND(Sufficient_data="Yes",Subgroup&lt;&gt;""),IF(COUNTIFS(Input!J$2:J11,"="&amp;"Yes",Input!C$2:C11,"="&amp;"Yes",Input!K$2:K11,"="&amp;Subgroup)&gt;0,"",Subgroup),"")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208</v>
      </c>
      <c r="EY12" s="3" t="e">
        <f>IF(Subgroup_valid_options="Yes",IF(Subgroup_effect_size_measure="Risk Difference",EY9+ABS(TINV((1-Subgroup_confidence_level),Subgroup_k-1))*EY10,EXP(EY5)),"")</f>
        <v>#VALUE!</v>
      </c>
      <c r="FA12" s="130"/>
      <c r="FB12" s="44">
        <f>IF(AND(Include_study?="Yes",Sufficient_data="Yes",Moderator&lt;&gt;""),'Moderator Analysis'!E12,NA())</f>
        <v>30</v>
      </c>
      <c r="FC12" s="3">
        <f>IF(AND(Include_study?="Yes",Sufficient_data="Yes",Moderator&lt;&gt;""),'Moderator Analysis'!F12,NA())</f>
        <v>-0.28806871480402096</v>
      </c>
      <c r="FD12" s="3">
        <f t="shared" si="77"/>
        <v>0.19198246125536622</v>
      </c>
      <c r="FE12" s="3">
        <f t="shared" si="78"/>
        <v>27.131692716276554</v>
      </c>
      <c r="FF12" s="3">
        <f>IF(AND(Include_study?="Yes",Sufficient_data="Yes",Moderator&lt;&gt;""),'Moderator Analysis'!F:F-FP$2,"")</f>
        <v>-5.3187069281743105E-2</v>
      </c>
      <c r="FG12" s="3">
        <f>IF(AND(Include_study?="Yes",Sufficient_data="Yes",Moderator&lt;&gt;""),'Moderator Analysis'!E:E-FP$3,"")</f>
        <v>2.2745232674613014</v>
      </c>
      <c r="FH12" s="35">
        <f>IF(AND(Include_study?="Yes",Sufficient_data="Yes",Moderator&lt;&gt;""),FE:FE*('Moderator Analysis'!F:F-FP$5-FP$4*'Moderator Analysis'!E:E)^2,"")</f>
        <v>0</v>
      </c>
      <c r="FJ12" s="44">
        <f t="shared" si="79"/>
        <v>27.131692716276554</v>
      </c>
      <c r="FK12" s="3">
        <f>IF(AND(Include_study?="Yes",Sufficient_data="Yes",Moderator&lt;&gt;""),'Moderator Analysis'!F:F-'Moderator Analysis'!J$37,"")</f>
        <v>-5.3187069281743105E-2</v>
      </c>
      <c r="FL12" s="3">
        <f>IF(AND(Include_study?="Yes",Sufficient_data="Yes",Moderator&lt;&gt;""),'Moderator Analysis'!E:E-SUMPRODUCT('Moderator Analysis'!E:E,FJ:FJ)/SUM(FJ:FJ),"")</f>
        <v>2.2745232674613014</v>
      </c>
      <c r="FM12" s="35">
        <f>IF(AND(Include_study?="Yes",Sufficient_data="Yes",Moderator&lt;&gt;""),FJ:FJ*('Moderator Analysis'!F:F-'Moderator Analysis'!J$29-'Moderator Analysis'!J$30*'Moderator Analysis'!E:E)^2,"")</f>
        <v>4.0465295825580792E-29</v>
      </c>
      <c r="FN12" s="14"/>
      <c r="FO12" s="3">
        <f>IF(FP3&lt;&gt;"",MIN('Moderator Analysis'!E:E)*0.9,"")</f>
        <v>23.400000000000002</v>
      </c>
      <c r="FP12" s="3">
        <f>IF(FP3&lt;&gt;"",FO12*'Moderator Analysis'!J30+'Moderator Analysis'!J29,"")</f>
        <v>-0.1337354255907105</v>
      </c>
      <c r="FR12" s="130"/>
      <c r="FS12" s="125"/>
      <c r="FT12" s="76">
        <f>IF(AND(Include_study?="Yes",Sufficient_data="Yes"),IF(Additional_weighting_method="Inverse Variance",1/'Publication Bias Analysis'!F:F^2,IF(Additional_weighting_method="Mantel-Haenszel",Weightf_MH,Weightf_Peto)),"")</f>
        <v>27.131692716276554</v>
      </c>
      <c r="FU12" s="3">
        <f>IF(AND(Include_study?="Yes",Sufficient_data="Yes"),1/('Publication Bias Analysis'!F:F^2+IF(Additional_model="Fixed effect",0,Calculations!GH$12)),"")</f>
        <v>27.131692716276554</v>
      </c>
      <c r="FV12" s="3">
        <f>IF(AND(Include_study?="Yes",Sufficient_data="Yes"),1/('Publication Bias Analysis'!F:F^2+IF(Additional_model="Fixed effect",0,'Publication Bias Analysis'!L$32)),"")</f>
        <v>27.131692716276554</v>
      </c>
      <c r="FW12" s="3">
        <f>IF(AND(Include_study?="Yes",Sufficient_data="Yes"),'Publication Bias Analysis'!E:E-'Publication Bias Analysis'!I$37,"")</f>
        <v>8.4689755583232273E-2</v>
      </c>
      <c r="FX12" s="3">
        <f>IF(AND(Include_study?="Yes",Sufficient_data="Yes"),IF(Additional_model="Fixed effect",1/'Publication Bias Analysis'!F:F,1/SQRT('Publication Bias Analysis'!F:F^2+GH$12)),"")</f>
        <v>5.2088091456950645</v>
      </c>
      <c r="FY12" s="3">
        <f>IF(AND(Include_study?="Yes",Sufficient_data="Yes"),IF(Additional_model="Fixed effect",'Publication Bias Analysis'!E:E/'Publication Bias Analysis'!F:F,'Publication Bias Analysis'!E:E/SQRT('Publication Bias Analysis'!F:F^2+GH$12)),"")</f>
        <v>-1.5004949562598078</v>
      </c>
      <c r="FZ12" s="6">
        <f t="shared" si="80"/>
        <v>-1</v>
      </c>
      <c r="GA12" s="83">
        <f>IF(AND(Include_study?="Yes",Sufficient_data="Yes"),FZ:FZ+IF(GL:GL&lt;0,-1,1)*COUNTIF(FZ$2:FZ11,FZ:FZ),"")</f>
        <v>-1</v>
      </c>
      <c r="GB12" s="83">
        <f>IF(AND(Include_study?="Yes",Sufficient_data="Yes"),RANK(GP:GP,GP:GP,1)*IF(GO:GO&lt;0,-1,1)+IF(GO:GO&lt;0,-1,1)*COUNTIF(FZ$2:FZ11,FZ:FZ),"")</f>
        <v>-1</v>
      </c>
      <c r="GC12" s="83">
        <f>IF(AND(Include_study?="Yes",Sufficient_data="Yes"),RANK(GS:GS,GS:GS,1)*IF(GR:GR&lt;0,-1,1)+IF(GR:GR&lt;0,-1,1)*COUNTIF(FZ$2:FZ11,FZ:FZ),"")</f>
        <v>-1</v>
      </c>
      <c r="GD12" s="3">
        <f>IF(AND(Include_study?="Yes",Sufficient_data="Yes"),'Publication Bias Analysis'!E12,NA())</f>
        <v>-0.28806871480402096</v>
      </c>
      <c r="GE12" s="35">
        <f>IF(AND(Include_study?="Yes",Sufficient_data="Yes"),'Publication Bias Analysis'!F12,NA())</f>
        <v>0.19198246125536622</v>
      </c>
      <c r="GG12" s="2" t="s">
        <v>153</v>
      </c>
      <c r="GH12" s="3">
        <f>MAX(0,(GH11-(k_-1))/((SUM(Calculations!FT:FT))-SUMPRODUCT(Calculations!FT:FT,Calculations!FT:FT)/SUM(Calculations!FT:FT)))</f>
        <v>3.7582404540789441E-2</v>
      </c>
      <c r="GK12" s="123"/>
      <c r="GL12" s="76">
        <f>IF(AND(Include_study?="Yes",Sufficient_data="Yes"),IF('Publication Bias Analysis'!L$38="Left",'Publication Bias Analysis'!E:E-'Publication Bias Analysis'!I$29,'Publication Bias Analysis'!I$29-'Publication Bias Analysis'!E:E),"")</f>
        <v>-8.4689755583232273E-2</v>
      </c>
      <c r="GM12" s="3">
        <f t="shared" si="81"/>
        <v>8.4689755583232273E-2</v>
      </c>
      <c r="GN12" s="35">
        <f>IF(AND(Include_study?="Yes",Sufficient_data="Yes"),IF(AND(Additional_weighting_method="Mantel-Haenszel",Additional_model="Fixed effect"),Weightf_MH,1/('Publication Bias Analysis'!F:F^2+IF(Additional_model="Fixed effect",0,GW$6))),"")</f>
        <v>27.131692716276554</v>
      </c>
      <c r="GO12" s="3">
        <f>IF(AND(Include_study?="Yes",Sufficient_data="Yes"),IF('Publication Bias Analysis'!L$38="Left",'Publication Bias Analysis'!E:E-GW$3,GW$3-'Publication Bias Analysis'!E:E),"")</f>
        <v>-8.4689755583232273E-2</v>
      </c>
      <c r="GP12" s="3">
        <f t="shared" si="82"/>
        <v>8.4689755583232273E-2</v>
      </c>
      <c r="GQ12" s="35">
        <f>IF(AND(Include_study?="Yes",Sufficient_data="Yes"),IF(AND(Additional_weighting_method="Mantel-Haenszel",Additional_model="Fixed effect"),Weightf_MH,1/('Publication Bias Analysis'!F:F^2+IF(Additional_model="Fixed effect",0,GW$13))),"")</f>
        <v>27.131692716276554</v>
      </c>
      <c r="GR12" s="3">
        <f>IF(AND(Include_study?="Yes",Sufficient_data="Yes"),IF('Publication Bias Analysis'!L$38="Left",'Publication Bias Analysis'!E:E-GW$10,GW$10-'Publication Bias Analysis'!E:E),"")</f>
        <v>-8.4689755583232273E-2</v>
      </c>
      <c r="GS12" s="3">
        <f t="shared" si="83"/>
        <v>8.4689755583232273E-2</v>
      </c>
      <c r="GT12" s="35">
        <f>IF(AND(Include_study?="Yes",Sufficient_data="Yes"),IF(AND(Additional_weighting_method="Mantel-Haenszel",Additional_model="Fixed effect"),Weightf_MH,1/('Publication Bias Analysis'!F:F^2+IF(Additional_model="Fixed effect",0,GW$20))),"")</f>
        <v>27.131692716276554</v>
      </c>
      <c r="GV12" s="2" t="s">
        <v>65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21.569761009679056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23"/>
      <c r="HL12" s="3">
        <f t="shared" si="89"/>
        <v>-0.32060073094023522</v>
      </c>
      <c r="HM12" s="35">
        <f>IF(AND(Include_study?="Yes",Sufficient_data="Yes"),Z_score-('Publication Bias Analysis'!P$3+'Publication Bias Analysis'!P$4*Inverse_standard_error),"")</f>
        <v>8.1970079678158614E-2</v>
      </c>
      <c r="HO12" s="123"/>
      <c r="HP12" s="3">
        <f>IF(AND(Include_study?="Yes",Sufficient_data="Yes"),(GD:GD-SUMPRODUCT(Calculations!FT:FT,'Publication Bias Analysis'!E:E)/SUM(Calculations!FT:FT))/SQRT(Calculations!HQ:HQ),"")</f>
        <v>0.45986551733794062</v>
      </c>
      <c r="HQ12" s="3">
        <f>IF(AND(Include_study?="Yes",Sufficient_data="Yes"),GE:GE^2-1/SUM(Calculations!FT:FT),"")</f>
        <v>3.3915643989439213E-2</v>
      </c>
      <c r="HR12" s="6">
        <f t="shared" si="90"/>
        <v>7</v>
      </c>
      <c r="HS12" s="6">
        <f t="shared" si="91"/>
        <v>4</v>
      </c>
      <c r="HT12" s="6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>7</v>
      </c>
      <c r="HU12" s="57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>3</v>
      </c>
      <c r="HW12" s="123"/>
      <c r="HX12" s="119" t="s">
        <v>320</v>
      </c>
      <c r="HY12" s="107"/>
      <c r="IB12" s="123"/>
      <c r="IC12" s="76">
        <f t="shared" si="92"/>
        <v>1.3246982631733883E-2</v>
      </c>
      <c r="ID12" s="3">
        <f t="shared" si="93"/>
        <v>1.7591674925668981E-2</v>
      </c>
      <c r="IE12" s="3">
        <f t="shared" si="94"/>
        <v>27.960623320029498</v>
      </c>
      <c r="IF12" s="35">
        <f t="shared" si="95"/>
        <v>27.131692716276554</v>
      </c>
      <c r="IK12" s="123"/>
      <c r="IL12" s="3">
        <f>IF(AND(Include_study?="Yes",Sufficient_data="Yes"),'Publication Bias Analysis'!AV:AV,NA())</f>
        <v>-1.5004949562598078</v>
      </c>
      <c r="IM12" s="3">
        <f>IF(AND(Sufficient_data="Yes",Include_study?="Yes"),'Publication Bias Analysis'!AU:AU,NA())</f>
        <v>5.2088091456950645</v>
      </c>
      <c r="IN12" s="3">
        <f t="shared" si="96"/>
        <v>-0.32060073094023522</v>
      </c>
      <c r="IO12" s="35">
        <f>IF(AND(Include_study?="Yes",Sufficient_data="Yes"),Z_score-('Publication Bias Analysis'!AY$30+'Publication Bias Analysis'!AY$31*Inverse_standard_error),"")</f>
        <v>0.44113277342861967</v>
      </c>
      <c r="IU12" s="123"/>
      <c r="IV12" s="6">
        <f>IF('Publication Bias Analysis'!BG:BG&lt;&gt;"",RANK('Publication Bias Analysis'!BG:BG,'Publication Bias Analysis'!BG:BG,1)+COUNTIF('Publication Bias Analysis'!BG$2:BG11,'Publication Bias Analysis'!BG12),"")</f>
        <v>6</v>
      </c>
      <c r="IW12" s="3">
        <f t="shared" si="97"/>
        <v>0.5</v>
      </c>
      <c r="IX12" s="3">
        <f>IF('Publication Bias Analysis'!BF12&lt;&gt;"",'Publication Bias Analysis'!BF12,NA())</f>
        <v>0</v>
      </c>
      <c r="IY12" s="3">
        <f>IF('Publication Bias Analysis'!BG12&lt;&gt;"",'Publication Bias Analysis'!BG12,NA())</f>
        <v>-1.5004949562598078</v>
      </c>
      <c r="IZ12" s="3">
        <f>IF(AND(Include_study?="Yes",Sufficient_data="Yes"),'Publication Bias Analysis'!BF:BF-AVERAGE('Publication Bias Analysis'!BF:BF),"")</f>
        <v>5.6520444890007968E-16</v>
      </c>
      <c r="JA12" s="35">
        <f>IF(AND(Include_study?="Yes",Sufficient_data="Yes"),'Publication Bias Analysis'!BG:BG-('Publication Bias Analysis'!BJ$30+'Publication Bias Analysis'!BJ$31*'Publication Bias Analysis'!BF:BF),"")</f>
        <v>0.504266892491817</v>
      </c>
      <c r="JG12" s="123"/>
      <c r="JH12" s="3">
        <f t="shared" si="98"/>
        <v>-1.5004949562598078</v>
      </c>
      <c r="JI12" s="10">
        <f t="shared" si="124"/>
        <v>6.6743119517936322E-2</v>
      </c>
      <c r="JJ12" s="35">
        <f t="shared" si="125"/>
        <v>-2.7069040653976963</v>
      </c>
    </row>
    <row r="13" spans="1:270" ht="14.1">
      <c r="A13" s="2">
        <f t="shared" si="0"/>
        <v>3</v>
      </c>
      <c r="B13" s="6">
        <f>IF(AND(Include_study?="Yes",Sufficient_data="Yes"),IF(Input!a_&lt;&gt;"",Input!a_,Input!n1_-Input!b_),"")</f>
        <v>41</v>
      </c>
      <c r="C13" s="6">
        <f>IF(AND(Include_study?="Yes",Sufficient_data="Yes"),IF(Input!b_&lt;&gt;"",Input!b_,Input!n1_-Input!a_),"")</f>
        <v>3356</v>
      </c>
      <c r="D13" s="6">
        <f>IF(AND(Include_study?="Yes",Sufficient_data="Yes"),IF(Input!c_&lt;&gt;"",Input!c_,Input!n2_-Input!d_),"")</f>
        <v>60</v>
      </c>
      <c r="E13" s="6">
        <f>IF(AND(Include_study?="Yes",Sufficient_data="Yes"),IF(Input!d_&lt;&gt;"",Input!d_,Input!n2_-Input!c_),"")</f>
        <v>3976</v>
      </c>
      <c r="F13" s="35" t="str">
        <f t="shared" si="1"/>
        <v>No</v>
      </c>
      <c r="H13" s="130"/>
      <c r="I13" s="125"/>
      <c r="J13" s="76">
        <f t="shared" si="2"/>
        <v>0.80957489074294797</v>
      </c>
      <c r="K13" s="3">
        <f t="shared" si="3"/>
        <v>-0.211245995328425</v>
      </c>
      <c r="L13" s="3">
        <f t="shared" si="4"/>
        <v>0.20397645305706039</v>
      </c>
      <c r="M13" s="3">
        <f t="shared" si="5"/>
        <v>0.54275480084701</v>
      </c>
      <c r="N13" s="35">
        <f t="shared" si="6"/>
        <v>1.2075646363673556</v>
      </c>
      <c r="P13" s="123"/>
      <c r="Q13" s="76">
        <f t="shared" si="7"/>
        <v>0.81169552411396217</v>
      </c>
      <c r="R13" s="3">
        <f t="shared" si="8"/>
        <v>0.20110446637164009</v>
      </c>
      <c r="S13" s="3">
        <f t="shared" si="9"/>
        <v>0.54724881853261187</v>
      </c>
      <c r="T13" s="35">
        <f t="shared" si="10"/>
        <v>1.2039306464530584</v>
      </c>
      <c r="V13" s="123"/>
      <c r="W13" s="76">
        <f t="shared" si="11"/>
        <v>-2.7967310980685171E-3</v>
      </c>
      <c r="X13" s="3">
        <f t="shared" si="12"/>
        <v>2.671841997328909E-3</v>
      </c>
      <c r="Y13" s="3">
        <f t="shared" si="13"/>
        <v>-8.0342982802045441E-3</v>
      </c>
      <c r="Z13" s="35">
        <f t="shared" si="14"/>
        <v>2.4408360840675099E-3</v>
      </c>
      <c r="AB13" s="123"/>
      <c r="AC13" s="76">
        <f t="shared" si="15"/>
        <v>0.81187322146992447</v>
      </c>
      <c r="AD13" s="3">
        <f t="shared" si="16"/>
        <v>-0.2084110822048772</v>
      </c>
      <c r="AE13" s="3">
        <f t="shared" si="17"/>
        <v>0.20128279386950532</v>
      </c>
      <c r="AF13" s="3">
        <f t="shared" si="18"/>
        <v>0.54717731137018166</v>
      </c>
      <c r="AG13" s="35">
        <f t="shared" si="19"/>
        <v>1.2046152390518741</v>
      </c>
      <c r="AI13" s="130"/>
      <c r="AJ1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13" s="6">
        <f>IF(AJ13&lt;&gt;"",IF(AJ13=0,COUNTIF(AJ$2:AJ12,0)+1,COUNTIF(AJ$2:AJ12,AJ13)+AJ13+COUNTIF(AJ:AJ,0)),"")</f>
        <v>3</v>
      </c>
      <c r="AL13" s="6">
        <f t="shared" si="20"/>
        <v>3</v>
      </c>
      <c r="AM13" s="3" t="str">
        <f>IF(AND(Include_study?="Yes",Sufficient_data="Yes",Input!Study_name&lt;&gt;""),Input!Study_name,"")</f>
        <v xml:space="preserve">Wang et al. </v>
      </c>
      <c r="AN13" s="6">
        <f t="shared" si="21"/>
        <v>7433</v>
      </c>
      <c r="AO13" s="3">
        <f t="shared" si="22"/>
        <v>0.80957489074294797</v>
      </c>
      <c r="AP13" s="3">
        <f t="shared" si="23"/>
        <v>24.034767694096736</v>
      </c>
      <c r="AQ13" s="3">
        <f t="shared" si="24"/>
        <v>12.628048738986436</v>
      </c>
      <c r="AR13" s="3">
        <f t="shared" si="25"/>
        <v>0.20397645305706039</v>
      </c>
      <c r="AS13" s="3">
        <f t="shared" si="26"/>
        <v>0.54275480084701</v>
      </c>
      <c r="AT13" s="3">
        <f t="shared" si="27"/>
        <v>1.2075646363673556</v>
      </c>
      <c r="AU13" s="80">
        <f t="shared" si="28"/>
        <v>8.1155156602206471E-2</v>
      </c>
      <c r="AW13" s="44">
        <f t="shared" si="29"/>
        <v>0.80957489074294797</v>
      </c>
      <c r="AX13" s="3">
        <f t="shared" si="30"/>
        <v>0.26682008989593797</v>
      </c>
      <c r="AY13" s="35">
        <f t="shared" si="31"/>
        <v>0.39798974562440759</v>
      </c>
      <c r="BD13" s="130"/>
      <c r="BE13" s="125"/>
      <c r="BF13" s="3">
        <f t="shared" si="32"/>
        <v>-0.211245995328425</v>
      </c>
      <c r="BG13" s="3">
        <f t="shared" si="33"/>
        <v>0.20397645305706039</v>
      </c>
      <c r="BH13" s="3">
        <f t="shared" si="34"/>
        <v>24.034767694096736</v>
      </c>
      <c r="BI13" s="3">
        <f t="shared" si="99"/>
        <v>12.628048738986436</v>
      </c>
      <c r="BJ13" s="35">
        <f t="shared" si="35"/>
        <v>0.15082832857616038</v>
      </c>
      <c r="BL13" s="3" t="s">
        <v>321</v>
      </c>
      <c r="BM13" s="3">
        <f>IF(Model_effect_size_measure="Risk Difference",CES_IV-ABS(TINV((1-Confidence_level),k_-1))*SQRT(T2_+SECES_Risk_Difference^2),EXP(PIlnCES_LL))</f>
        <v>0.43696092529861341</v>
      </c>
      <c r="BO13" s="123"/>
      <c r="BP13" s="3">
        <f t="shared" si="36"/>
        <v>21.931387057715593</v>
      </c>
      <c r="BQ13" s="3">
        <f t="shared" si="37"/>
        <v>27.090004036055429</v>
      </c>
      <c r="BR13" s="3">
        <f t="shared" si="38"/>
        <v>11.852331738308022</v>
      </c>
      <c r="BS13" s="3">
        <f>IF(AND(Sufficient_data="Yes",Include_study?="Yes"),IF(Add_0_5="Yes",(a_+d_+1)*(ab_+0.5)*(c_+0.5)/(Number_of_subjects+2)^2,(a_+d_)*b_*c_/Number_of_subjects^2),"")</f>
        <v>14.640191875801783</v>
      </c>
      <c r="BT13" s="3">
        <f t="shared" si="39"/>
        <v>10.079055319407569</v>
      </c>
      <c r="BU13" s="3">
        <f t="shared" si="40"/>
        <v>12.449812160253645</v>
      </c>
      <c r="BV13" s="3">
        <f t="shared" si="41"/>
        <v>27.090004036055429</v>
      </c>
      <c r="BW13" s="3">
        <f t="shared" si="42"/>
        <v>0.59261403795855394</v>
      </c>
      <c r="BX13" s="3">
        <f t="shared" si="43"/>
        <v>13.685375296964338</v>
      </c>
      <c r="BY13" s="35">
        <f t="shared" si="44"/>
        <v>0.15174849601536491</v>
      </c>
      <c r="CA13" s="3" t="s">
        <v>321</v>
      </c>
      <c r="CB13" s="3">
        <f>EXP(PIlnCES_LL_MH)</f>
        <v>0.45152649884411122</v>
      </c>
      <c r="CD13" s="123"/>
      <c r="CE13" s="76">
        <f t="shared" si="45"/>
        <v>46.158616978339836</v>
      </c>
      <c r="CF13" s="3">
        <f t="shared" si="46"/>
        <v>24.726153892777226</v>
      </c>
      <c r="CG13" s="3">
        <f t="shared" si="47"/>
        <v>-0.20862997944240425</v>
      </c>
      <c r="CH13" s="3">
        <f t="shared" si="48"/>
        <v>4.0443006394622123E-2</v>
      </c>
      <c r="CI13" s="3">
        <f t="shared" si="49"/>
        <v>24.726153892777226</v>
      </c>
      <c r="CJ13" s="3">
        <f t="shared" si="50"/>
        <v>11.58450978946458</v>
      </c>
      <c r="CK13" s="35">
        <f t="shared" si="51"/>
        <v>0.16119162123202474</v>
      </c>
      <c r="CM13" s="3" t="s">
        <v>321</v>
      </c>
      <c r="CN13" s="3">
        <f>EXP(PIlnCES_LL_Peto)</f>
        <v>0.41372871325724525</v>
      </c>
      <c r="CP13" s="123"/>
      <c r="CQ13" s="52">
        <f t="shared" si="52"/>
        <v>1.4866204162537165E-2</v>
      </c>
      <c r="CS13" s="2" t="s">
        <v>103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0.83280431380329678</v>
      </c>
      <c r="CU13" s="3">
        <f>IF(Model_effect_size_measure="Odds Ratio",CICES_UL_MH/(1-MEDIAN(Control_group_risk)+(MEDIAN(Control_group_risk)*CICES_UL_MH)),"")</f>
        <v>0.83229603054451118</v>
      </c>
      <c r="CV13" s="3" t="str">
        <f>IF(Model_effect_size_measure="Peto Odds Ratio",CICES_UL_Peto/(1-MEDIAN(Control_group_risk)+(MEDIAN(Control_group_risk)*CICES_UL_Peto)),"")</f>
        <v/>
      </c>
      <c r="CX13" s="130"/>
      <c r="CY13" s="48">
        <f t="shared" si="53"/>
        <v>3</v>
      </c>
      <c r="CZ13" s="6" t="str">
        <f t="shared" si="54"/>
        <v xml:space="preserve">Wang et al. </v>
      </c>
      <c r="DA13" s="17" t="str">
        <f t="shared" si="55"/>
        <v>Audio</v>
      </c>
      <c r="DB13" s="3">
        <f t="shared" si="56"/>
        <v>-0.211245995328425</v>
      </c>
      <c r="DC13" s="3">
        <f t="shared" si="57"/>
        <v>0.20397645305706039</v>
      </c>
      <c r="DD13" s="3">
        <f t="shared" si="58"/>
        <v>24.034767694096736</v>
      </c>
      <c r="DE13" s="3">
        <f t="shared" si="59"/>
        <v>12.396075227986778</v>
      </c>
      <c r="DF13" s="80">
        <f t="shared" si="60"/>
        <v>0.11386785856682244</v>
      </c>
      <c r="DG13" s="3">
        <f t="shared" si="61"/>
        <v>0.80957489074294797</v>
      </c>
      <c r="DH13" s="3">
        <f t="shared" si="62"/>
        <v>0.54275480560406808</v>
      </c>
      <c r="DI13" s="3">
        <f t="shared" si="63"/>
        <v>1.2075646257834693</v>
      </c>
      <c r="DJ13" s="35">
        <f t="shared" si="64"/>
        <v>0.16117949811701607</v>
      </c>
      <c r="DL13" s="44">
        <f t="shared" si="65"/>
        <v>0.80957489074294797</v>
      </c>
      <c r="DM13" s="3">
        <f t="shared" si="100"/>
        <v>0.26682008513887989</v>
      </c>
      <c r="DN13" s="35">
        <f t="shared" si="101"/>
        <v>0.39798973504052138</v>
      </c>
      <c r="DP13" s="48" t="str">
        <f t="shared" si="102"/>
        <v/>
      </c>
      <c r="DQ13" s="17" t="str">
        <f>IF(AND(Sufficient_data="Yes",Subgroup&lt;&gt;""),IF(COUNTIFS(Input!J$2:J11,"="&amp;"Yes",Input!C$2:C11,"="&amp;"Yes",Input!K$2:K11,"="&amp;Subgroup)&gt;0,"",Subgroup),"")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322</v>
      </c>
      <c r="EY13" s="3" t="e">
        <f>IF(Subgroup_valid_options="Yes",IF(Subgroup_effect_size_measure="Risk Difference",EY9-ABS(TINV((1-Subgroup_confidence_level),Subgroup_k-1))*SQRT(EY10^2+EY35),EXP(EY6)),"")</f>
        <v>#VALUE!</v>
      </c>
      <c r="FA13" s="130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>
        <f>IF(FP3&lt;&gt;"",MAX('Moderator Analysis'!E:E)*1.1,"")</f>
        <v>33</v>
      </c>
      <c r="FP13" s="3">
        <f>IF(FP3&lt;&gt;"",FO13*'Moderator Analysis'!J30+'Moderator Analysis'!J29,"")</f>
        <v>-0.35822020990098202</v>
      </c>
      <c r="FR13" s="130"/>
      <c r="FS13" s="125"/>
      <c r="FT13" s="76">
        <f>IF(AND(Include_study?="Yes",Sufficient_data="Yes"),IF(Additional_weighting_method="Inverse Variance",1/'Publication Bias Analysis'!F:F^2,IF(Additional_weighting_method="Mantel-Haenszel",Weightf_MH,Weightf_Peto)),"")</f>
        <v>24.034767694096736</v>
      </c>
      <c r="FU13" s="3">
        <f>IF(AND(Include_study?="Yes",Sufficient_data="Yes"),1/('Publication Bias Analysis'!F:F^2+IF(Additional_model="Fixed effect",0,Calculations!GH$12)),"")</f>
        <v>24.034767694096736</v>
      </c>
      <c r="FV13" s="3">
        <f>IF(AND(Include_study?="Yes",Sufficient_data="Yes"),1/('Publication Bias Analysis'!F:F^2+IF(Additional_model="Fixed effect",0,'Publication Bias Analysis'!L$32)),"")</f>
        <v>24.034767694096736</v>
      </c>
      <c r="FW13" s="3">
        <f>IF(AND(Include_study?="Yes",Sufficient_data="Yes"),'Publication Bias Analysis'!E:E-'Publication Bias Analysis'!I$37,"")</f>
        <v>0.16151247505882824</v>
      </c>
      <c r="FX13" s="3">
        <f>IF(AND(Include_study?="Yes",Sufficient_data="Yes"),IF(Additional_model="Fixed effect",1/'Publication Bias Analysis'!F:F,1/SQRT('Publication Bias Analysis'!F:F^2+GH$12)),"")</f>
        <v>4.9025266642922745</v>
      </c>
      <c r="FY13" s="3">
        <f>IF(AND(Include_study?="Yes",Sufficient_data="Yes"),IF(Additional_model="Fixed effect",'Publication Bias Analysis'!E:E/'Publication Bias Analysis'!F:F,'Publication Bias Analysis'!E:E/SQRT('Publication Bias Analysis'!F:F^2+GH$12)),"")</f>
        <v>-1.0356391248225649</v>
      </c>
      <c r="FZ13" s="6">
        <f t="shared" si="80"/>
        <v>-5</v>
      </c>
      <c r="GA13" s="83">
        <f>IF(AND(Include_study?="Yes",Sufficient_data="Yes"),FZ:FZ+IF(GL:GL&lt;0,-1,1)*COUNTIF(FZ$2:FZ12,FZ:FZ),"")</f>
        <v>-5</v>
      </c>
      <c r="GB13" s="83">
        <f>IF(AND(Include_study?="Yes",Sufficient_data="Yes"),RANK(GP:GP,GP:GP,1)*IF(GO:GO&lt;0,-1,1)+IF(GO:GO&lt;0,-1,1)*COUNTIF(FZ$2:FZ12,FZ:FZ),"")</f>
        <v>-5</v>
      </c>
      <c r="GC13" s="83">
        <f>IF(AND(Include_study?="Yes",Sufficient_data="Yes"),RANK(GS:GS,GS:GS,1)*IF(GR:GR&lt;0,-1,1)+IF(GR:GR&lt;0,-1,1)*COUNTIF(FZ$2:FZ12,FZ:FZ),"")</f>
        <v>-5</v>
      </c>
      <c r="GD13" s="3">
        <f>IF(AND(Include_study?="Yes",Sufficient_data="Yes"),'Publication Bias Analysis'!E13,NA())</f>
        <v>-0.211245995328425</v>
      </c>
      <c r="GE13" s="35">
        <f>IF(AND(Include_study?="Yes",Sufficient_data="Yes"),'Publication Bias Analysis'!F13,NA())</f>
        <v>0.20397645305706039</v>
      </c>
      <c r="GK13" s="123"/>
      <c r="GL13" s="76">
        <f>IF(AND(Include_study?="Yes",Sufficient_data="Yes"),IF('Publication Bias Analysis'!L$38="Left",'Publication Bias Analysis'!E:E-'Publication Bias Analysis'!I$29,'Publication Bias Analysis'!I$29-'Publication Bias Analysis'!E:E),"")</f>
        <v>-0.16151247505882824</v>
      </c>
      <c r="GM13" s="3">
        <f t="shared" si="81"/>
        <v>0.16151247505882824</v>
      </c>
      <c r="GN13" s="35">
        <f>IF(AND(Include_study?="Yes",Sufficient_data="Yes"),IF(AND(Additional_weighting_method="Mantel-Haenszel",Additional_model="Fixed effect"),Weightf_MH,1/('Publication Bias Analysis'!F:F^2+IF(Additional_model="Fixed effect",0,GW$6))),"")</f>
        <v>24.034767694096736</v>
      </c>
      <c r="GO13" s="3">
        <f>IF(AND(Include_study?="Yes",Sufficient_data="Yes"),IF('Publication Bias Analysis'!L$38="Left",'Publication Bias Analysis'!E:E-GW$3,GW$3-'Publication Bias Analysis'!E:E),"")</f>
        <v>-0.16151247505882824</v>
      </c>
      <c r="GP13" s="3">
        <f t="shared" si="82"/>
        <v>0.16151247505882824</v>
      </c>
      <c r="GQ13" s="35">
        <f>IF(AND(Include_study?="Yes",Sufficient_data="Yes"),IF(AND(Additional_weighting_method="Mantel-Haenszel",Additional_model="Fixed effect"),Weightf_MH,1/('Publication Bias Analysis'!F:F^2+IF(Additional_model="Fixed effect",0,GW$13))),"")</f>
        <v>24.034767694096736</v>
      </c>
      <c r="GR13" s="3">
        <f>IF(AND(Include_study?="Yes",Sufficient_data="Yes"),IF('Publication Bias Analysis'!L$38="Left",'Publication Bias Analysis'!E:E-GW$10,GW$10-'Publication Bias Analysis'!E:E),"")</f>
        <v>-0.16151247505882824</v>
      </c>
      <c r="GS13" s="3">
        <f t="shared" si="83"/>
        <v>0.16151247505882824</v>
      </c>
      <c r="GT13" s="35">
        <f>IF(AND(Include_study?="Yes",Sufficient_data="Yes"),IF(AND(Additional_weighting_method="Mantel-Haenszel",Additional_model="Fixed effect"),Weightf_MH,1/('Publication Bias Analysis'!F:F^2+IF(Additional_model="Fixed effect",0,GW$20))),"")</f>
        <v>24.034767694096736</v>
      </c>
      <c r="GV13" s="2" t="s">
        <v>153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3.4334074302217646E-2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23"/>
      <c r="HL13" s="3">
        <f t="shared" si="89"/>
        <v>-0.62688321234302524</v>
      </c>
      <c r="HM13" s="35">
        <f>IF(AND(Include_study?="Yes",Sufficient_data="Yes"),Z_score-('Publication Bias Analysis'!P$3+'Publication Bias Analysis'!P$4*Inverse_standard_error),"")</f>
        <v>0.14338916492417608</v>
      </c>
      <c r="HO13" s="123"/>
      <c r="HP13" s="3">
        <f>IF(AND(Include_study?="Yes",Sufficient_data="Yes"),(GD:GD-SUMPRODUCT(Calculations!FT:FT,'Publication Bias Analysis'!E:E)/SUM(Calculations!FT:FT))/SQRT(Calculations!HQ:HQ),"")</f>
        <v>0.82138798503741783</v>
      </c>
      <c r="HQ13" s="3">
        <f>IF(AND(Include_study?="Yes",Sufficient_data="Yes"),GE:GE^2-1/SUM(Calculations!FT:FT),"")</f>
        <v>3.8664771961510185E-2</v>
      </c>
      <c r="HR13" s="6">
        <f t="shared" si="90"/>
        <v>4</v>
      </c>
      <c r="HS13" s="6">
        <f t="shared" si="91"/>
        <v>2</v>
      </c>
      <c r="HT13" s="6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>6</v>
      </c>
      <c r="HU13" s="57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>4</v>
      </c>
      <c r="HW13" s="123"/>
      <c r="HX13" s="2" t="s">
        <v>323</v>
      </c>
      <c r="HY13" s="3">
        <f>MAX(MAX(Standardized_residual),ABS(MIN(Standardized_residual)))</f>
        <v>3.0217881651305927</v>
      </c>
      <c r="IB13" s="123"/>
      <c r="IC13" s="76">
        <f t="shared" si="92"/>
        <v>1.2069473064468648E-2</v>
      </c>
      <c r="ID13" s="3">
        <f t="shared" si="93"/>
        <v>1.4866204162537165E-2</v>
      </c>
      <c r="IE13" s="3">
        <f t="shared" si="94"/>
        <v>24.682360781338726</v>
      </c>
      <c r="IF13" s="35">
        <f t="shared" si="95"/>
        <v>24.034767694096736</v>
      </c>
      <c r="IK13" s="123"/>
      <c r="IL13" s="3">
        <f>IF(AND(Include_study?="Yes",Sufficient_data="Yes"),'Publication Bias Analysis'!AV:AV,NA())</f>
        <v>-1.0356391248225649</v>
      </c>
      <c r="IM13" s="3">
        <f>IF(AND(Sufficient_data="Yes",Include_study?="Yes"),'Publication Bias Analysis'!AU:AU,NA())</f>
        <v>4.9025266642922745</v>
      </c>
      <c r="IN13" s="3">
        <f t="shared" si="96"/>
        <v>-0.62688321234302524</v>
      </c>
      <c r="IO13" s="35">
        <f>IF(AND(Include_study?="Yes",Sufficient_data="Yes"),Z_score-('Publication Bias Analysis'!AY$30+'Publication Bias Analysis'!AY$31*Inverse_standard_error),"")</f>
        <v>0.79181921559174628</v>
      </c>
      <c r="IU13" s="123"/>
      <c r="IV13" s="6">
        <f>IF('Publication Bias Analysis'!BG:BG&lt;&gt;"",RANK('Publication Bias Analysis'!BG:BG,'Publication Bias Analysis'!BG:BG,1)+COUNTIF('Publication Bias Analysis'!BG$2:BG12,'Publication Bias Analysis'!BG13),"")</f>
        <v>8</v>
      </c>
      <c r="IW13" s="3">
        <f t="shared" si="97"/>
        <v>0.67647058823529416</v>
      </c>
      <c r="IX13" s="3">
        <f>IF('Publication Bias Analysis'!BF13&lt;&gt;"",'Publication Bias Analysis'!BF13,NA())</f>
        <v>0.45785193101249527</v>
      </c>
      <c r="IY13" s="3">
        <f>IF('Publication Bias Analysis'!BG13&lt;&gt;"",'Publication Bias Analysis'!BG13,NA())</f>
        <v>-1.0356391248225649</v>
      </c>
      <c r="IZ13" s="3">
        <f>IF(AND(Include_study?="Yes",Sufficient_data="Yes"),'Publication Bias Analysis'!BF:BF-AVERAGE('Publication Bias Analysis'!BF:BF),"")</f>
        <v>0.45785193101249583</v>
      </c>
      <c r="JA13" s="35">
        <f>IF(AND(Include_study?="Yes",Sufficient_data="Yes"),'Publication Bias Analysis'!BG:BG-('Publication Bias Analysis'!BJ$30+'Publication Bias Analysis'!BJ$31*'Publication Bias Analysis'!BF:BF),"")</f>
        <v>0.22856788487475499</v>
      </c>
      <c r="JG13" s="123"/>
      <c r="JH13" s="3">
        <f t="shared" si="98"/>
        <v>-1.0356391248225649</v>
      </c>
      <c r="JI13" s="10">
        <f t="shared" si="124"/>
        <v>0.15018526600374416</v>
      </c>
      <c r="JJ13" s="35">
        <f t="shared" si="125"/>
        <v>-1.8958856403110576</v>
      </c>
    </row>
    <row r="14" spans="1:270" ht="13.5" customHeight="1">
      <c r="A14" s="2">
        <f t="shared" si="0"/>
        <v>4</v>
      </c>
      <c r="B14" s="6">
        <f>IF(AND(Include_study?="Yes",Sufficient_data="Yes"),IF(Input!a_&lt;&gt;"",Input!a_,Input!n1_-Input!b_),"")</f>
        <v>78</v>
      </c>
      <c r="C14" s="6">
        <f>IF(AND(Include_study?="Yes",Sufficient_data="Yes"),IF(Input!b_&lt;&gt;"",Input!b_,Input!n1_-Input!a_),"")</f>
        <v>1968</v>
      </c>
      <c r="D14" s="6">
        <f>IF(AND(Include_study?="Yes",Sufficient_data="Yes"),IF(Input!c_&lt;&gt;"",Input!c_,Input!n2_-Input!d_),"")</f>
        <v>76</v>
      </c>
      <c r="E14" s="6">
        <f>IF(AND(Include_study?="Yes",Sufficient_data="Yes"),IF(Input!d_&lt;&gt;"",Input!d_,Input!n2_-Input!c_),"")</f>
        <v>821</v>
      </c>
      <c r="F14" s="35" t="str">
        <f t="shared" si="1"/>
        <v>No</v>
      </c>
      <c r="H14" s="130"/>
      <c r="I14" s="125"/>
      <c r="J14" s="76">
        <f t="shared" si="2"/>
        <v>0.42815308087291398</v>
      </c>
      <c r="K14" s="3">
        <f t="shared" si="3"/>
        <v>-0.84827448175650988</v>
      </c>
      <c r="L14" s="3">
        <f t="shared" si="4"/>
        <v>0.16644688172280447</v>
      </c>
      <c r="M14" s="3">
        <f t="shared" si="5"/>
        <v>0.30893057951447267</v>
      </c>
      <c r="N14" s="35">
        <f t="shared" si="6"/>
        <v>0.59338593462995182</v>
      </c>
      <c r="P14" s="123"/>
      <c r="Q14" s="76">
        <f t="shared" si="7"/>
        <v>0.39083392651009996</v>
      </c>
      <c r="R14" s="3">
        <f t="shared" si="8"/>
        <v>0.17979513763600438</v>
      </c>
      <c r="S14" s="3">
        <f t="shared" si="9"/>
        <v>0.27471814639065079</v>
      </c>
      <c r="T14" s="35">
        <f t="shared" si="10"/>
        <v>0.5560286428770862</v>
      </c>
      <c r="V14" s="123"/>
      <c r="W14" s="76">
        <f t="shared" si="11"/>
        <v>-4.6603700180137771E-2</v>
      </c>
      <c r="X14" s="3">
        <f t="shared" si="12"/>
        <v>1.0216435050235752E-2</v>
      </c>
      <c r="Y14" s="3">
        <f t="shared" si="13"/>
        <v>-6.663578905097628E-2</v>
      </c>
      <c r="Z14" s="35">
        <f t="shared" si="14"/>
        <v>-2.6571611309299262E-2</v>
      </c>
      <c r="AB14" s="123"/>
      <c r="AC14" s="76">
        <f t="shared" si="15"/>
        <v>0.44995369655811079</v>
      </c>
      <c r="AD14" s="3">
        <f t="shared" si="16"/>
        <v>-0.79861059804951506</v>
      </c>
      <c r="AE14" s="3">
        <f t="shared" si="17"/>
        <v>0.15612437926953152</v>
      </c>
      <c r="AF14" s="3">
        <f t="shared" si="18"/>
        <v>0.33129875002226594</v>
      </c>
      <c r="AG14" s="35">
        <f t="shared" si="19"/>
        <v>0.61110501936002359</v>
      </c>
      <c r="AI14" s="130"/>
      <c r="AJ1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4</v>
      </c>
      <c r="AK14" s="6">
        <f>IF(AJ14&lt;&gt;"",IF(AJ14=0,COUNTIF(AJ$2:AJ13,0)+1,COUNTIF(AJ$2:AJ13,AJ14)+AJ14+COUNTIF(AJ:AJ,0)),"")</f>
        <v>4</v>
      </c>
      <c r="AL14" s="6">
        <f t="shared" si="20"/>
        <v>4</v>
      </c>
      <c r="AM14" s="3" t="str">
        <f>IF(AND(Include_study?="Yes",Sufficient_data="Yes",Input!Study_name&lt;&gt;""),Input!Study_name,"")</f>
        <v>Liu et al.</v>
      </c>
      <c r="AN14" s="6">
        <f t="shared" si="21"/>
        <v>2943</v>
      </c>
      <c r="AO14" s="3">
        <f t="shared" si="22"/>
        <v>0.42815308087291398</v>
      </c>
      <c r="AP14" s="3">
        <f t="shared" si="23"/>
        <v>36.095135237997731</v>
      </c>
      <c r="AQ14" s="3">
        <f t="shared" si="24"/>
        <v>15.316992283208558</v>
      </c>
      <c r="AR14" s="3">
        <f t="shared" si="25"/>
        <v>0.16644688172280447</v>
      </c>
      <c r="AS14" s="3">
        <f t="shared" si="26"/>
        <v>0.30893057951447267</v>
      </c>
      <c r="AT14" s="3">
        <f t="shared" si="27"/>
        <v>0.59338593462995182</v>
      </c>
      <c r="AU14" s="80">
        <f t="shared" si="28"/>
        <v>9.8435865517442531E-2</v>
      </c>
      <c r="AW14" s="44">
        <f t="shared" si="29"/>
        <v>0.42815308087291398</v>
      </c>
      <c r="AX14" s="3">
        <f t="shared" si="30"/>
        <v>0.11922250135844131</v>
      </c>
      <c r="AY14" s="35">
        <f t="shared" si="31"/>
        <v>0.16523285375703783</v>
      </c>
      <c r="BD14" s="130"/>
      <c r="BE14" s="125"/>
      <c r="BF14" s="3">
        <f t="shared" si="32"/>
        <v>-0.84827448175650988</v>
      </c>
      <c r="BG14" s="3">
        <f t="shared" si="33"/>
        <v>0.16644688172280447</v>
      </c>
      <c r="BH14" s="3">
        <f t="shared" si="34"/>
        <v>36.095135237997731</v>
      </c>
      <c r="BI14" s="3">
        <f t="shared" si="99"/>
        <v>15.316992283208558</v>
      </c>
      <c r="BJ14" s="35">
        <f t="shared" si="35"/>
        <v>-0.4862001578519245</v>
      </c>
      <c r="BL14" s="3" t="s">
        <v>324</v>
      </c>
      <c r="BM14" s="3">
        <f>IF(Model_effect_size_measure="Risk Difference",CES_IV+ABS(TINV((1-Confidence_level),k_-1))*SQRT(T2_+SECES_Risk_Difference^2),EXP(PIlnCES_UL))</f>
        <v>1.1093373508766942</v>
      </c>
      <c r="BO14" s="123"/>
      <c r="BP14" s="3">
        <f t="shared" si="36"/>
        <v>21.759429153924568</v>
      </c>
      <c r="BQ14" s="3">
        <f t="shared" si="37"/>
        <v>50.821610601427118</v>
      </c>
      <c r="BR14" s="3">
        <f t="shared" si="38"/>
        <v>6.6468660582324786</v>
      </c>
      <c r="BS14" s="3">
        <f>IF(AND(Sufficient_data="Yes",Include_study?="Yes"),IF(Add_0_5="Yes",(a_+d_+1)*(ab_+0.5)*(c_+0.5)/(Number_of_subjects+2)^2,(a_+d_)*b_*c_/Number_of_subjects^2),"")</f>
        <v>15.524508301285415</v>
      </c>
      <c r="BT14" s="3">
        <f t="shared" si="39"/>
        <v>15.112563095692089</v>
      </c>
      <c r="BU14" s="3">
        <f t="shared" si="40"/>
        <v>35.297102300141702</v>
      </c>
      <c r="BV14" s="3">
        <f t="shared" si="41"/>
        <v>50.821610601427118</v>
      </c>
      <c r="BW14" s="3">
        <f t="shared" si="42"/>
        <v>8.3164750370433378</v>
      </c>
      <c r="BX14" s="3">
        <f t="shared" si="43"/>
        <v>16.900777793025501</v>
      </c>
      <c r="BY14" s="35">
        <f t="shared" si="44"/>
        <v>-0.48527999041271996</v>
      </c>
      <c r="CA14" s="3" t="s">
        <v>324</v>
      </c>
      <c r="CB14" s="3">
        <f>EXP(PIlnCES_UL_MH)</f>
        <v>1.0715778993210399</v>
      </c>
      <c r="CD14" s="123"/>
      <c r="CE14" s="76">
        <f t="shared" si="45"/>
        <v>107.06218144750255</v>
      </c>
      <c r="CF14" s="3">
        <f t="shared" si="46"/>
        <v>30.934572233783939</v>
      </c>
      <c r="CG14" s="3">
        <f t="shared" si="47"/>
        <v>-0.93947254960789373</v>
      </c>
      <c r="CH14" s="3">
        <f t="shared" si="48"/>
        <v>3.232629151754976E-2</v>
      </c>
      <c r="CI14" s="3">
        <f t="shared" si="49"/>
        <v>30.934572233783939</v>
      </c>
      <c r="CJ14" s="3">
        <f t="shared" si="50"/>
        <v>12.786832124062435</v>
      </c>
      <c r="CK14" s="35">
        <f t="shared" si="51"/>
        <v>-0.56965094893346468</v>
      </c>
      <c r="CM14" s="3" t="s">
        <v>324</v>
      </c>
      <c r="CN14" s="3">
        <f>EXP(PIlnCES_UL_Peto)</f>
        <v>1.153616280915323</v>
      </c>
      <c r="CP14" s="123"/>
      <c r="CQ14" s="52">
        <f t="shared" si="52"/>
        <v>8.4726867335562991E-2</v>
      </c>
      <c r="CS14" s="2" t="s">
        <v>305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0.44380465219614862</v>
      </c>
      <c r="CU14" s="3">
        <f>IF(Model_effect_size_measure="Odds Ratio",PICES_LL_MH/(1-MEDIAN(Control_group_risk)+(MEDIAN(Control_group_risk)*PICES_LL_MH)),"")</f>
        <v>0.45841261742306727</v>
      </c>
      <c r="CV14" s="3" t="str">
        <f>IF(Model_effect_size_measure="Peto Odds Ratio",PICES_LL_Peto/(1-MEDIAN(Control_group_risk)+(MEDIAN(Control_group_risk)*PICES_LL_Peto)),"")</f>
        <v/>
      </c>
      <c r="CX14" s="130"/>
      <c r="CY14" s="48">
        <f t="shared" si="53"/>
        <v>4</v>
      </c>
      <c r="CZ14" s="6" t="str">
        <f t="shared" si="54"/>
        <v>Liu et al.</v>
      </c>
      <c r="DA14" s="17" t="str">
        <f t="shared" si="55"/>
        <v>Audio</v>
      </c>
      <c r="DB14" s="3">
        <f t="shared" si="56"/>
        <v>-0.84827448175650988</v>
      </c>
      <c r="DC14" s="3">
        <f t="shared" si="57"/>
        <v>0.16644688172280447</v>
      </c>
      <c r="DD14" s="3">
        <f t="shared" si="58"/>
        <v>36.095135237997731</v>
      </c>
      <c r="DE14" s="3">
        <f t="shared" si="59"/>
        <v>14.977040410227678</v>
      </c>
      <c r="DF14" s="80">
        <f t="shared" si="60"/>
        <v>0.13757608660933893</v>
      </c>
      <c r="DG14" s="3">
        <f t="shared" si="61"/>
        <v>0.42815308087291398</v>
      </c>
      <c r="DH14" s="3">
        <f t="shared" si="62"/>
        <v>0.30893059362407876</v>
      </c>
      <c r="DI14" s="3">
        <f t="shared" si="63"/>
        <v>0.59338590752858356</v>
      </c>
      <c r="DJ14" s="35">
        <f t="shared" si="64"/>
        <v>-0.47584898831106881</v>
      </c>
      <c r="DL14" s="44">
        <f t="shared" si="65"/>
        <v>0.42815308087291398</v>
      </c>
      <c r="DM14" s="3">
        <f t="shared" si="100"/>
        <v>0.11922248724883522</v>
      </c>
      <c r="DN14" s="35">
        <f t="shared" si="101"/>
        <v>0.16523282665566957</v>
      </c>
      <c r="DP14" s="48" t="str">
        <f t="shared" si="102"/>
        <v/>
      </c>
      <c r="DQ14" s="17" t="str">
        <f>IF(AND(Sufficient_data="Yes",Subgroup&lt;&gt;""),IF(COUNTIFS(Input!J$2:J12,"="&amp;"Yes",Input!C$2:C12,"="&amp;"Yes",Input!K$2:K12,"="&amp;Subgroup)&gt;0,"",Subgroup),"")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325</v>
      </c>
      <c r="EY14" s="3" t="e">
        <f>IF(Subgroup_valid_options="Yes",IF(Subgroup_effect_size_measure="Risk Difference",EY9+ABS(TINV((1-Subgroup_confidence_level),Subgroup_k-1))*SQRT(EY10^2+EY35),EXP(EY7)),"")</f>
        <v>#VALUE!</v>
      </c>
      <c r="FA14" s="130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30"/>
      <c r="FS14" s="125"/>
      <c r="FT14" s="76">
        <f>IF(AND(Include_study?="Yes",Sufficient_data="Yes"),IF(Additional_weighting_method="Inverse Variance",1/'Publication Bias Analysis'!F:F^2,IF(Additional_weighting_method="Mantel-Haenszel",Weightf_MH,Weightf_Peto)),"")</f>
        <v>36.095135237997731</v>
      </c>
      <c r="FU14" s="3">
        <f>IF(AND(Include_study?="Yes",Sufficient_data="Yes"),1/('Publication Bias Analysis'!F:F^2+IF(Additional_model="Fixed effect",0,Calculations!GH$12)),"")</f>
        <v>36.095135237997731</v>
      </c>
      <c r="FV14" s="3">
        <f>IF(AND(Include_study?="Yes",Sufficient_data="Yes"),1/('Publication Bias Analysis'!F:F^2+IF(Additional_model="Fixed effect",0,'Publication Bias Analysis'!L$32)),"")</f>
        <v>36.095135237997731</v>
      </c>
      <c r="FW14" s="3">
        <f>IF(AND(Include_study?="Yes",Sufficient_data="Yes"),'Publication Bias Analysis'!E:E-'Publication Bias Analysis'!I$37,"")</f>
        <v>-0.47551601136925664</v>
      </c>
      <c r="FX14" s="3">
        <f>IF(AND(Include_study?="Yes",Sufficient_data="Yes"),IF(Additional_model="Fixed effect",1/'Publication Bias Analysis'!F:F,1/SQRT('Publication Bias Analysis'!F:F^2+GH$12)),"")</f>
        <v>6.0079227057276405</v>
      </c>
      <c r="FY14" s="3">
        <f>IF(AND(Include_study?="Yes",Sufficient_data="Yes"),IF(Additional_model="Fixed effect",'Publication Bias Analysis'!E:E/'Publication Bias Analysis'!F:F,'Publication Bias Analysis'!E:E/SQRT('Publication Bias Analysis'!F:F^2+GH$12)),"")</f>
        <v>-5.096367519634283</v>
      </c>
      <c r="FZ14" s="6">
        <f t="shared" si="80"/>
        <v>11</v>
      </c>
      <c r="GA14" s="83">
        <f>IF(AND(Include_study?="Yes",Sufficient_data="Yes"),FZ:FZ+IF(GL:GL&lt;0,-1,1)*COUNTIF(FZ$2:FZ13,FZ:FZ),"")</f>
        <v>11</v>
      </c>
      <c r="GB14" s="83">
        <f>IF(AND(Include_study?="Yes",Sufficient_data="Yes"),RANK(GP:GP,GP:GP,1)*IF(GO:GO&lt;0,-1,1)+IF(GO:GO&lt;0,-1,1)*COUNTIF(FZ$2:FZ13,FZ:FZ),"")</f>
        <v>11</v>
      </c>
      <c r="GC14" s="83">
        <f>IF(AND(Include_study?="Yes",Sufficient_data="Yes"),RANK(GS:GS,GS:GS,1)*IF(GR:GR&lt;0,-1,1)+IF(GR:GR&lt;0,-1,1)*COUNTIF(FZ$2:FZ13,FZ:FZ),"")</f>
        <v>11</v>
      </c>
      <c r="GD14" s="3">
        <f>IF(AND(Include_study?="Yes",Sufficient_data="Yes"),'Publication Bias Analysis'!E14,NA())</f>
        <v>-0.84827448175650988</v>
      </c>
      <c r="GE14" s="35">
        <f>IF(AND(Include_study?="Yes",Sufficient_data="Yes"),'Publication Bias Analysis'!F14,NA())</f>
        <v>0.16644688172280447</v>
      </c>
      <c r="GG14" s="107" t="s">
        <v>326</v>
      </c>
      <c r="GH14" s="107"/>
      <c r="GK14" s="123"/>
      <c r="GL14" s="76">
        <f>IF(AND(Include_study?="Yes",Sufficient_data="Yes"),IF('Publication Bias Analysis'!L$38="Left",'Publication Bias Analysis'!E:E-'Publication Bias Analysis'!I$29,'Publication Bias Analysis'!I$29-'Publication Bias Analysis'!E:E),"")</f>
        <v>0.47551601136925664</v>
      </c>
      <c r="GM14" s="3">
        <f t="shared" si="81"/>
        <v>0.47551601136925664</v>
      </c>
      <c r="GN14" s="35">
        <f>IF(AND(Include_study?="Yes",Sufficient_data="Yes"),IF(AND(Additional_weighting_method="Mantel-Haenszel",Additional_model="Fixed effect"),Weightf_MH,1/('Publication Bias Analysis'!F:F^2+IF(Additional_model="Fixed effect",0,GW$6))),"")</f>
        <v>36.095135237997731</v>
      </c>
      <c r="GO14" s="3">
        <f>IF(AND(Include_study?="Yes",Sufficient_data="Yes"),IF('Publication Bias Analysis'!L$38="Left",'Publication Bias Analysis'!E:E-GW$3,GW$3-'Publication Bias Analysis'!E:E),"")</f>
        <v>0.47551601136925664</v>
      </c>
      <c r="GP14" s="3">
        <f t="shared" si="82"/>
        <v>0.47551601136925664</v>
      </c>
      <c r="GQ14" s="35">
        <f>IF(AND(Include_study?="Yes",Sufficient_data="Yes"),IF(AND(Additional_weighting_method="Mantel-Haenszel",Additional_model="Fixed effect"),Weightf_MH,1/('Publication Bias Analysis'!F:F^2+IF(Additional_model="Fixed effect",0,GW$13))),"")</f>
        <v>36.095135237997731</v>
      </c>
      <c r="GR14" s="3">
        <f>IF(AND(Include_study?="Yes",Sufficient_data="Yes"),IF('Publication Bias Analysis'!L$38="Left",'Publication Bias Analysis'!E:E-GW$10,GW$10-'Publication Bias Analysis'!E:E),"")</f>
        <v>0.47551601136925664</v>
      </c>
      <c r="GS14" s="3">
        <f t="shared" si="83"/>
        <v>0.47551601136925664</v>
      </c>
      <c r="GT14" s="35">
        <f>IF(AND(Include_study?="Yes",Sufficient_data="Yes"),IF(AND(Additional_weighting_method="Mantel-Haenszel",Additional_model="Fixed effect"),Weightf_MH,1/('Publication Bias Analysis'!F:F^2+IF(Additional_model="Fixed effect",0,GW$20))),"")</f>
        <v>36.095135237997731</v>
      </c>
      <c r="GV14" s="36" t="s">
        <v>311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23"/>
      <c r="HL14" s="3">
        <f t="shared" si="89"/>
        <v>0.47851282909234083</v>
      </c>
      <c r="HM14" s="35">
        <f>IF(AND(Include_study?="Yes",Sufficient_data="Yes"),Z_score-('Publication Bias Analysis'!P$3+'Publication Bias Analysis'!P$4*Inverse_standard_error),"")</f>
        <v>-2.4613062887711035</v>
      </c>
      <c r="HO14" s="123"/>
      <c r="HP14" s="3">
        <f>IF(AND(Include_study?="Yes",Sufficient_data="Yes"),(GD:GD-SUMPRODUCT(Calculations!FT:FT,'Publication Bias Analysis'!E:E)/SUM(Calculations!FT:FT))/SQRT(Calculations!HQ:HQ),"")</f>
        <v>-3.0217881651305927</v>
      </c>
      <c r="HQ14" s="3">
        <f>IF(AND(Include_study?="Yes",Sufficient_data="Yes"),GE:GE^2-1/SUM(Calculations!FT:FT),"")</f>
        <v>2.4762942995016288E-2</v>
      </c>
      <c r="HR14" s="6">
        <f t="shared" si="90"/>
        <v>11</v>
      </c>
      <c r="HS14" s="6">
        <f t="shared" si="91"/>
        <v>9</v>
      </c>
      <c r="HT14" s="6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>8</v>
      </c>
      <c r="HU14" s="57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>2</v>
      </c>
      <c r="HW14" s="123"/>
      <c r="HX14" s="2" t="s">
        <v>320</v>
      </c>
      <c r="HY14" s="21">
        <f>ROUND(HY13/4,1)</f>
        <v>0.8</v>
      </c>
      <c r="IB14" s="123"/>
      <c r="IC14" s="76">
        <f t="shared" si="92"/>
        <v>3.8123167155425221E-2</v>
      </c>
      <c r="ID14" s="3">
        <f t="shared" si="93"/>
        <v>8.4726867335562991E-2</v>
      </c>
      <c r="IE14" s="3">
        <f t="shared" si="94"/>
        <v>41.025940952962493</v>
      </c>
      <c r="IF14" s="35">
        <f t="shared" si="95"/>
        <v>36.095135237997731</v>
      </c>
      <c r="IK14" s="123"/>
      <c r="IL14" s="3">
        <f>IF(AND(Include_study?="Yes",Sufficient_data="Yes"),'Publication Bias Analysis'!AV:AV,NA())</f>
        <v>-5.096367519634283</v>
      </c>
      <c r="IM14" s="3">
        <f>IF(AND(Sufficient_data="Yes",Include_study?="Yes"),'Publication Bias Analysis'!AU:AU,NA())</f>
        <v>6.0079227057276405</v>
      </c>
      <c r="IN14" s="3">
        <f t="shared" si="96"/>
        <v>0.47851282909234083</v>
      </c>
      <c r="IO14" s="35">
        <f>IF(AND(Include_study?="Yes",Sufficient_data="Yes"),Z_score-('Publication Bias Analysis'!AY$30+'Publication Bias Analysis'!AY$31*Inverse_standard_error),"")</f>
        <v>-2.8568634416424001</v>
      </c>
      <c r="IU14" s="123"/>
      <c r="IV14" s="6">
        <f>IF('Publication Bias Analysis'!BG:BG&lt;&gt;"",RANK('Publication Bias Analysis'!BG:BG,'Publication Bias Analysis'!BG:BG,1)+COUNTIF('Publication Bias Analysis'!BG$2:BG13,'Publication Bias Analysis'!BG14),"")</f>
        <v>1</v>
      </c>
      <c r="IW14" s="3">
        <f t="shared" si="97"/>
        <v>5.8823529411764712E-2</v>
      </c>
      <c r="IX14" s="3">
        <f>IF('Publication Bias Analysis'!BF14&lt;&gt;"",'Publication Bias Analysis'!BF14,NA())</f>
        <v>-1.5647264713617985</v>
      </c>
      <c r="IY14" s="3">
        <f>IF('Publication Bias Analysis'!BG14&lt;&gt;"",'Publication Bias Analysis'!BG14,NA())</f>
        <v>-5.096367519634283</v>
      </c>
      <c r="IZ14" s="3">
        <f>IF(AND(Include_study?="Yes",Sufficient_data="Yes"),'Publication Bias Analysis'!BF:BF-AVERAGE('Publication Bias Analysis'!BF:BF),"")</f>
        <v>-1.5647264713617979</v>
      </c>
      <c r="JA14" s="35">
        <f>IF(AND(Include_study?="Yes",Sufficient_data="Yes"),'Publication Bias Analysis'!BG:BG-('Publication Bias Analysis'!BJ$30+'Publication Bias Analysis'!BJ$31*'Publication Bias Analysis'!BF:BF),"")</f>
        <v>-0.56073120760181361</v>
      </c>
      <c r="JG14" s="123"/>
      <c r="JH14" s="3">
        <f t="shared" si="98"/>
        <v>-5.096367519634283</v>
      </c>
      <c r="JI14" s="10">
        <f t="shared" si="124"/>
        <v>1.731163298268612E-7</v>
      </c>
      <c r="JJ14" s="35">
        <f t="shared" si="125"/>
        <v>-15.569302041681336</v>
      </c>
    </row>
    <row r="15" spans="1:270" ht="12" customHeight="1">
      <c r="A15" s="2">
        <f t="shared" si="0"/>
        <v>5</v>
      </c>
      <c r="B15" s="6">
        <f>IF(AND(Include_study?="Yes",Sufficient_data="Yes"),IF(Input!a_&lt;&gt;"",Input!a_,Input!n1_-Input!b_),"")</f>
        <v>48</v>
      </c>
      <c r="C15" s="6">
        <f>IF(AND(Include_study?="Yes",Sufficient_data="Yes"),IF(Input!b_&lt;&gt;"",Input!b_,Input!n1_-Input!a_),"")</f>
        <v>2007</v>
      </c>
      <c r="D15" s="6">
        <f>IF(AND(Include_study?="Yes",Sufficient_data="Yes"),IF(Input!c_&lt;&gt;"",Input!c_,Input!n2_-Input!d_),"")</f>
        <v>63.65</v>
      </c>
      <c r="E15" s="6">
        <f>IF(AND(Include_study?="Yes",Sufficient_data="Yes"),IF(Input!d_&lt;&gt;"",Input!d_,Input!n2_-Input!c_),"")</f>
        <v>2260.35</v>
      </c>
      <c r="F15" s="35" t="str">
        <f t="shared" si="1"/>
        <v>No</v>
      </c>
      <c r="H15" s="130"/>
      <c r="I15" s="125"/>
      <c r="J15" s="76">
        <f t="shared" si="2"/>
        <v>0.84931960447937316</v>
      </c>
      <c r="K15" s="3">
        <f t="shared" si="3"/>
        <v>-0.16331971535958975</v>
      </c>
      <c r="L15" s="3">
        <f t="shared" si="4"/>
        <v>0.19361022154607277</v>
      </c>
      <c r="M15" s="3">
        <f t="shared" si="5"/>
        <v>0.58106436849312681</v>
      </c>
      <c r="N15" s="35">
        <f t="shared" si="6"/>
        <v>1.2414180419006906</v>
      </c>
      <c r="P15" s="123"/>
      <c r="Q15" s="76">
        <f t="shared" si="7"/>
        <v>0.85029099766893901</v>
      </c>
      <c r="R15" s="3">
        <f t="shared" si="8"/>
        <v>0.19207920651624164</v>
      </c>
      <c r="S15" s="3">
        <f t="shared" si="9"/>
        <v>0.58347766984587845</v>
      </c>
      <c r="T15" s="35">
        <f t="shared" si="10"/>
        <v>1.2391130253670439</v>
      </c>
      <c r="V15" s="123"/>
      <c r="W15" s="76">
        <f t="shared" si="11"/>
        <v>-4.0304596906918615E-3</v>
      </c>
      <c r="X15" s="3">
        <f t="shared" si="12"/>
        <v>4.750043285482509E-3</v>
      </c>
      <c r="Y15" s="3">
        <f t="shared" si="13"/>
        <v>-1.334294861053748E-2</v>
      </c>
      <c r="Z15" s="35">
        <f t="shared" si="14"/>
        <v>5.2820292291537573E-3</v>
      </c>
      <c r="AB15" s="123"/>
      <c r="AC15" s="76">
        <f t="shared" si="15"/>
        <v>0.85283914656452653</v>
      </c>
      <c r="AD15" s="3">
        <f t="shared" si="16"/>
        <v>-0.1591843230540578</v>
      </c>
      <c r="AE15" s="3">
        <f t="shared" si="17"/>
        <v>0.18875206440795964</v>
      </c>
      <c r="AF15" s="3">
        <f t="shared" si="18"/>
        <v>0.5890560727025359</v>
      </c>
      <c r="AG15" s="35">
        <f t="shared" si="19"/>
        <v>1.2347459666716696</v>
      </c>
      <c r="AI15" s="130"/>
      <c r="AJ1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5</v>
      </c>
      <c r="AK15" s="6">
        <f>IF(AJ15&lt;&gt;"",IF(AJ15=0,COUNTIF(AJ$2:AJ14,0)+1,COUNTIF(AJ$2:AJ14,AJ15)+AJ15+COUNTIF(AJ:AJ,0)),"")</f>
        <v>5</v>
      </c>
      <c r="AL15" s="6">
        <f t="shared" si="20"/>
        <v>5</v>
      </c>
      <c r="AM15" s="3" t="str">
        <f>IF(AND(Include_study?="Yes",Sufficient_data="Yes",Input!Study_name&lt;&gt;""),Input!Study_name,"")</f>
        <v>Liu et al.</v>
      </c>
      <c r="AN15" s="6">
        <f t="shared" si="21"/>
        <v>4379</v>
      </c>
      <c r="AO15" s="3">
        <f t="shared" si="22"/>
        <v>0.84931960447937316</v>
      </c>
      <c r="AP15" s="3">
        <f t="shared" si="23"/>
        <v>26.677396039958285</v>
      </c>
      <c r="AQ15" s="3">
        <f t="shared" si="24"/>
        <v>13.321375635321932</v>
      </c>
      <c r="AR15" s="3">
        <f t="shared" si="25"/>
        <v>0.19361022154607277</v>
      </c>
      <c r="AS15" s="3">
        <f t="shared" si="26"/>
        <v>0.58106436849312681</v>
      </c>
      <c r="AT15" s="3">
        <f t="shared" si="27"/>
        <v>1.2414180419006906</v>
      </c>
      <c r="AU15" s="80">
        <f t="shared" si="28"/>
        <v>8.5610876881058132E-2</v>
      </c>
      <c r="AW15" s="44">
        <f t="shared" si="29"/>
        <v>0.84931960447937316</v>
      </c>
      <c r="AX15" s="3">
        <f t="shared" si="30"/>
        <v>0.26825523598624634</v>
      </c>
      <c r="AY15" s="35">
        <f t="shared" si="31"/>
        <v>0.39209843742131745</v>
      </c>
      <c r="BD15" s="130"/>
      <c r="BE15" s="125"/>
      <c r="BF15" s="3">
        <f t="shared" si="32"/>
        <v>-0.16331971535958975</v>
      </c>
      <c r="BG15" s="3">
        <f t="shared" si="33"/>
        <v>0.19361022154607277</v>
      </c>
      <c r="BH15" s="3">
        <f t="shared" si="34"/>
        <v>26.677396039958285</v>
      </c>
      <c r="BI15" s="3">
        <f t="shared" si="99"/>
        <v>13.321375635321932</v>
      </c>
      <c r="BJ15" s="35">
        <f t="shared" si="35"/>
        <v>0.19875460854499563</v>
      </c>
      <c r="BO15" s="123"/>
      <c r="BP15" s="3">
        <f t="shared" si="36"/>
        <v>24.776615665677092</v>
      </c>
      <c r="BQ15" s="3">
        <f t="shared" si="37"/>
        <v>29.172311029915505</v>
      </c>
      <c r="BR15" s="3">
        <f t="shared" si="38"/>
        <v>13.060767474735263</v>
      </c>
      <c r="BS15" s="3">
        <f>IF(AND(Sufficient_data="Yes",Include_study?="Yes"),IF(Add_0_5="Yes",(a_+d_+1)*(ab_+0.5)*(c_+0.5)/(Number_of_subjects+2)^2,(a_+d_)*b_*c_/Number_of_subjects^2),"")</f>
        <v>15.377918284061536</v>
      </c>
      <c r="BT15" s="3">
        <f t="shared" si="39"/>
        <v>11.715848190941832</v>
      </c>
      <c r="BU15" s="3">
        <f t="shared" si="40"/>
        <v>13.794392745853973</v>
      </c>
      <c r="BV15" s="3">
        <f t="shared" si="41"/>
        <v>29.172311029915505</v>
      </c>
      <c r="BW15" s="3">
        <f t="shared" si="42"/>
        <v>1.1205736786084828</v>
      </c>
      <c r="BX15" s="3">
        <f t="shared" si="43"/>
        <v>14.503425634573425</v>
      </c>
      <c r="BY15" s="35">
        <f t="shared" si="44"/>
        <v>0.19967477598420016</v>
      </c>
      <c r="CD15" s="123"/>
      <c r="CE15" s="76">
        <f t="shared" si="45"/>
        <v>52.395695364238414</v>
      </c>
      <c r="CF15" s="3">
        <f t="shared" si="46"/>
        <v>27.104368554539729</v>
      </c>
      <c r="CG15" s="3">
        <f t="shared" si="47"/>
        <v>-0.16217663788748091</v>
      </c>
      <c r="CH15" s="3">
        <f t="shared" si="48"/>
        <v>3.6894421575908998E-2</v>
      </c>
      <c r="CI15" s="3">
        <f t="shared" si="49"/>
        <v>27.104368554539729</v>
      </c>
      <c r="CJ15" s="3">
        <f t="shared" si="50"/>
        <v>12.081149103622886</v>
      </c>
      <c r="CK15" s="35">
        <f t="shared" si="51"/>
        <v>0.20764496278694808</v>
      </c>
      <c r="CP15" s="123"/>
      <c r="CQ15" s="52">
        <f t="shared" si="52"/>
        <v>2.7388123924268502E-2</v>
      </c>
      <c r="CS15" s="2" t="s">
        <v>310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1.1060253084131237</v>
      </c>
      <c r="CU15" s="3">
        <f>IF(Model_effect_size_measure="Odds Ratio",PICES_UL_MH/(1-MEDIAN(Control_group_risk)+(MEDIAN(Control_group_risk)*PICES_UL_MH)),"")</f>
        <v>1.0694813048796277</v>
      </c>
      <c r="CV15" s="3" t="str">
        <f>IF(Model_effect_size_measure="Peto Odds Ratio",PICES_UL_Peto/(1-MEDIAN(Control_group_risk)+(MEDIAN(Control_group_risk)*PICES_UL_Peto)),"")</f>
        <v/>
      </c>
      <c r="CX15" s="130"/>
      <c r="CY15" s="48">
        <f t="shared" si="53"/>
        <v>5</v>
      </c>
      <c r="CZ15" s="6" t="str">
        <f t="shared" si="54"/>
        <v>Liu et al.</v>
      </c>
      <c r="DA15" s="17" t="str">
        <f t="shared" si="55"/>
        <v>Audio</v>
      </c>
      <c r="DB15" s="3">
        <f t="shared" si="56"/>
        <v>-0.16331971535958975</v>
      </c>
      <c r="DC15" s="3">
        <f t="shared" si="57"/>
        <v>0.19361022154607277</v>
      </c>
      <c r="DD15" s="3">
        <f t="shared" si="58"/>
        <v>26.677396039958285</v>
      </c>
      <c r="DE15" s="3">
        <f t="shared" si="59"/>
        <v>13.063490533900142</v>
      </c>
      <c r="DF15" s="80">
        <f t="shared" si="60"/>
        <v>0.11999860158518487</v>
      </c>
      <c r="DG15" s="3">
        <f t="shared" si="61"/>
        <v>0.84931960447937316</v>
      </c>
      <c r="DH15" s="3">
        <f t="shared" si="62"/>
        <v>0.5810643824279299</v>
      </c>
      <c r="DI15" s="3">
        <f t="shared" si="63"/>
        <v>1.2414180121296077</v>
      </c>
      <c r="DJ15" s="35">
        <f t="shared" si="64"/>
        <v>0.20910577808585132</v>
      </c>
      <c r="DL15" s="44">
        <f t="shared" si="65"/>
        <v>0.84931960447937316</v>
      </c>
      <c r="DM15" s="3">
        <f t="shared" si="100"/>
        <v>0.26825522205144325</v>
      </c>
      <c r="DN15" s="35">
        <f t="shared" si="101"/>
        <v>0.39209840765023452</v>
      </c>
      <c r="DP15" s="48" t="str">
        <f t="shared" si="102"/>
        <v/>
      </c>
      <c r="DQ15" s="17" t="str">
        <f>IF(AND(Sufficient_data="Yes",Subgroup&lt;&gt;""),IF(COUNTIFS(Input!J$2:J12,"="&amp;"Yes",Input!C$2:C12,"="&amp;"Yes",Input!K$2:K12,"="&amp;Subgroup)&gt;0,"",Subgroup),"")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30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30"/>
      <c r="FS15" s="125"/>
      <c r="FT15" s="76">
        <f>IF(AND(Include_study?="Yes",Sufficient_data="Yes"),IF(Additional_weighting_method="Inverse Variance",1/'Publication Bias Analysis'!F:F^2,IF(Additional_weighting_method="Mantel-Haenszel",Weightf_MH,Weightf_Peto)),"")</f>
        <v>26.677396039958285</v>
      </c>
      <c r="FU15" s="3">
        <f>IF(AND(Include_study?="Yes",Sufficient_data="Yes"),1/('Publication Bias Analysis'!F:F^2+IF(Additional_model="Fixed effect",0,Calculations!GH$12)),"")</f>
        <v>26.677396039958285</v>
      </c>
      <c r="FV15" s="3">
        <f>IF(AND(Include_study?="Yes",Sufficient_data="Yes"),1/('Publication Bias Analysis'!F:F^2+IF(Additional_model="Fixed effect",0,'Publication Bias Analysis'!L$32)),"")</f>
        <v>26.677396039958285</v>
      </c>
      <c r="FW15" s="3">
        <f>IF(AND(Include_study?="Yes",Sufficient_data="Yes"),'Publication Bias Analysis'!E:E-'Publication Bias Analysis'!I$37,"")</f>
        <v>0.20943875502766349</v>
      </c>
      <c r="FX15" s="3">
        <f>IF(AND(Include_study?="Yes",Sufficient_data="Yes"),IF(Additional_model="Fixed effect",1/'Publication Bias Analysis'!F:F,1/SQRT('Publication Bias Analysis'!F:F^2+GH$12)),"")</f>
        <v>5.1650165575686477</v>
      </c>
      <c r="FY15" s="3">
        <f>IF(AND(Include_study?="Yes",Sufficient_data="Yes"),IF(Additional_model="Fixed effect",'Publication Bias Analysis'!E:E/'Publication Bias Analysis'!F:F,'Publication Bias Analysis'!E:E/SQRT('Publication Bias Analysis'!F:F^2+GH$12)),"")</f>
        <v>-0.84354903400967962</v>
      </c>
      <c r="FZ15" s="6">
        <f t="shared" si="80"/>
        <v>-8</v>
      </c>
      <c r="GA15" s="83">
        <f>IF(AND(Include_study?="Yes",Sufficient_data="Yes"),FZ:FZ+IF(GL:GL&lt;0,-1,1)*COUNTIF(FZ$2:FZ14,FZ:FZ),"")</f>
        <v>-8</v>
      </c>
      <c r="GB15" s="83">
        <f>IF(AND(Include_study?="Yes",Sufficient_data="Yes"),RANK(GP:GP,GP:GP,1)*IF(GO:GO&lt;0,-1,1)+IF(GO:GO&lt;0,-1,1)*COUNTIF(FZ$2:FZ14,FZ:FZ),"")</f>
        <v>-8</v>
      </c>
      <c r="GC15" s="83">
        <f>IF(AND(Include_study?="Yes",Sufficient_data="Yes"),RANK(GS:GS,GS:GS,1)*IF(GR:GR&lt;0,-1,1)+IF(GR:GR&lt;0,-1,1)*COUNTIF(FZ$2:FZ14,FZ:FZ),"")</f>
        <v>-8</v>
      </c>
      <c r="GD15" s="3">
        <f>IF(AND(Include_study?="Yes",Sufficient_data="Yes"),'Publication Bias Analysis'!E15,NA())</f>
        <v>-0.16331971535958975</v>
      </c>
      <c r="GE15" s="35">
        <f>IF(AND(Include_study?="Yes",Sufficient_data="Yes"),'Publication Bias Analysis'!F15,NA())</f>
        <v>0.19361022154607277</v>
      </c>
      <c r="GG15" s="2" t="s">
        <v>327</v>
      </c>
      <c r="GH15" s="3">
        <f>IF(Additional_valid_options="Yes",'Publication Bias Analysis'!I29-'Publication Bias Analysis'!I31,NA())</f>
        <v>0.12084693572109245</v>
      </c>
      <c r="GK15" s="123"/>
      <c r="GL15" s="76">
        <f>IF(AND(Include_study?="Yes",Sufficient_data="Yes"),IF('Publication Bias Analysis'!L$38="Left",'Publication Bias Analysis'!E:E-'Publication Bias Analysis'!I$29,'Publication Bias Analysis'!I$29-'Publication Bias Analysis'!E:E),"")</f>
        <v>-0.20943875502766349</v>
      </c>
      <c r="GM15" s="3">
        <f t="shared" si="81"/>
        <v>0.20943875502766349</v>
      </c>
      <c r="GN15" s="35">
        <f>IF(AND(Include_study?="Yes",Sufficient_data="Yes"),IF(AND(Additional_weighting_method="Mantel-Haenszel",Additional_model="Fixed effect"),Weightf_MH,1/('Publication Bias Analysis'!F:F^2+IF(Additional_model="Fixed effect",0,GW$6))),"")</f>
        <v>26.677396039958285</v>
      </c>
      <c r="GO15" s="3">
        <f>IF(AND(Include_study?="Yes",Sufficient_data="Yes"),IF('Publication Bias Analysis'!L$38="Left",'Publication Bias Analysis'!E:E-GW$3,GW$3-'Publication Bias Analysis'!E:E),"")</f>
        <v>-0.20943875502766349</v>
      </c>
      <c r="GP15" s="3">
        <f t="shared" si="82"/>
        <v>0.20943875502766349</v>
      </c>
      <c r="GQ15" s="35">
        <f>IF(AND(Include_study?="Yes",Sufficient_data="Yes"),IF(AND(Additional_weighting_method="Mantel-Haenszel",Additional_model="Fixed effect"),Weightf_MH,1/('Publication Bias Analysis'!F:F^2+IF(Additional_model="Fixed effect",0,GW$13))),"")</f>
        <v>26.677396039958285</v>
      </c>
      <c r="GR15" s="3">
        <f>IF(AND(Include_study?="Yes",Sufficient_data="Yes"),IF('Publication Bias Analysis'!L$38="Left",'Publication Bias Analysis'!E:E-GW$10,GW$10-'Publication Bias Analysis'!E:E),"")</f>
        <v>-0.20943875502766349</v>
      </c>
      <c r="GS15" s="3">
        <f t="shared" si="83"/>
        <v>0.20943875502766349</v>
      </c>
      <c r="GT15" s="35">
        <f>IF(AND(Include_study?="Yes",Sufficient_data="Yes"),IF(AND(Additional_weighting_method="Mantel-Haenszel",Additional_model="Fixed effect"),Weightf_MH,1/('Publication Bias Analysis'!F:F^2+IF(Additional_model="Fixed effect",0,GW$20))),"")</f>
        <v>26.677396039958285</v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23"/>
      <c r="HL15" s="3">
        <f t="shared" si="89"/>
        <v>-0.36439331906665196</v>
      </c>
      <c r="HM15" s="35">
        <f>IF(AND(Include_study?="Yes",Sufficient_data="Yes"),Z_score-('Publication Bias Analysis'!P$3+'Publication Bias Analysis'!P$4*Inverse_standard_error),"")</f>
        <v>0.68123219585457417</v>
      </c>
      <c r="HO15" s="123"/>
      <c r="HP15" s="3">
        <f>IF(AND(Include_study?="Yes",Sufficient_data="Yes"),(GD:GD-SUMPRODUCT(Calculations!FT:FT,'Publication Bias Analysis'!E:E)/SUM(Calculations!FT:FT))/SQRT(Calculations!HQ:HQ),"")</f>
        <v>1.1268734787626615</v>
      </c>
      <c r="HQ15" s="3">
        <f>IF(AND(Include_study?="Yes",Sufficient_data="Yes"),GE:GE^2-1/SUM(Calculations!FT:FT),"")</f>
        <v>3.4543296446890401E-2</v>
      </c>
      <c r="HR15" s="6">
        <f t="shared" si="90"/>
        <v>2</v>
      </c>
      <c r="HS15" s="6">
        <f t="shared" si="91"/>
        <v>3</v>
      </c>
      <c r="HT15" s="6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>7</v>
      </c>
      <c r="HU15" s="57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>3</v>
      </c>
      <c r="HW15" s="123"/>
      <c r="IB15" s="123"/>
      <c r="IC15" s="76">
        <f t="shared" si="92"/>
        <v>2.3357664233576641E-2</v>
      </c>
      <c r="ID15" s="3">
        <f t="shared" si="93"/>
        <v>2.7388123924268502E-2</v>
      </c>
      <c r="IE15" s="3">
        <f t="shared" si="94"/>
        <v>28.068330359894787</v>
      </c>
      <c r="IF15" s="35">
        <f t="shared" si="95"/>
        <v>26.677396039958285</v>
      </c>
      <c r="IK15" s="123"/>
      <c r="IL15" s="3">
        <f>IF(AND(Include_study?="Yes",Sufficient_data="Yes"),'Publication Bias Analysis'!AV:AV,NA())</f>
        <v>-0.84354903400967962</v>
      </c>
      <c r="IM15" s="3">
        <f>IF(AND(Sufficient_data="Yes",Include_study?="Yes"),'Publication Bias Analysis'!AU:AU,NA())</f>
        <v>5.1650165575686477</v>
      </c>
      <c r="IN15" s="3">
        <f t="shared" si="96"/>
        <v>-0.36439331906665196</v>
      </c>
      <c r="IO15" s="35">
        <f>IF(AND(Include_study?="Yes",Sufficient_data="Yes"),Z_score-('Publication Bias Analysis'!AY$30+'Publication Bias Analysis'!AY$31*Inverse_standard_error),"")</f>
        <v>1.0817546375144458</v>
      </c>
      <c r="IU15" s="123"/>
      <c r="IV15" s="6">
        <f>IF('Publication Bias Analysis'!BG:BG&lt;&gt;"",RANK('Publication Bias Analysis'!BG:BG,'Publication Bias Analysis'!BG:BG,1)+COUNTIF('Publication Bias Analysis'!BG$2:BG14,'Publication Bias Analysis'!BG15),"")</f>
        <v>10</v>
      </c>
      <c r="IW15" s="3">
        <f t="shared" si="97"/>
        <v>0.85294117647058809</v>
      </c>
      <c r="IX15" s="3">
        <f>IF('Publication Bias Analysis'!BF15&lt;&gt;"",'Publication Bias Analysis'!BF15,NA())</f>
        <v>1.0491313979639678</v>
      </c>
      <c r="IY15" s="3">
        <f>IF('Publication Bias Analysis'!BG15&lt;&gt;"",'Publication Bias Analysis'!BG15,NA())</f>
        <v>-0.84354903400967962</v>
      </c>
      <c r="IZ15" s="3">
        <f>IF(AND(Include_study?="Yes",Sufficient_data="Yes"),'Publication Bias Analysis'!BF:BF-AVERAGE('Publication Bias Analysis'!BF:BF),"")</f>
        <v>1.0491313979639685</v>
      </c>
      <c r="JA15" s="35">
        <f>IF(AND(Include_study?="Yes",Sufficient_data="Yes"),'Publication Bias Analysis'!BG:BG-('Publication Bias Analysis'!BJ$30+'Publication Bias Analysis'!BJ$31*'Publication Bias Analysis'!BF:BF),"")</f>
        <v>-0.53570988218301441</v>
      </c>
      <c r="JG15" s="123"/>
      <c r="JH15" s="3">
        <f t="shared" si="98"/>
        <v>-0.84354903400967962</v>
      </c>
      <c r="JI15" s="10">
        <f t="shared" si="124"/>
        <v>0.19946072721907515</v>
      </c>
      <c r="JJ15" s="35">
        <f t="shared" si="125"/>
        <v>-1.6121379180756494</v>
      </c>
    </row>
    <row r="16" spans="1:270">
      <c r="A16" s="2">
        <f t="shared" si="0"/>
        <v>6</v>
      </c>
      <c r="B16" s="6">
        <f>IF(AND(Include_study?="Yes",Sufficient_data="Yes"),IF(Input!a_&lt;&gt;"",Input!a_,Input!n1_-Input!b_),"")</f>
        <v>49.14</v>
      </c>
      <c r="C16" s="6">
        <f>IF(AND(Include_study?="Yes",Sufficient_data="Yes"),IF(Input!b_&lt;&gt;"",Input!b_,Input!n1_-Input!a_),"")</f>
        <v>4769.8599999999997</v>
      </c>
      <c r="D16" s="6">
        <f>IF(AND(Include_study?="Yes",Sufficient_data="Yes"),IF(Input!c_&lt;&gt;"",Input!c_,Input!n2_-Input!d_),"")</f>
        <v>28.65</v>
      </c>
      <c r="E16" s="6">
        <f>IF(AND(Include_study?="Yes",Sufficient_data="Yes"),IF(Input!d_&lt;&gt;"",Input!d_,Input!n2_-Input!c_),"")</f>
        <v>2223.35</v>
      </c>
      <c r="F16" s="35" t="str">
        <f t="shared" si="1"/>
        <v>No</v>
      </c>
      <c r="H16" s="130"/>
      <c r="I16" s="125"/>
      <c r="J16" s="76">
        <f t="shared" si="2"/>
        <v>0.79948943368507008</v>
      </c>
      <c r="K16" s="3">
        <f t="shared" si="3"/>
        <v>-0.22378196294922076</v>
      </c>
      <c r="L16" s="3">
        <f t="shared" si="4"/>
        <v>0.23646026264803963</v>
      </c>
      <c r="M16" s="3">
        <f t="shared" si="5"/>
        <v>0.50292464658483527</v>
      </c>
      <c r="N16" s="35">
        <f t="shared" si="6"/>
        <v>1.2709326514707886</v>
      </c>
      <c r="P16" s="123"/>
      <c r="Q16" s="76">
        <f t="shared" si="7"/>
        <v>0.79292319132103706</v>
      </c>
      <c r="R16" s="3">
        <f t="shared" si="8"/>
        <v>0.24469647729534591</v>
      </c>
      <c r="S16" s="3">
        <f t="shared" si="9"/>
        <v>0.49080551274190498</v>
      </c>
      <c r="T16" s="35">
        <f t="shared" si="10"/>
        <v>1.2810108505553002</v>
      </c>
      <c r="V16" s="123"/>
      <c r="W16" s="76">
        <f t="shared" si="11"/>
        <v>-2.5248885314457983E-3</v>
      </c>
      <c r="X16" s="3">
        <f t="shared" si="12"/>
        <v>2.7698000615253939E-3</v>
      </c>
      <c r="Y16" s="3">
        <f t="shared" si="13"/>
        <v>-7.9545265644084678E-3</v>
      </c>
      <c r="Z16" s="35">
        <f t="shared" si="14"/>
        <v>2.9047495015168704E-3</v>
      </c>
      <c r="AB16" s="123"/>
      <c r="AC16" s="76">
        <f t="shared" si="15"/>
        <v>0.80153406726645937</v>
      </c>
      <c r="AD16" s="3">
        <f t="shared" si="16"/>
        <v>-0.22122780344846735</v>
      </c>
      <c r="AE16" s="3">
        <f t="shared" si="17"/>
        <v>0.23367171982531323</v>
      </c>
      <c r="AF16" s="3">
        <f t="shared" si="18"/>
        <v>0.50697459297314773</v>
      </c>
      <c r="AG16" s="35">
        <f t="shared" si="19"/>
        <v>1.2672368002132628</v>
      </c>
      <c r="AI16" s="130"/>
      <c r="AJ16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6</v>
      </c>
      <c r="AK16" s="6">
        <f>IF(AJ16&lt;&gt;"",IF(AJ16=0,COUNTIF(AJ$2:AJ15,0)+1,COUNTIF(AJ$2:AJ15,AJ16)+AJ16+COUNTIF(AJ:AJ,0)),"")</f>
        <v>6</v>
      </c>
      <c r="AL16" s="6">
        <f t="shared" si="20"/>
        <v>6</v>
      </c>
      <c r="AM16" s="3" t="str">
        <f>IF(AND(Include_study?="Yes",Sufficient_data="Yes",Input!Study_name&lt;&gt;""),Input!Study_name,"")</f>
        <v>Liu et al.</v>
      </c>
      <c r="AN16" s="6">
        <f t="shared" si="21"/>
        <v>7071</v>
      </c>
      <c r="AO16" s="3">
        <f t="shared" si="22"/>
        <v>0.79948943368507008</v>
      </c>
      <c r="AP16" s="3">
        <f t="shared" si="23"/>
        <v>17.88478257129827</v>
      </c>
      <c r="AQ16" s="3">
        <f t="shared" si="24"/>
        <v>10.695660708732742</v>
      </c>
      <c r="AR16" s="3">
        <f t="shared" si="25"/>
        <v>0.23646026264803963</v>
      </c>
      <c r="AS16" s="3">
        <f t="shared" si="26"/>
        <v>0.50292464658483527</v>
      </c>
      <c r="AT16" s="3">
        <f t="shared" si="27"/>
        <v>1.2709326514707886</v>
      </c>
      <c r="AU16" s="80">
        <f t="shared" si="28"/>
        <v>6.8736511690953545E-2</v>
      </c>
      <c r="AW16" s="44">
        <f t="shared" si="29"/>
        <v>0.79948943368507008</v>
      </c>
      <c r="AX16" s="3">
        <f t="shared" si="30"/>
        <v>0.29656478710023482</v>
      </c>
      <c r="AY16" s="35">
        <f t="shared" si="31"/>
        <v>0.47144321778571852</v>
      </c>
      <c r="BD16" s="130"/>
      <c r="BE16" s="125"/>
      <c r="BF16" s="3">
        <f t="shared" si="32"/>
        <v>-0.22378196294922076</v>
      </c>
      <c r="BG16" s="3">
        <f t="shared" si="33"/>
        <v>0.23646026264803963</v>
      </c>
      <c r="BH16" s="3">
        <f t="shared" si="34"/>
        <v>17.88478257129827</v>
      </c>
      <c r="BI16" s="3">
        <f t="shared" si="99"/>
        <v>10.695660708732742</v>
      </c>
      <c r="BJ16" s="35">
        <f t="shared" si="35"/>
        <v>0.13829236095536462</v>
      </c>
      <c r="BL16" s="3" t="s">
        <v>59</v>
      </c>
      <c r="BM16" s="3">
        <f>IF(Model_effect_size_measure="Risk Difference",CES_IV/SECES_Risk_Difference,lnCES_IV/SElnCES)</f>
        <v>-4.6253226669172287</v>
      </c>
      <c r="BO16" s="123"/>
      <c r="BP16" s="3">
        <f t="shared" si="36"/>
        <v>15.451197708952057</v>
      </c>
      <c r="BQ16" s="3">
        <f t="shared" si="37"/>
        <v>19.326331353415355</v>
      </c>
      <c r="BR16" s="3">
        <f t="shared" si="38"/>
        <v>4.9657321852095118</v>
      </c>
      <c r="BS16" s="3">
        <f>IF(AND(Sufficient_data="Yes",Include_study?="Yes"),IF(Add_0_5="Yes",(a_+d_+1)*(ab_+0.5)*(c_+0.5)/(Number_of_subjects+2)^2,(a_+d_)*b_*c_/Number_of_subjects^2),"")</f>
        <v>6.2111292232106994</v>
      </c>
      <c r="BT16" s="3">
        <f t="shared" si="39"/>
        <v>10.485465523742544</v>
      </c>
      <c r="BU16" s="3">
        <f t="shared" si="40"/>
        <v>13.115202130204654</v>
      </c>
      <c r="BV16" s="3">
        <f t="shared" si="41"/>
        <v>19.326331353415355</v>
      </c>
      <c r="BW16" s="3">
        <f t="shared" si="42"/>
        <v>0.37337681461547334</v>
      </c>
      <c r="BX16" s="3">
        <f t="shared" si="43"/>
        <v>11.444559037393368</v>
      </c>
      <c r="BY16" s="35">
        <f t="shared" si="44"/>
        <v>0.13921252839456916</v>
      </c>
      <c r="CA16" s="3" t="s">
        <v>59</v>
      </c>
      <c r="CB16" s="3">
        <f>lnCES_OddsRatio_MH/SElnCES_MH</f>
        <v>-4.6292370377959875</v>
      </c>
      <c r="CD16" s="123"/>
      <c r="CE16" s="76">
        <f t="shared" si="45"/>
        <v>53.01513364446329</v>
      </c>
      <c r="CF16" s="3">
        <f t="shared" si="46"/>
        <v>16.701080355936185</v>
      </c>
      <c r="CG16" s="3">
        <f t="shared" si="47"/>
        <v>-0.23202892039771086</v>
      </c>
      <c r="CH16" s="3">
        <f t="shared" si="48"/>
        <v>5.9876366000751732E-2</v>
      </c>
      <c r="CI16" s="3">
        <f t="shared" si="49"/>
        <v>16.701080355936185</v>
      </c>
      <c r="CJ16" s="3">
        <f t="shared" si="50"/>
        <v>9.4557705193751467</v>
      </c>
      <c r="CK16" s="35">
        <f t="shared" si="51"/>
        <v>0.13779268027671812</v>
      </c>
      <c r="CM16" s="3" t="s">
        <v>59</v>
      </c>
      <c r="CN16" s="3">
        <f>lnCES_PetoOddsRatio/SElnCES_Peto</f>
        <v>-4.397429542974594</v>
      </c>
      <c r="CP16" s="123"/>
      <c r="CQ16" s="52">
        <f t="shared" si="52"/>
        <v>1.272202486678508E-2</v>
      </c>
      <c r="CX16" s="130"/>
      <c r="CY16" s="48">
        <f t="shared" si="53"/>
        <v>6</v>
      </c>
      <c r="CZ16" s="6" t="str">
        <f t="shared" si="54"/>
        <v>Liu et al.</v>
      </c>
      <c r="DA16" s="17" t="str">
        <f t="shared" si="55"/>
        <v>Audio</v>
      </c>
      <c r="DB16" s="3">
        <f t="shared" si="56"/>
        <v>-0.22378196294922076</v>
      </c>
      <c r="DC16" s="3">
        <f t="shared" si="57"/>
        <v>0.23646026264803963</v>
      </c>
      <c r="DD16" s="3">
        <f t="shared" si="58"/>
        <v>17.88478257129827</v>
      </c>
      <c r="DE16" s="3">
        <f t="shared" si="59"/>
        <v>10.528780954568846</v>
      </c>
      <c r="DF16" s="80">
        <f t="shared" si="60"/>
        <v>9.6715268225312997E-2</v>
      </c>
      <c r="DG16" s="3">
        <f t="shared" si="61"/>
        <v>0.79948943368507008</v>
      </c>
      <c r="DH16" s="3">
        <f t="shared" si="62"/>
        <v>0.50292465223153893</v>
      </c>
      <c r="DI16" s="3">
        <f t="shared" si="63"/>
        <v>1.2709326372010965</v>
      </c>
      <c r="DJ16" s="35">
        <f t="shared" si="64"/>
        <v>0.14864353049622031</v>
      </c>
      <c r="DL16" s="44">
        <f t="shared" si="65"/>
        <v>0.79948943368507008</v>
      </c>
      <c r="DM16" s="3">
        <f t="shared" si="100"/>
        <v>0.29656478145353116</v>
      </c>
      <c r="DN16" s="35">
        <f t="shared" si="101"/>
        <v>0.47144320351602642</v>
      </c>
      <c r="DP16" s="48" t="e">
        <f t="shared" si="102"/>
        <v>#VALUE!</v>
      </c>
      <c r="DQ16" s="17" t="e">
        <f>IF(AND(Sufficient_data="Yes",Subgroup&lt;&gt;""),IF(COUNTIFS(Input!J$2:J13,"="&amp;"Yes",Input!C$2:C12,"="&amp;"Yes",Input!K$2:K13,"="&amp;Subgroup)&gt;0,"",Subgroup),"")</f>
        <v>#VALUE!</v>
      </c>
      <c r="DR16" s="6" t="e">
        <f t="shared" si="103"/>
        <v>#VALUE!</v>
      </c>
      <c r="DS16" s="6" t="e">
        <f t="shared" si="66"/>
        <v>#VALUE!</v>
      </c>
      <c r="DT16" s="3" t="e">
        <f t="shared" si="67"/>
        <v>#VALUE!</v>
      </c>
      <c r="DU16" s="10" t="e">
        <f t="shared" si="104"/>
        <v>#VALUE!</v>
      </c>
      <c r="DV16" s="9" t="e">
        <f t="shared" si="105"/>
        <v>#VALUE!</v>
      </c>
      <c r="DW16" s="10" t="e">
        <f t="shared" si="68"/>
        <v>#VALUE!</v>
      </c>
      <c r="DX16" s="3" t="e">
        <f t="shared" si="69"/>
        <v>#VALUE!</v>
      </c>
      <c r="DY16" s="3" t="e">
        <f t="shared" si="106"/>
        <v>#VALUE!</v>
      </c>
      <c r="DZ16" s="3" t="e">
        <f t="shared" si="70"/>
        <v>#VALUE!</v>
      </c>
      <c r="EA16" s="3" t="e">
        <f t="shared" si="71"/>
        <v>#VALUE!</v>
      </c>
      <c r="EB16" s="6" t="e">
        <f t="shared" si="72"/>
        <v>#VALUE!</v>
      </c>
      <c r="EC16" s="3" t="e">
        <f t="shared" si="107"/>
        <v>#VALUE!</v>
      </c>
      <c r="ED16" s="3" t="e">
        <f t="shared" si="108"/>
        <v>#VALUE!</v>
      </c>
      <c r="EE16" s="3" t="e">
        <f t="shared" si="109"/>
        <v>#VALUE!</v>
      </c>
      <c r="EF16" s="3" t="e">
        <f t="shared" si="110"/>
        <v>#VALUE!</v>
      </c>
      <c r="EG16" s="3" t="e">
        <f t="shared" si="111"/>
        <v>#VALUE!</v>
      </c>
      <c r="EH16" s="3" t="e">
        <f t="shared" si="112"/>
        <v>#VALUE!</v>
      </c>
      <c r="EI16" s="3" t="e">
        <f t="shared" si="113"/>
        <v>#VALUE!</v>
      </c>
      <c r="EJ16" s="3" t="e">
        <f t="shared" si="114"/>
        <v>#VALUE!</v>
      </c>
      <c r="EK16" s="3" t="e">
        <f t="shared" si="73"/>
        <v>#VALUE!</v>
      </c>
      <c r="EL16" s="3" t="e">
        <f t="shared" si="115"/>
        <v>#VALUE!</v>
      </c>
      <c r="EM16" s="3" t="e">
        <f t="shared" si="116"/>
        <v>#VALUE!</v>
      </c>
      <c r="EN16" s="3" t="e">
        <f t="shared" si="117"/>
        <v>#VALUE!</v>
      </c>
      <c r="EO16" s="3" t="e">
        <f t="shared" si="118"/>
        <v>#VALUE!</v>
      </c>
      <c r="EP16" s="3" t="e">
        <f t="shared" si="74"/>
        <v>#VALUE!</v>
      </c>
      <c r="EQ16" s="3" t="e">
        <f t="shared" si="119"/>
        <v>#VALUE!</v>
      </c>
      <c r="ER16" s="9" t="e">
        <f t="shared" si="120"/>
        <v>#VALUE!</v>
      </c>
      <c r="ES16" s="3" t="e">
        <f t="shared" si="121"/>
        <v>#VALUE!</v>
      </c>
      <c r="ET16" s="3" t="e">
        <f t="shared" si="122"/>
        <v>#VALUE!</v>
      </c>
      <c r="EU16" s="3" t="e">
        <f t="shared" si="75"/>
        <v>#VALUE!</v>
      </c>
      <c r="EV16" s="35" t="e">
        <f t="shared" si="76"/>
        <v>#VALUE!</v>
      </c>
      <c r="EX16" s="107" t="s">
        <v>328</v>
      </c>
      <c r="EY16" s="107"/>
      <c r="FA16" s="130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30"/>
      <c r="FS16" s="125"/>
      <c r="FT16" s="76">
        <f>IF(AND(Include_study?="Yes",Sufficient_data="Yes"),IF(Additional_weighting_method="Inverse Variance",1/'Publication Bias Analysis'!F:F^2,IF(Additional_weighting_method="Mantel-Haenszel",Weightf_MH,Weightf_Peto)),"")</f>
        <v>17.88478257129827</v>
      </c>
      <c r="FU16" s="3">
        <f>IF(AND(Include_study?="Yes",Sufficient_data="Yes"),1/('Publication Bias Analysis'!F:F^2+IF(Additional_model="Fixed effect",0,Calculations!GH$12)),"")</f>
        <v>17.88478257129827</v>
      </c>
      <c r="FV16" s="3">
        <f>IF(AND(Include_study?="Yes",Sufficient_data="Yes"),1/('Publication Bias Analysis'!F:F^2+IF(Additional_model="Fixed effect",0,'Publication Bias Analysis'!L$32)),"")</f>
        <v>17.88478257129827</v>
      </c>
      <c r="FW16" s="3">
        <f>IF(AND(Include_study?="Yes",Sufficient_data="Yes"),'Publication Bias Analysis'!E:E-'Publication Bias Analysis'!I$37,"")</f>
        <v>0.14897650743803248</v>
      </c>
      <c r="FX16" s="3">
        <f>IF(AND(Include_study?="Yes",Sufficient_data="Yes"),IF(Additional_model="Fixed effect",1/'Publication Bias Analysis'!F:F,1/SQRT('Publication Bias Analysis'!F:F^2+GH$12)),"")</f>
        <v>4.2290403842122712</v>
      </c>
      <c r="FY16" s="3">
        <f>IF(AND(Include_study?="Yes",Sufficient_data="Yes"),IF(Additional_model="Fixed effect",'Publication Bias Analysis'!E:E/'Publication Bias Analysis'!F:F,'Publication Bias Analysis'!E:E/SQRT('Publication Bias Analysis'!F:F^2+GH$12)),"")</f>
        <v>-0.94638295857054877</v>
      </c>
      <c r="FZ16" s="6">
        <f t="shared" si="80"/>
        <v>-4</v>
      </c>
      <c r="GA16" s="83">
        <f>IF(AND(Include_study?="Yes",Sufficient_data="Yes"),FZ:FZ+IF(GL:GL&lt;0,-1,1)*COUNTIF(FZ$2:FZ15,FZ:FZ),"")</f>
        <v>-4</v>
      </c>
      <c r="GB16" s="83">
        <f>IF(AND(Include_study?="Yes",Sufficient_data="Yes"),RANK(GP:GP,GP:GP,1)*IF(GO:GO&lt;0,-1,1)+IF(GO:GO&lt;0,-1,1)*COUNTIF(FZ$2:FZ15,FZ:FZ),"")</f>
        <v>-4</v>
      </c>
      <c r="GC16" s="83">
        <f>IF(AND(Include_study?="Yes",Sufficient_data="Yes"),RANK(GS:GS,GS:GS,1)*IF(GR:GR&lt;0,-1,1)+IF(GR:GR&lt;0,-1,1)*COUNTIF(FZ$2:FZ15,FZ:FZ),"")</f>
        <v>-4</v>
      </c>
      <c r="GD16" s="3">
        <f>IF(AND(Include_study?="Yes",Sufficient_data="Yes"),'Publication Bias Analysis'!E16,NA())</f>
        <v>-0.22378196294922076</v>
      </c>
      <c r="GE16" s="35">
        <f>IF(AND(Include_study?="Yes",Sufficient_data="Yes"),'Publication Bias Analysis'!F16,NA())</f>
        <v>0.23646026264803963</v>
      </c>
      <c r="GG16" s="2" t="s">
        <v>329</v>
      </c>
      <c r="GH16" s="3">
        <f>IF(Additional_valid_options="Yes",'Publication Bias Analysis'!I29-'Publication Bias Analysis'!I33,NA())</f>
        <v>0.44853727891043654</v>
      </c>
      <c r="GK16" s="123"/>
      <c r="GL16" s="76">
        <f>IF(AND(Include_study?="Yes",Sufficient_data="Yes"),IF('Publication Bias Analysis'!L$38="Left",'Publication Bias Analysis'!E:E-'Publication Bias Analysis'!I$29,'Publication Bias Analysis'!I$29-'Publication Bias Analysis'!E:E),"")</f>
        <v>-0.14897650743803248</v>
      </c>
      <c r="GM16" s="3">
        <f t="shared" si="81"/>
        <v>0.14897650743803248</v>
      </c>
      <c r="GN16" s="35">
        <f>IF(AND(Include_study?="Yes",Sufficient_data="Yes"),IF(AND(Additional_weighting_method="Mantel-Haenszel",Additional_model="Fixed effect"),Weightf_MH,1/('Publication Bias Analysis'!F:F^2+IF(Additional_model="Fixed effect",0,GW$6))),"")</f>
        <v>17.88478257129827</v>
      </c>
      <c r="GO16" s="3">
        <f>IF(AND(Include_study?="Yes",Sufficient_data="Yes"),IF('Publication Bias Analysis'!L$38="Left",'Publication Bias Analysis'!E:E-GW$3,GW$3-'Publication Bias Analysis'!E:E),"")</f>
        <v>-0.14897650743803248</v>
      </c>
      <c r="GP16" s="3">
        <f t="shared" si="82"/>
        <v>0.14897650743803248</v>
      </c>
      <c r="GQ16" s="35">
        <f>IF(AND(Include_study?="Yes",Sufficient_data="Yes"),IF(AND(Additional_weighting_method="Mantel-Haenszel",Additional_model="Fixed effect"),Weightf_MH,1/('Publication Bias Analysis'!F:F^2+IF(Additional_model="Fixed effect",0,GW$13))),"")</f>
        <v>17.88478257129827</v>
      </c>
      <c r="GR16" s="3">
        <f>IF(AND(Include_study?="Yes",Sufficient_data="Yes"),IF('Publication Bias Analysis'!L$38="Left",'Publication Bias Analysis'!E:E-GW$10,GW$10-'Publication Bias Analysis'!E:E),"")</f>
        <v>-0.14897650743803248</v>
      </c>
      <c r="GS16" s="3">
        <f t="shared" si="83"/>
        <v>0.14897650743803248</v>
      </c>
      <c r="GT16" s="35">
        <f>IF(AND(Include_study?="Yes",Sufficient_data="Yes"),IF(AND(Additional_weighting_method="Mantel-Haenszel",Additional_model="Fixed effect"),Weightf_MH,1/('Publication Bias Analysis'!F:F^2+IF(Additional_model="Fixed effect",0,GW$20))),"")</f>
        <v>17.88478257129827</v>
      </c>
      <c r="GV16" s="107" t="s">
        <v>110</v>
      </c>
      <c r="GW16" s="107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23"/>
      <c r="HL16" s="3">
        <f t="shared" si="89"/>
        <v>-1.3003694924230285</v>
      </c>
      <c r="HM16" s="35">
        <f>IF(AND(Include_study?="Yes",Sufficient_data="Yes"),Z_score-('Publication Bias Analysis'!P$3+'Publication Bias Analysis'!P$4*Inverse_standard_error),"")</f>
        <v>-0.65447401105803116</v>
      </c>
      <c r="HO16" s="123"/>
      <c r="HP16" s="3">
        <f>IF(AND(Include_study?="Yes",Sufficient_data="Yes"),(GD:GD-SUMPRODUCT(Calculations!FT:FT,'Publication Bias Analysis'!E:E)/SUM(Calculations!FT:FT))/SQRT(Calculations!HQ:HQ),"")</f>
        <v>0.64728461165037698</v>
      </c>
      <c r="HQ16" s="3">
        <f>IF(AND(Include_study?="Yes",Sufficient_data="Yes"),GE:GE^2-1/SUM(Calculations!FT:FT),"")</f>
        <v>5.2971834371350911E-2</v>
      </c>
      <c r="HR16" s="6">
        <f t="shared" si="90"/>
        <v>5</v>
      </c>
      <c r="HS16" s="6">
        <f t="shared" si="91"/>
        <v>1</v>
      </c>
      <c r="HT16" s="6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>6</v>
      </c>
      <c r="HU16" s="57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>4</v>
      </c>
      <c r="HW16" s="123"/>
      <c r="IB16" s="123"/>
      <c r="IC16" s="76">
        <f t="shared" si="92"/>
        <v>1.0197136335339281E-2</v>
      </c>
      <c r="ID16" s="3">
        <f t="shared" si="93"/>
        <v>1.272202486678508E-2</v>
      </c>
      <c r="IE16" s="3">
        <f t="shared" si="94"/>
        <v>18.314188928421448</v>
      </c>
      <c r="IF16" s="35">
        <f t="shared" si="95"/>
        <v>17.88478257129827</v>
      </c>
      <c r="IK16" s="123"/>
      <c r="IL16" s="3">
        <f>IF(AND(Include_study?="Yes",Sufficient_data="Yes"),'Publication Bias Analysis'!AV:AV,NA())</f>
        <v>-0.94638295857054877</v>
      </c>
      <c r="IM16" s="3">
        <f>IF(AND(Sufficient_data="Yes",Include_study?="Yes"),'Publication Bias Analysis'!AU:AU,NA())</f>
        <v>4.2290403842122712</v>
      </c>
      <c r="IN16" s="3">
        <f t="shared" si="96"/>
        <v>-1.3003694924230285</v>
      </c>
      <c r="IO16" s="35">
        <f>IF(AND(Include_study?="Yes",Sufficient_data="Yes"),Z_score-('Publication Bias Analysis'!AY$30+'Publication Bias Analysis'!AY$31*Inverse_standard_error),"")</f>
        <v>0.63002766625433915</v>
      </c>
      <c r="IU16" s="123"/>
      <c r="IV16" s="6">
        <f>IF('Publication Bias Analysis'!BG:BG&lt;&gt;"",RANK('Publication Bias Analysis'!BG:BG,'Publication Bias Analysis'!BG:BG,1)+COUNTIF('Publication Bias Analysis'!BG$2:BG15,'Publication Bias Analysis'!BG16),"")</f>
        <v>9</v>
      </c>
      <c r="IW16" s="3">
        <f t="shared" si="97"/>
        <v>0.76470588235294112</v>
      </c>
      <c r="IX16" s="3">
        <f>IF('Publication Bias Analysis'!BF16&lt;&gt;"",'Publication Bias Analysis'!BF16,NA())</f>
        <v>0.72152228398234308</v>
      </c>
      <c r="IY16" s="3">
        <f>IF('Publication Bias Analysis'!BG16&lt;&gt;"",'Publication Bias Analysis'!BG16,NA())</f>
        <v>-0.94638295857054877</v>
      </c>
      <c r="IZ16" s="3">
        <f>IF(AND(Include_study?="Yes",Sufficient_data="Yes"),'Publication Bias Analysis'!BF:BF-AVERAGE('Publication Bias Analysis'!BF:BF),"")</f>
        <v>0.72152228398234364</v>
      </c>
      <c r="JA16" s="35">
        <f>IF(AND(Include_study?="Yes",Sufficient_data="Yes"),'Publication Bias Analysis'!BG:BG-('Publication Bias Analysis'!BJ$30+'Publication Bias Analysis'!BJ$31*'Publication Bias Analysis'!BF:BF),"")</f>
        <v>-0.10865084737409036</v>
      </c>
      <c r="JG16" s="123"/>
      <c r="JH16" s="3">
        <f t="shared" si="98"/>
        <v>-0.94638295857054877</v>
      </c>
      <c r="JI16" s="10">
        <f t="shared" si="124"/>
        <v>0.17197664707186844</v>
      </c>
      <c r="JJ16" s="35">
        <f t="shared" si="125"/>
        <v>-1.7603965842246243</v>
      </c>
    </row>
    <row r="17" spans="1:270">
      <c r="A17" s="2">
        <f t="shared" si="0"/>
        <v>7</v>
      </c>
      <c r="B17" s="6">
        <f>IF(AND(Include_study?="Yes",Sufficient_data="Yes"),IF(Input!a_&lt;&gt;"",Input!a_,Input!n1_-Input!b_),"")</f>
        <v>64</v>
      </c>
      <c r="C17" s="6">
        <f>IF(AND(Include_study?="Yes",Sufficient_data="Yes"),IF(Input!b_&lt;&gt;"",Input!b_,Input!n1_-Input!a_),"")</f>
        <v>3280</v>
      </c>
      <c r="D17" s="6">
        <f>IF(AND(Include_study?="Yes",Sufficient_data="Yes"),IF(Input!c_&lt;&gt;"",Input!c_,Input!n2_-Input!d_),"")</f>
        <v>80.5</v>
      </c>
      <c r="E17" s="6">
        <f>IF(AND(Include_study?="Yes",Sufficient_data="Yes"),IF(Input!d_&lt;&gt;"",Input!d_,Input!n2_-Input!c_),"")</f>
        <v>2106.5</v>
      </c>
      <c r="F17" s="35" t="str">
        <f t="shared" si="1"/>
        <v>No</v>
      </c>
      <c r="H17" s="130"/>
      <c r="I17" s="125"/>
      <c r="J17" s="76">
        <f t="shared" si="2"/>
        <v>0.51058930465081054</v>
      </c>
      <c r="K17" s="3">
        <f t="shared" si="3"/>
        <v>-0.6721897210239639</v>
      </c>
      <c r="L17" s="3">
        <f t="shared" si="4"/>
        <v>0.16978503879488513</v>
      </c>
      <c r="M17" s="3">
        <f t="shared" si="5"/>
        <v>0.36603177010706317</v>
      </c>
      <c r="N17" s="35">
        <f t="shared" si="6"/>
        <v>0.71223718626266752</v>
      </c>
      <c r="P17" s="123"/>
      <c r="Q17" s="76">
        <f t="shared" si="7"/>
        <v>0.49939578447964694</v>
      </c>
      <c r="R17" s="3">
        <f t="shared" si="8"/>
        <v>0.17239372055148661</v>
      </c>
      <c r="S17" s="3">
        <f t="shared" si="9"/>
        <v>0.35618115724068117</v>
      </c>
      <c r="T17" s="35">
        <f t="shared" si="10"/>
        <v>0.70019467477758324</v>
      </c>
      <c r="V17" s="123"/>
      <c r="W17" s="76">
        <f t="shared" si="11"/>
        <v>-1.7669657370761985E-2</v>
      </c>
      <c r="X17" s="3">
        <f t="shared" si="12"/>
        <v>4.6717041322535515E-3</v>
      </c>
      <c r="Y17" s="3">
        <f t="shared" si="13"/>
        <v>-2.6828034087911377E-2</v>
      </c>
      <c r="Z17" s="35">
        <f t="shared" si="14"/>
        <v>-8.5112806536125941E-3</v>
      </c>
      <c r="AB17" s="123"/>
      <c r="AC17" s="76">
        <f t="shared" si="15"/>
        <v>0.51995601652352219</v>
      </c>
      <c r="AD17" s="3">
        <f t="shared" si="16"/>
        <v>-0.65401105459267028</v>
      </c>
      <c r="AE17" s="3">
        <f t="shared" si="17"/>
        <v>0.16520009024034651</v>
      </c>
      <c r="AF17" s="3">
        <f t="shared" si="18"/>
        <v>0.37611204887181993</v>
      </c>
      <c r="AG17" s="35">
        <f t="shared" si="19"/>
        <v>0.71881307692736751</v>
      </c>
      <c r="AI17" s="130"/>
      <c r="AJ17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7</v>
      </c>
      <c r="AK17" s="6">
        <f>IF(AJ17&lt;&gt;"",IF(AJ17=0,COUNTIF(AJ$2:AJ16,0)+1,COUNTIF(AJ$2:AJ16,AJ17)+AJ17+COUNTIF(AJ:AJ,0)),"")</f>
        <v>7</v>
      </c>
      <c r="AL17" s="6">
        <f t="shared" si="20"/>
        <v>7</v>
      </c>
      <c r="AM17" s="3" t="str">
        <f>IF(AND(Include_study?="Yes",Sufficient_data="Yes",Input!Study_name&lt;&gt;""),Input!Study_name,"")</f>
        <v>Mustaqeem et al. (A)</v>
      </c>
      <c r="AN17" s="6">
        <f t="shared" si="21"/>
        <v>5531</v>
      </c>
      <c r="AO17" s="3">
        <f t="shared" si="22"/>
        <v>0.51058930465081054</v>
      </c>
      <c r="AP17" s="3">
        <f t="shared" si="23"/>
        <v>34.689749486698794</v>
      </c>
      <c r="AQ17" s="3">
        <f t="shared" si="24"/>
        <v>15.058117420202555</v>
      </c>
      <c r="AR17" s="3">
        <f t="shared" si="25"/>
        <v>0.16978503879488513</v>
      </c>
      <c r="AS17" s="3">
        <f t="shared" si="26"/>
        <v>0.36603177010706317</v>
      </c>
      <c r="AT17" s="3">
        <f t="shared" si="27"/>
        <v>0.71223718626266752</v>
      </c>
      <c r="AU17" s="80">
        <f t="shared" si="28"/>
        <v>9.6772185682032497E-2</v>
      </c>
      <c r="AW17" s="44">
        <f t="shared" si="29"/>
        <v>0.51058930465081054</v>
      </c>
      <c r="AX17" s="3">
        <f t="shared" si="30"/>
        <v>0.14455753454374737</v>
      </c>
      <c r="AY17" s="35">
        <f t="shared" si="31"/>
        <v>0.20164788161185698</v>
      </c>
      <c r="BD17" s="130"/>
      <c r="BE17" s="125"/>
      <c r="BF17" s="3">
        <f t="shared" si="32"/>
        <v>-0.6721897210239639</v>
      </c>
      <c r="BG17" s="3">
        <f t="shared" si="33"/>
        <v>0.16978503879488513</v>
      </c>
      <c r="BH17" s="3">
        <f t="shared" si="34"/>
        <v>34.689749486698794</v>
      </c>
      <c r="BI17" s="3">
        <f t="shared" si="99"/>
        <v>15.058117420202555</v>
      </c>
      <c r="BJ17" s="35">
        <f t="shared" si="35"/>
        <v>-0.31011539711937852</v>
      </c>
      <c r="BO17" s="123"/>
      <c r="BP17" s="3">
        <f t="shared" si="36"/>
        <v>24.374615801844151</v>
      </c>
      <c r="BQ17" s="3">
        <f t="shared" si="37"/>
        <v>47.738202856626287</v>
      </c>
      <c r="BR17" s="3">
        <f t="shared" si="38"/>
        <v>9.5651968175560889</v>
      </c>
      <c r="BS17" s="3">
        <f>IF(AND(Sufficient_data="Yes",Include_study?="Yes"),IF(Add_0_5="Yes",(a_+d_+1)*(ab_+0.5)*(c_+0.5)/(Number_of_subjects+2)^2,(a_+d_)*b_*c_/Number_of_subjects^2),"")</f>
        <v>18.733641168017964</v>
      </c>
      <c r="BT17" s="3">
        <f t="shared" si="39"/>
        <v>14.809418984288062</v>
      </c>
      <c r="BU17" s="3">
        <f t="shared" si="40"/>
        <v>29.004561688608323</v>
      </c>
      <c r="BV17" s="3">
        <f t="shared" si="41"/>
        <v>47.738202856626287</v>
      </c>
      <c r="BW17" s="3">
        <f t="shared" si="42"/>
        <v>3.2041952708465278</v>
      </c>
      <c r="BX17" s="3">
        <f t="shared" si="43"/>
        <v>16.58614935604465</v>
      </c>
      <c r="BY17" s="35">
        <f t="shared" si="44"/>
        <v>-0.30919522968017399</v>
      </c>
      <c r="CD17" s="123"/>
      <c r="CE17" s="76">
        <f t="shared" si="45"/>
        <v>87.363587054782144</v>
      </c>
      <c r="CF17" s="3">
        <f t="shared" si="46"/>
        <v>33.647834159578842</v>
      </c>
      <c r="CG17" s="3">
        <f t="shared" si="47"/>
        <v>-0.69435634234220134</v>
      </c>
      <c r="CH17" s="3">
        <f t="shared" si="48"/>
        <v>2.9719594885584059E-2</v>
      </c>
      <c r="CI17" s="3">
        <f t="shared" si="49"/>
        <v>33.647834159578842</v>
      </c>
      <c r="CJ17" s="3">
        <f t="shared" si="50"/>
        <v>13.227730807952405</v>
      </c>
      <c r="CK17" s="35">
        <f t="shared" si="51"/>
        <v>-0.32453474166777235</v>
      </c>
      <c r="CP17" s="123"/>
      <c r="CQ17" s="52">
        <f t="shared" si="52"/>
        <v>3.6808413351623229E-2</v>
      </c>
      <c r="CS17" s="107" t="s">
        <v>180</v>
      </c>
      <c r="CT17" s="107"/>
      <c r="CU17" s="107"/>
      <c r="CV17" s="107"/>
      <c r="CX17" s="130"/>
      <c r="CY17" s="48">
        <f t="shared" si="53"/>
        <v>7</v>
      </c>
      <c r="CZ17" s="6" t="str">
        <f t="shared" si="54"/>
        <v>Mustaqeem et al. (A)</v>
      </c>
      <c r="DA17" s="17" t="str">
        <f t="shared" si="55"/>
        <v>Audio</v>
      </c>
      <c r="DB17" s="3">
        <f t="shared" si="56"/>
        <v>-0.6721897210239639</v>
      </c>
      <c r="DC17" s="3">
        <f t="shared" si="57"/>
        <v>0.16978503879488513</v>
      </c>
      <c r="DD17" s="3">
        <f t="shared" si="58"/>
        <v>34.689749486698794</v>
      </c>
      <c r="DE17" s="3">
        <f t="shared" si="59"/>
        <v>14.729436306938576</v>
      </c>
      <c r="DF17" s="80">
        <f t="shared" si="60"/>
        <v>0.13530164502235709</v>
      </c>
      <c r="DG17" s="3">
        <f t="shared" si="61"/>
        <v>0.51058930465081054</v>
      </c>
      <c r="DH17" s="3">
        <f t="shared" si="62"/>
        <v>0.36603177493094186</v>
      </c>
      <c r="DI17" s="3">
        <f t="shared" si="63"/>
        <v>0.71223717687619892</v>
      </c>
      <c r="DJ17" s="35">
        <f t="shared" si="64"/>
        <v>-0.29976422757852283</v>
      </c>
      <c r="DL17" s="44">
        <f t="shared" si="65"/>
        <v>0.51058930465081054</v>
      </c>
      <c r="DM17" s="3">
        <f t="shared" si="100"/>
        <v>0.14455752971986868</v>
      </c>
      <c r="DN17" s="35">
        <f t="shared" si="101"/>
        <v>0.20164787222538838</v>
      </c>
      <c r="DP17" s="48" t="str">
        <f t="shared" si="102"/>
        <v/>
      </c>
      <c r="DQ17" s="17" t="str">
        <f>IF(AND(Sufficient_data="Yes",Subgroup&lt;&gt;""),IF(COUNTIFS(Input!J$2:J13,"="&amp;"Yes",Input!C$2:C13,"="&amp;"Yes",Input!K$2:K13,"="&amp;Subgroup)&gt;0,"",Subgroup),"")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65</v>
      </c>
      <c r="EY17" s="3">
        <f>SUMPRODUCT(Subgroup_weightf,Subgroup_effect_size,Subgroup_effect_size)-SUMPRODUCT(Subgroup_weightf,Subgroup_effect_size)^2/SUM(Subgroup_weightf)</f>
        <v>21.569761009679056</v>
      </c>
      <c r="FA17" s="130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30"/>
      <c r="FS17" s="125"/>
      <c r="FT17" s="76">
        <f>IF(AND(Include_study?="Yes",Sufficient_data="Yes"),IF(Additional_weighting_method="Inverse Variance",1/'Publication Bias Analysis'!F:F^2,IF(Additional_weighting_method="Mantel-Haenszel",Weightf_MH,Weightf_Peto)),"")</f>
        <v>34.689749486698794</v>
      </c>
      <c r="FU17" s="3">
        <f>IF(AND(Include_study?="Yes",Sufficient_data="Yes"),1/('Publication Bias Analysis'!F:F^2+IF(Additional_model="Fixed effect",0,Calculations!GH$12)),"")</f>
        <v>34.689749486698794</v>
      </c>
      <c r="FV17" s="3">
        <f>IF(AND(Include_study?="Yes",Sufficient_data="Yes"),1/('Publication Bias Analysis'!F:F^2+IF(Additional_model="Fixed effect",0,'Publication Bias Analysis'!L$32)),"")</f>
        <v>34.689749486698794</v>
      </c>
      <c r="FW17" s="3">
        <f>IF(AND(Include_study?="Yes",Sufficient_data="Yes"),'Publication Bias Analysis'!E:E-'Publication Bias Analysis'!I$37,"")</f>
        <v>-0.29943125063671067</v>
      </c>
      <c r="FX17" s="3">
        <f>IF(AND(Include_study?="Yes",Sufficient_data="Yes"),IF(Additional_model="Fixed effect",1/'Publication Bias Analysis'!F:F,1/SQRT('Publication Bias Analysis'!F:F^2+GH$12)),"")</f>
        <v>5.8898004623840015</v>
      </c>
      <c r="FY17" s="3">
        <f>IF(AND(Include_study?="Yes",Sufficient_data="Yes"),IF(Additional_model="Fixed effect",'Publication Bias Analysis'!E:E/'Publication Bias Analysis'!F:F,'Publication Bias Analysis'!E:E/SQRT('Publication Bias Analysis'!F:F^2+GH$12)),"")</f>
        <v>-3.9590633296967153</v>
      </c>
      <c r="FZ17" s="6">
        <f t="shared" si="80"/>
        <v>9</v>
      </c>
      <c r="GA17" s="83">
        <f>IF(AND(Include_study?="Yes",Sufficient_data="Yes"),FZ:FZ+IF(GL:GL&lt;0,-1,1)*COUNTIF(FZ$2:FZ16,FZ:FZ),"")</f>
        <v>9</v>
      </c>
      <c r="GB17" s="83">
        <f>IF(AND(Include_study?="Yes",Sufficient_data="Yes"),RANK(GP:GP,GP:GP,1)*IF(GO:GO&lt;0,-1,1)+IF(GO:GO&lt;0,-1,1)*COUNTIF(FZ$2:FZ16,FZ:FZ),"")</f>
        <v>9</v>
      </c>
      <c r="GC17" s="83">
        <f>IF(AND(Include_study?="Yes",Sufficient_data="Yes"),RANK(GS:GS,GS:GS,1)*IF(GR:GR&lt;0,-1,1)+IF(GR:GR&lt;0,-1,1)*COUNTIF(FZ$2:FZ16,FZ:FZ),"")</f>
        <v>9</v>
      </c>
      <c r="GD17" s="3">
        <f>IF(AND(Include_study?="Yes",Sufficient_data="Yes"),'Publication Bias Analysis'!E17,NA())</f>
        <v>-0.6721897210239639</v>
      </c>
      <c r="GE17" s="35">
        <f>IF(AND(Include_study?="Yes",Sufficient_data="Yes"),'Publication Bias Analysis'!F17,NA())</f>
        <v>0.16978503879488513</v>
      </c>
      <c r="GG17" s="2" t="s">
        <v>330</v>
      </c>
      <c r="GH17" s="3">
        <f>IF(Additional_valid_options="Yes",MAX('Publication Bias Analysis'!F:F)*1.1,NA())</f>
        <v>0.2601062889128436</v>
      </c>
      <c r="GK17" s="123"/>
      <c r="GL17" s="76">
        <f>IF(AND(Include_study?="Yes",Sufficient_data="Yes"),IF('Publication Bias Analysis'!L$38="Left",'Publication Bias Analysis'!E:E-'Publication Bias Analysis'!I$29,'Publication Bias Analysis'!I$29-'Publication Bias Analysis'!E:E),"")</f>
        <v>0.29943125063671067</v>
      </c>
      <c r="GM17" s="3">
        <f t="shared" si="81"/>
        <v>0.29943125063671067</v>
      </c>
      <c r="GN17" s="35">
        <f>IF(AND(Include_study?="Yes",Sufficient_data="Yes"),IF(AND(Additional_weighting_method="Mantel-Haenszel",Additional_model="Fixed effect"),Weightf_MH,1/('Publication Bias Analysis'!F:F^2+IF(Additional_model="Fixed effect",0,GW$6))),"")</f>
        <v>34.689749486698794</v>
      </c>
      <c r="GO17" s="3">
        <f>IF(AND(Include_study?="Yes",Sufficient_data="Yes"),IF('Publication Bias Analysis'!L$38="Left",'Publication Bias Analysis'!E:E-GW$3,GW$3-'Publication Bias Analysis'!E:E),"")</f>
        <v>0.29943125063671067</v>
      </c>
      <c r="GP17" s="3">
        <f t="shared" si="82"/>
        <v>0.29943125063671067</v>
      </c>
      <c r="GQ17" s="35">
        <f>IF(AND(Include_study?="Yes",Sufficient_data="Yes"),IF(AND(Additional_weighting_method="Mantel-Haenszel",Additional_model="Fixed effect"),Weightf_MH,1/('Publication Bias Analysis'!F:F^2+IF(Additional_model="Fixed effect",0,GW$13))),"")</f>
        <v>34.689749486698794</v>
      </c>
      <c r="GR17" s="3">
        <f>IF(AND(Include_study?="Yes",Sufficient_data="Yes"),IF('Publication Bias Analysis'!L$38="Left",'Publication Bias Analysis'!E:E-GW$10,GW$10-'Publication Bias Analysis'!E:E),"")</f>
        <v>0.29943125063671067</v>
      </c>
      <c r="GS17" s="3">
        <f t="shared" si="83"/>
        <v>0.29943125063671067</v>
      </c>
      <c r="GT17" s="35">
        <f>IF(AND(Include_study?="Yes",Sufficient_data="Yes"),IF(AND(Additional_weighting_method="Mantel-Haenszel",Additional_model="Fixed effect"),Weightf_MH,1/('Publication Bias Analysis'!F:F^2+IF(Additional_model="Fixed effect",0,GW$20))),"")</f>
        <v>34.689749486698794</v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-0.37275847038725324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23"/>
      <c r="HL17" s="3">
        <f t="shared" si="89"/>
        <v>0.36039058574870175</v>
      </c>
      <c r="HM17" s="35">
        <f>IF(AND(Include_study?="Yes",Sufficient_data="Yes"),Z_score-('Publication Bias Analysis'!P$3+'Publication Bias Analysis'!P$4*Inverse_standard_error),"")</f>
        <v>-1.47959328148657</v>
      </c>
      <c r="HO17" s="123"/>
      <c r="HP17" s="3">
        <f>IF(AND(Include_study?="Yes",Sufficient_data="Yes"),(GD:GD-SUMPRODUCT(Calculations!FT:FT,'Publication Bias Analysis'!E:E)/SUM(Calculations!FT:FT))/SQRT(Calculations!HQ:HQ),"")</f>
        <v>-1.8611021228021838</v>
      </c>
      <c r="HQ17" s="3">
        <f>IF(AND(Include_study?="Yes",Sufficient_data="Yes"),GE:GE^2-1/SUM(Calculations!FT:FT),"")</f>
        <v>2.5885337958351674E-2</v>
      </c>
      <c r="HR17" s="6">
        <f t="shared" si="90"/>
        <v>10</v>
      </c>
      <c r="HS17" s="6">
        <f t="shared" si="91"/>
        <v>7</v>
      </c>
      <c r="HT17" s="6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>7</v>
      </c>
      <c r="HU17" s="57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>3</v>
      </c>
      <c r="HW17" s="123"/>
      <c r="IB17" s="123"/>
      <c r="IC17" s="76">
        <f t="shared" si="92"/>
        <v>1.9138755980861243E-2</v>
      </c>
      <c r="ID17" s="3">
        <f t="shared" si="93"/>
        <v>3.6808413351623229E-2</v>
      </c>
      <c r="IE17" s="3">
        <f t="shared" si="94"/>
        <v>36.642022711584218</v>
      </c>
      <c r="IF17" s="35">
        <f t="shared" si="95"/>
        <v>34.689749486698794</v>
      </c>
      <c r="IK17" s="123"/>
      <c r="IL17" s="3">
        <f>IF(AND(Include_study?="Yes",Sufficient_data="Yes"),'Publication Bias Analysis'!AV:AV,NA())</f>
        <v>-3.9590633296967153</v>
      </c>
      <c r="IM17" s="3">
        <f>IF(AND(Sufficient_data="Yes",Include_study?="Yes"),'Publication Bias Analysis'!AU:AU,NA())</f>
        <v>5.8898004623840015</v>
      </c>
      <c r="IN17" s="3">
        <f t="shared" si="96"/>
        <v>0.36039058574870175</v>
      </c>
      <c r="IO17" s="35">
        <f>IF(AND(Include_study?="Yes",Sufficient_data="Yes"),Z_score-('Publication Bias Analysis'!AY$30+'Publication Bias Analysis'!AY$31*Inverse_standard_error),"")</f>
        <v>-1.7635903184523181</v>
      </c>
      <c r="IU17" s="123"/>
      <c r="IV17" s="6">
        <f>IF('Publication Bias Analysis'!BG:BG&lt;&gt;"",RANK('Publication Bias Analysis'!BG:BG,'Publication Bias Analysis'!BG:BG,1)+COUNTIF('Publication Bias Analysis'!BG$2:BG16,'Publication Bias Analysis'!BG17),"")</f>
        <v>2</v>
      </c>
      <c r="IW17" s="3">
        <f t="shared" si="97"/>
        <v>0.14705882352941177</v>
      </c>
      <c r="IX17" s="3">
        <f>IF('Publication Bias Analysis'!BF17&lt;&gt;"",'Publication Bias Analysis'!BF17,NA())</f>
        <v>-1.0491313979639725</v>
      </c>
      <c r="IY17" s="3">
        <f>IF('Publication Bias Analysis'!BG17&lt;&gt;"",'Publication Bias Analysis'!BG17,NA())</f>
        <v>-3.9590633296967153</v>
      </c>
      <c r="IZ17" s="3">
        <f>IF(AND(Include_study?="Yes",Sufficient_data="Yes"),'Publication Bias Analysis'!BF:BF-AVERAGE('Publication Bias Analysis'!BF:BF),"")</f>
        <v>-1.0491313979639718</v>
      </c>
      <c r="JA17" s="35">
        <f>IF(AND(Include_study?="Yes",Sufficient_data="Yes"),'Publication Bias Analysis'!BG:BG-('Publication Bias Analysis'!BJ$30+'Publication Bias Analysis'!BJ$31*'Publication Bias Analysis'!BF:BF),"")</f>
        <v>-0.25737878402012315</v>
      </c>
      <c r="JG17" s="123"/>
      <c r="JH17" s="3">
        <f t="shared" si="98"/>
        <v>-3.9590633296967153</v>
      </c>
      <c r="JI17" s="10">
        <f t="shared" si="124"/>
        <v>3.7622142192383912E-5</v>
      </c>
      <c r="JJ17" s="35">
        <f t="shared" si="125"/>
        <v>-10.187917792799659</v>
      </c>
    </row>
    <row r="18" spans="1:270" ht="12.95">
      <c r="A18" s="2">
        <f t="shared" si="0"/>
        <v>8</v>
      </c>
      <c r="B18" s="6">
        <f>IF(AND(Include_study?="Yes",Sufficient_data="Yes"),IF(Input!a_&lt;&gt;"",Input!a_,Input!n1_-Input!b_),"")</f>
        <v>82</v>
      </c>
      <c r="C18" s="6">
        <f>IF(AND(Include_study?="Yes",Sufficient_data="Yes"),IF(Input!b_&lt;&gt;"",Input!b_,Input!n1_-Input!a_),"")</f>
        <v>3262</v>
      </c>
      <c r="D18" s="6">
        <f>IF(AND(Include_study?="Yes",Sufficient_data="Yes"),IF(Input!c_&lt;&gt;"",Input!c_,Input!n2_-Input!d_),"")</f>
        <v>70</v>
      </c>
      <c r="E18" s="6">
        <f>IF(AND(Include_study?="Yes",Sufficient_data="Yes"),IF(Input!d_&lt;&gt;"",Input!d_,Input!n2_-Input!c_),"")</f>
        <v>2117</v>
      </c>
      <c r="F18" s="35" t="str">
        <f t="shared" si="1"/>
        <v>No</v>
      </c>
      <c r="H18" s="130"/>
      <c r="I18" s="125"/>
      <c r="J18" s="76">
        <f t="shared" si="2"/>
        <v>0.76024349654024703</v>
      </c>
      <c r="K18" s="3">
        <f t="shared" si="3"/>
        <v>-0.27411650683119987</v>
      </c>
      <c r="L18" s="3">
        <f t="shared" si="4"/>
        <v>0.16510530938094906</v>
      </c>
      <c r="M18" s="3">
        <f t="shared" si="5"/>
        <v>0.55002704889284826</v>
      </c>
      <c r="N18" s="35">
        <f t="shared" si="6"/>
        <v>1.0508031835800424</v>
      </c>
      <c r="P18" s="123"/>
      <c r="Q18" s="76">
        <f t="shared" si="7"/>
        <v>0.75575305757964839</v>
      </c>
      <c r="R18" s="3">
        <f t="shared" si="8"/>
        <v>0.16820392746467216</v>
      </c>
      <c r="S18" s="3">
        <f t="shared" si="9"/>
        <v>0.54346692788593876</v>
      </c>
      <c r="T18" s="35">
        <f t="shared" si="10"/>
        <v>1.0509612540045146</v>
      </c>
      <c r="V18" s="123"/>
      <c r="W18" s="76">
        <f t="shared" si="11"/>
        <v>-7.4857848574547727E-3</v>
      </c>
      <c r="X18" s="3">
        <f t="shared" si="12"/>
        <v>4.6173588943995243E-3</v>
      </c>
      <c r="Y18" s="3">
        <f t="shared" si="13"/>
        <v>-1.6537623543307609E-2</v>
      </c>
      <c r="Z18" s="35">
        <f t="shared" si="14"/>
        <v>1.566053828398065E-3</v>
      </c>
      <c r="AB18" s="123"/>
      <c r="AC18" s="76">
        <f t="shared" si="15"/>
        <v>0.76612269309637726</v>
      </c>
      <c r="AD18" s="3">
        <f t="shared" si="16"/>
        <v>-0.26641294831293033</v>
      </c>
      <c r="AE18" s="3">
        <f t="shared" si="17"/>
        <v>0.16038873340701093</v>
      </c>
      <c r="AF18" s="3">
        <f t="shared" si="18"/>
        <v>0.55942941276121994</v>
      </c>
      <c r="AG18" s="35">
        <f t="shared" si="19"/>
        <v>1.0491832704687802</v>
      </c>
      <c r="AI18" s="130"/>
      <c r="AJ18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8</v>
      </c>
      <c r="AK18" s="6">
        <f>IF(AJ18&lt;&gt;"",IF(AJ18=0,COUNTIF(AJ$2:AJ17,0)+1,COUNTIF(AJ$2:AJ17,AJ18)+AJ18+COUNTIF(AJ:AJ,0)),"")</f>
        <v>8</v>
      </c>
      <c r="AL18" s="6">
        <f t="shared" si="20"/>
        <v>8</v>
      </c>
      <c r="AM18" s="3" t="str">
        <f>IF(AND(Include_study?="Yes",Sufficient_data="Yes",Input!Study_name&lt;&gt;""),Input!Study_name,"")</f>
        <v>Mustaqeem et al. (B)</v>
      </c>
      <c r="AN18" s="6">
        <f t="shared" si="21"/>
        <v>5531</v>
      </c>
      <c r="AO18" s="3">
        <f t="shared" si="22"/>
        <v>0.76024349654024703</v>
      </c>
      <c r="AP18" s="3">
        <f t="shared" si="23"/>
        <v>36.684104450389654</v>
      </c>
      <c r="AQ18" s="3">
        <f t="shared" si="24"/>
        <v>15.422063065764247</v>
      </c>
      <c r="AR18" s="3">
        <f t="shared" si="25"/>
        <v>0.16510530938094906</v>
      </c>
      <c r="AS18" s="3">
        <f t="shared" si="26"/>
        <v>0.55002704889284826</v>
      </c>
      <c r="AT18" s="3">
        <f t="shared" si="27"/>
        <v>1.0508031835800424</v>
      </c>
      <c r="AU18" s="80">
        <f t="shared" si="28"/>
        <v>9.9111111233457075E-2</v>
      </c>
      <c r="AW18" s="44">
        <f t="shared" si="29"/>
        <v>0.76024349654024703</v>
      </c>
      <c r="AX18" s="3">
        <f t="shared" si="30"/>
        <v>0.21021644764739877</v>
      </c>
      <c r="AY18" s="35">
        <f t="shared" si="31"/>
        <v>0.2905596870397954</v>
      </c>
      <c r="BD18" s="130"/>
      <c r="BE18" s="125"/>
      <c r="BF18" s="3">
        <f t="shared" si="32"/>
        <v>-0.27411650683119987</v>
      </c>
      <c r="BG18" s="3">
        <f t="shared" si="33"/>
        <v>0.16510530938094906</v>
      </c>
      <c r="BH18" s="3">
        <f t="shared" si="34"/>
        <v>36.684104450389654</v>
      </c>
      <c r="BI18" s="3">
        <f t="shared" si="99"/>
        <v>15.422063065764247</v>
      </c>
      <c r="BJ18" s="35">
        <f t="shared" si="35"/>
        <v>8.7957817073385514E-2</v>
      </c>
      <c r="BL18" s="28" t="s">
        <v>64</v>
      </c>
      <c r="BM18" s="28"/>
      <c r="BO18" s="123"/>
      <c r="BP18" s="3">
        <f t="shared" si="36"/>
        <v>31.385644548906164</v>
      </c>
      <c r="BQ18" s="3">
        <f t="shared" si="37"/>
        <v>41.283673838365573</v>
      </c>
      <c r="BR18" s="3">
        <f t="shared" si="38"/>
        <v>12.478219555784607</v>
      </c>
      <c r="BS18" s="3">
        <f>IF(AND(Sufficient_data="Yes",Include_study?="Yes"),IF(Add_0_5="Yes",(a_+d_+1)*(ab_+0.5)*(c_+0.5)/(Number_of_subjects+2)^2,(a_+d_)*b_*c_/Number_of_subjects^2),"")</f>
        <v>16.413451233152397</v>
      </c>
      <c r="BT18" s="3">
        <f t="shared" si="39"/>
        <v>18.907424993121559</v>
      </c>
      <c r="BU18" s="3">
        <f t="shared" si="40"/>
        <v>24.870222605213179</v>
      </c>
      <c r="BV18" s="3">
        <f t="shared" si="41"/>
        <v>41.283673838365573</v>
      </c>
      <c r="BW18" s="3">
        <f t="shared" si="42"/>
        <v>0.32520007862376421</v>
      </c>
      <c r="BX18" s="3">
        <f t="shared" si="43"/>
        <v>17.028791513201938</v>
      </c>
      <c r="BY18" s="35">
        <f t="shared" si="44"/>
        <v>8.8877984512590047E-2</v>
      </c>
      <c r="CA18" s="107" t="s">
        <v>64</v>
      </c>
      <c r="CB18" s="107"/>
      <c r="CD18" s="123"/>
      <c r="CE18" s="76">
        <f t="shared" si="45"/>
        <v>91.898029289459416</v>
      </c>
      <c r="CF18" s="3">
        <f t="shared" si="46"/>
        <v>35.344979636769665</v>
      </c>
      <c r="CG18" s="3">
        <f t="shared" si="47"/>
        <v>-0.28004059957534722</v>
      </c>
      <c r="CH18" s="3">
        <f t="shared" si="48"/>
        <v>2.8292561214540692E-2</v>
      </c>
      <c r="CI18" s="3">
        <f t="shared" si="49"/>
        <v>35.344979636769665</v>
      </c>
      <c r="CJ18" s="3">
        <f t="shared" si="50"/>
        <v>13.482226949367806</v>
      </c>
      <c r="CK18" s="35">
        <f t="shared" si="51"/>
        <v>8.978100109908177E-2</v>
      </c>
      <c r="CM18" s="1" t="s">
        <v>64</v>
      </c>
      <c r="CN18" s="1"/>
      <c r="CP18" s="123"/>
      <c r="CQ18" s="52">
        <f t="shared" si="52"/>
        <v>3.2007315957933241E-2</v>
      </c>
      <c r="CS18" s="2"/>
      <c r="CT18" s="2" t="s">
        <v>45</v>
      </c>
      <c r="CU18" s="2" t="s">
        <v>69</v>
      </c>
      <c r="CV18" s="2" t="s">
        <v>70</v>
      </c>
      <c r="CX18" s="130"/>
      <c r="CY18" s="48">
        <f t="shared" si="53"/>
        <v>8</v>
      </c>
      <c r="CZ18" s="6" t="str">
        <f t="shared" si="54"/>
        <v>Mustaqeem et al. (B)</v>
      </c>
      <c r="DA18" s="17" t="str">
        <f t="shared" si="55"/>
        <v>Audio</v>
      </c>
      <c r="DB18" s="3">
        <f t="shared" si="56"/>
        <v>-0.27411650683119987</v>
      </c>
      <c r="DC18" s="3">
        <f t="shared" si="57"/>
        <v>0.16510530938094906</v>
      </c>
      <c r="DD18" s="3">
        <f t="shared" si="58"/>
        <v>36.684104450389654</v>
      </c>
      <c r="DE18" s="3">
        <f t="shared" si="59"/>
        <v>15.077483685849934</v>
      </c>
      <c r="DF18" s="80">
        <f t="shared" si="60"/>
        <v>0.13849873837549806</v>
      </c>
      <c r="DG18" s="3">
        <f t="shared" si="61"/>
        <v>0.76024349654024703</v>
      </c>
      <c r="DH18" s="3">
        <f t="shared" si="62"/>
        <v>0.55002705594177925</v>
      </c>
      <c r="DI18" s="3">
        <f t="shared" si="63"/>
        <v>1.0508031701133609</v>
      </c>
      <c r="DJ18" s="35">
        <f t="shared" si="64"/>
        <v>9.8308986614241201E-2</v>
      </c>
      <c r="DL18" s="44">
        <f t="shared" si="65"/>
        <v>0.76024349654024703</v>
      </c>
      <c r="DM18" s="3">
        <f t="shared" si="100"/>
        <v>0.21021644059846778</v>
      </c>
      <c r="DN18" s="35">
        <f t="shared" si="101"/>
        <v>0.29055967357311385</v>
      </c>
      <c r="DP18" s="48" t="str">
        <f t="shared" si="102"/>
        <v/>
      </c>
      <c r="DQ18" s="17" t="str">
        <f>IF(AND(Sufficient_data="Yes",Subgroup&lt;&gt;""),IF(COUNTIFS(Input!J$2:J13,"="&amp;"Yes",Input!C$2:C13,"="&amp;"Yes",Input!K$2:K13,"="&amp;Subgroup)&gt;0,"",Subgroup),"")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66</v>
      </c>
      <c r="EY18" s="3">
        <f>CHIDIST(EY17,Subgroup_k-1)</f>
        <v>1.7452878952010503E-2</v>
      </c>
      <c r="FA18" s="130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30"/>
      <c r="FS18" s="125"/>
      <c r="FT18" s="76">
        <f>IF(AND(Include_study?="Yes",Sufficient_data="Yes"),IF(Additional_weighting_method="Inverse Variance",1/'Publication Bias Analysis'!F:F^2,IF(Additional_weighting_method="Mantel-Haenszel",Weightf_MH,Weightf_Peto)),"")</f>
        <v>36.684104450389654</v>
      </c>
      <c r="FU18" s="3">
        <f>IF(AND(Include_study?="Yes",Sufficient_data="Yes"),1/('Publication Bias Analysis'!F:F^2+IF(Additional_model="Fixed effect",0,Calculations!GH$12)),"")</f>
        <v>36.684104450389654</v>
      </c>
      <c r="FV18" s="3">
        <f>IF(AND(Include_study?="Yes",Sufficient_data="Yes"),1/('Publication Bias Analysis'!F:F^2+IF(Additional_model="Fixed effect",0,'Publication Bias Analysis'!L$32)),"")</f>
        <v>36.684104450389654</v>
      </c>
      <c r="FW18" s="3">
        <f>IF(AND(Include_study?="Yes",Sufficient_data="Yes"),'Publication Bias Analysis'!E:E-'Publication Bias Analysis'!I$37,"")</f>
        <v>9.8641963556053369E-2</v>
      </c>
      <c r="FX18" s="3">
        <f>IF(AND(Include_study?="Yes",Sufficient_data="Yes"),IF(Additional_model="Fixed effect",1/'Publication Bias Analysis'!F:F,1/SQRT('Publication Bias Analysis'!F:F^2+GH$12)),"")</f>
        <v>6.0567404146446346</v>
      </c>
      <c r="FY18" s="3">
        <f>IF(AND(Include_study?="Yes",Sufficient_data="Yes"),IF(Additional_model="Fixed effect",'Publication Bias Analysis'!E:E/'Publication Bias Analysis'!F:F,'Publication Bias Analysis'!E:E/SQRT('Publication Bias Analysis'!F:F^2+GH$12)),"")</f>
        <v>-1.6602525252457403</v>
      </c>
      <c r="FZ18" s="6">
        <f t="shared" si="80"/>
        <v>-3</v>
      </c>
      <c r="GA18" s="83">
        <f>IF(AND(Include_study?="Yes",Sufficient_data="Yes"),FZ:FZ+IF(GL:GL&lt;0,-1,1)*COUNTIF(FZ$2:FZ17,FZ:FZ),"")</f>
        <v>-3</v>
      </c>
      <c r="GB18" s="83">
        <f>IF(AND(Include_study?="Yes",Sufficient_data="Yes"),RANK(GP:GP,GP:GP,1)*IF(GO:GO&lt;0,-1,1)+IF(GO:GO&lt;0,-1,1)*COUNTIF(FZ$2:FZ17,FZ:FZ),"")</f>
        <v>-3</v>
      </c>
      <c r="GC18" s="83">
        <f>IF(AND(Include_study?="Yes",Sufficient_data="Yes"),RANK(GS:GS,GS:GS,1)*IF(GR:GR&lt;0,-1,1)+IF(GR:GR&lt;0,-1,1)*COUNTIF(FZ$2:FZ17,FZ:FZ),"")</f>
        <v>-3</v>
      </c>
      <c r="GD18" s="3">
        <f>IF(AND(Include_study?="Yes",Sufficient_data="Yes"),'Publication Bias Analysis'!E18,NA())</f>
        <v>-0.27411650683119987</v>
      </c>
      <c r="GE18" s="35">
        <f>IF(AND(Include_study?="Yes",Sufficient_data="Yes"),'Publication Bias Analysis'!F18,NA())</f>
        <v>0.16510530938094906</v>
      </c>
      <c r="GK18" s="123"/>
      <c r="GL18" s="76">
        <f>IF(AND(Include_study?="Yes",Sufficient_data="Yes"),IF('Publication Bias Analysis'!L$38="Left",'Publication Bias Analysis'!E:E-'Publication Bias Analysis'!I$29,'Publication Bias Analysis'!I$29-'Publication Bias Analysis'!E:E),"")</f>
        <v>-9.8641963556053369E-2</v>
      </c>
      <c r="GM18" s="3">
        <f t="shared" si="81"/>
        <v>9.8641963556053369E-2</v>
      </c>
      <c r="GN18" s="35">
        <f>IF(AND(Include_study?="Yes",Sufficient_data="Yes"),IF(AND(Additional_weighting_method="Mantel-Haenszel",Additional_model="Fixed effect"),Weightf_MH,1/('Publication Bias Analysis'!F:F^2+IF(Additional_model="Fixed effect",0,GW$6))),"")</f>
        <v>36.684104450389654</v>
      </c>
      <c r="GO18" s="3">
        <f>IF(AND(Include_study?="Yes",Sufficient_data="Yes"),IF('Publication Bias Analysis'!L$38="Left",'Publication Bias Analysis'!E:E-GW$3,GW$3-'Publication Bias Analysis'!E:E),"")</f>
        <v>-9.8641963556053369E-2</v>
      </c>
      <c r="GP18" s="3">
        <f t="shared" si="82"/>
        <v>9.8641963556053369E-2</v>
      </c>
      <c r="GQ18" s="35">
        <f>IF(AND(Include_study?="Yes",Sufficient_data="Yes"),IF(AND(Additional_weighting_method="Mantel-Haenszel",Additional_model="Fixed effect"),Weightf_MH,1/('Publication Bias Analysis'!F:F^2+IF(Additional_model="Fixed effect",0,GW$13))),"")</f>
        <v>36.684104450389654</v>
      </c>
      <c r="GR18" s="3">
        <f>IF(AND(Include_study?="Yes",Sufficient_data="Yes"),IF('Publication Bias Analysis'!L$38="Left",'Publication Bias Analysis'!E:E-GW$10,GW$10-'Publication Bias Analysis'!E:E),"")</f>
        <v>-9.8641963556053369E-2</v>
      </c>
      <c r="GS18" s="3">
        <f t="shared" si="83"/>
        <v>9.8641963556053369E-2</v>
      </c>
      <c r="GT18" s="35">
        <f>IF(AND(Include_study?="Yes",Sufficient_data="Yes"),IF(AND(Additional_weighting_method="Mantel-Haenszel",Additional_model="Fixed effect"),Weightf_MH,1/('Publication Bias Analysis'!F:F^2+IF(Additional_model="Fixed effect",0,GW$20))),"")</f>
        <v>36.684104450389654</v>
      </c>
      <c r="GV18" s="107" t="s">
        <v>64</v>
      </c>
      <c r="GW18" s="107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23"/>
      <c r="HL18" s="3">
        <f t="shared" si="89"/>
        <v>0.52733053800933494</v>
      </c>
      <c r="HM18" s="35">
        <f>IF(AND(Include_study?="Yes",Sufficient_data="Yes"),Z_score-('Publication Bias Analysis'!P$3+'Publication Bias Analysis'!P$4*Inverse_standard_error),"")</f>
        <v>1.0391116247781393</v>
      </c>
      <c r="HO18" s="123"/>
      <c r="HP18" s="3">
        <f>IF(AND(Include_study?="Yes",Sufficient_data="Yes"),(GD:GD-SUMPRODUCT(Calculations!FT:FT,'Publication Bias Analysis'!E:E)/SUM(Calculations!FT:FT))/SQRT(Calculations!HQ:HQ),"")</f>
        <v>0.63255241174663079</v>
      </c>
      <c r="HQ18" s="3">
        <f>IF(AND(Include_study?="Yes",Sufficient_data="Yes"),GE:GE^2-1/SUM(Calculations!FT:FT),"")</f>
        <v>2.4318141745549932E-2</v>
      </c>
      <c r="HR18" s="6">
        <f t="shared" si="90"/>
        <v>6</v>
      </c>
      <c r="HS18" s="6">
        <f t="shared" si="91"/>
        <v>10</v>
      </c>
      <c r="HT18" s="6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>6</v>
      </c>
      <c r="HU18" s="57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>4</v>
      </c>
      <c r="HW18" s="123"/>
      <c r="IB18" s="123"/>
      <c r="IC18" s="76">
        <f t="shared" si="92"/>
        <v>2.4521531100478468E-2</v>
      </c>
      <c r="ID18" s="3">
        <f t="shared" si="93"/>
        <v>3.2007315957933241E-2</v>
      </c>
      <c r="IE18" s="3">
        <f t="shared" si="94"/>
        <v>38.873378275475353</v>
      </c>
      <c r="IF18" s="35">
        <f t="shared" si="95"/>
        <v>36.684104450389654</v>
      </c>
      <c r="IK18" s="123"/>
      <c r="IL18" s="3">
        <f>IF(AND(Include_study?="Yes",Sufficient_data="Yes"),'Publication Bias Analysis'!AV:AV,NA())</f>
        <v>-1.6602525252457403</v>
      </c>
      <c r="IM18" s="3">
        <f>IF(AND(Sufficient_data="Yes",Include_study?="Yes"),'Publication Bias Analysis'!AU:AU,NA())</f>
        <v>6.0567404146446346</v>
      </c>
      <c r="IN18" s="3">
        <f t="shared" si="96"/>
        <v>0.52733053800933494</v>
      </c>
      <c r="IO18" s="35">
        <f>IF(AND(Include_study?="Yes",Sufficient_data="Yes"),Z_score-('Publication Bias Analysis'!AY$30+'Publication Bias Analysis'!AY$31*Inverse_standard_error),"")</f>
        <v>0.59744876724985185</v>
      </c>
      <c r="IU18" s="123"/>
      <c r="IV18" s="6">
        <f>IF('Publication Bias Analysis'!BG:BG&lt;&gt;"",RANK('Publication Bias Analysis'!BG:BG,'Publication Bias Analysis'!BG:BG,1)+COUNTIF('Publication Bias Analysis'!BG$2:BG17,'Publication Bias Analysis'!BG18),"")</f>
        <v>5</v>
      </c>
      <c r="IW18" s="3">
        <f t="shared" si="97"/>
        <v>0.41176470588235292</v>
      </c>
      <c r="IX18" s="3">
        <f>IF('Publication Bias Analysis'!BF18&lt;&gt;"",'Publication Bias Analysis'!BF18,NA())</f>
        <v>-0.22300783094036683</v>
      </c>
      <c r="IY18" s="3">
        <f>IF('Publication Bias Analysis'!BG18&lt;&gt;"",'Publication Bias Analysis'!BG18,NA())</f>
        <v>-1.6602525252457403</v>
      </c>
      <c r="IZ18" s="3">
        <f>IF(AND(Include_study?="Yes",Sufficient_data="Yes"),'Publication Bias Analysis'!BF:BF-AVERAGE('Publication Bias Analysis'!BF:BF),"")</f>
        <v>-0.22300783094036628</v>
      </c>
      <c r="JA18" s="35">
        <f>IF(AND(Include_study?="Yes",Sufficient_data="Yes"),'Publication Bias Analysis'!BG:BG-('Publication Bias Analysis'!BJ$30+'Publication Bias Analysis'!BJ$31*'Publication Bias Analysis'!BF:BF),"")</f>
        <v>0.70521442741290685</v>
      </c>
      <c r="JG18" s="123"/>
      <c r="JH18" s="3">
        <f t="shared" si="98"/>
        <v>-1.6602525252457403</v>
      </c>
      <c r="JI18" s="10">
        <f t="shared" si="124"/>
        <v>4.8431830992705982E-2</v>
      </c>
      <c r="JJ18" s="35">
        <f t="shared" si="125"/>
        <v>-3.0275980162879432</v>
      </c>
    </row>
    <row r="19" spans="1:270" ht="13.5">
      <c r="A19" s="2">
        <f t="shared" si="0"/>
        <v>9</v>
      </c>
      <c r="B19" s="6">
        <f>IF(AND(Include_study?="Yes",Sufficient_data="Yes"),IF(Input!a_&lt;&gt;"",Input!a_,Input!n1_-Input!b_),"")</f>
        <v>75</v>
      </c>
      <c r="C19" s="6">
        <f>IF(AND(Include_study?="Yes",Sufficient_data="Yes"),IF(Input!b_&lt;&gt;"",Input!b_,Input!n1_-Input!a_),"")</f>
        <v>3236</v>
      </c>
      <c r="D19" s="6">
        <f>IF(AND(Include_study?="Yes",Sufficient_data="Yes"),IF(Input!c_&lt;&gt;"",Input!c_,Input!n2_-Input!d_),"")</f>
        <v>84</v>
      </c>
      <c r="E19" s="6">
        <f>IF(AND(Include_study?="Yes",Sufficient_data="Yes"),IF(Input!d_&lt;&gt;"",Input!d_,Input!n2_-Input!c_),"")</f>
        <v>2103</v>
      </c>
      <c r="F19" s="35" t="str">
        <f t="shared" si="1"/>
        <v>No</v>
      </c>
      <c r="H19" s="130"/>
      <c r="I19" s="125"/>
      <c r="J19" s="76">
        <f t="shared" si="2"/>
        <v>0.58024677732650543</v>
      </c>
      <c r="K19" s="3">
        <f t="shared" si="3"/>
        <v>-0.54430178778268568</v>
      </c>
      <c r="L19" s="3">
        <f t="shared" si="4"/>
        <v>0.16131531203947366</v>
      </c>
      <c r="M19" s="3">
        <f t="shared" si="5"/>
        <v>0.42293209949873695</v>
      </c>
      <c r="N19" s="35">
        <f t="shared" si="6"/>
        <v>0.7960765404111888</v>
      </c>
      <c r="P19" s="123"/>
      <c r="Q19" s="76">
        <f t="shared" si="7"/>
        <v>0.57064960953527055</v>
      </c>
      <c r="R19" s="3">
        <f t="shared" si="8"/>
        <v>0.16441260084581572</v>
      </c>
      <c r="S19" s="3">
        <f t="shared" si="9"/>
        <v>0.41341900546324883</v>
      </c>
      <c r="T19" s="35">
        <f t="shared" si="10"/>
        <v>0.78767781006551918</v>
      </c>
      <c r="V19" s="123"/>
      <c r="W19" s="76">
        <f t="shared" si="11"/>
        <v>-1.5757012311706543E-2</v>
      </c>
      <c r="X19" s="3">
        <f t="shared" si="12"/>
        <v>4.8553233082168608E-3</v>
      </c>
      <c r="Y19" s="3">
        <f t="shared" si="13"/>
        <v>-2.5275367315006018E-2</v>
      </c>
      <c r="Z19" s="35">
        <f t="shared" si="14"/>
        <v>-6.2386573084070689E-3</v>
      </c>
      <c r="AB19" s="123"/>
      <c r="AC19" s="76">
        <f t="shared" si="15"/>
        <v>0.58975492945592611</v>
      </c>
      <c r="AD19" s="3">
        <f t="shared" si="16"/>
        <v>-0.52804820217748161</v>
      </c>
      <c r="AE19" s="3">
        <f t="shared" si="17"/>
        <v>0.15645710054014841</v>
      </c>
      <c r="AF19" s="3">
        <f t="shared" si="18"/>
        <v>0.43397600627337996</v>
      </c>
      <c r="AG19" s="35">
        <f t="shared" si="19"/>
        <v>0.80145185860451362</v>
      </c>
      <c r="AI19" s="130"/>
      <c r="AJ19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9</v>
      </c>
      <c r="AK19" s="6">
        <f>IF(AJ19&lt;&gt;"",IF(AJ19=0,COUNTIF(AJ$2:AJ18,0)+1,COUNTIF(AJ$2:AJ18,AJ19)+AJ19+COUNTIF(AJ:AJ,0)),"")</f>
        <v>9</v>
      </c>
      <c r="AL19" s="6">
        <f t="shared" si="20"/>
        <v>9</v>
      </c>
      <c r="AM19" s="3" t="str">
        <f>IF(AND(Include_study?="Yes",Sufficient_data="Yes",Input!Study_name&lt;&gt;""),Input!Study_name,"")</f>
        <v>Hazarika et al. (A)</v>
      </c>
      <c r="AN19" s="6">
        <f t="shared" si="21"/>
        <v>5498</v>
      </c>
      <c r="AO19" s="3">
        <f t="shared" si="22"/>
        <v>0.58024677732650543</v>
      </c>
      <c r="AP19" s="3">
        <f t="shared" si="23"/>
        <v>38.428091392167985</v>
      </c>
      <c r="AQ19" s="3">
        <f t="shared" si="24"/>
        <v>15.722025918501453</v>
      </c>
      <c r="AR19" s="3">
        <f t="shared" si="25"/>
        <v>0.16131531203947366</v>
      </c>
      <c r="AS19" s="3">
        <f t="shared" si="26"/>
        <v>0.42293209949873695</v>
      </c>
      <c r="AT19" s="3">
        <f t="shared" si="27"/>
        <v>0.7960765404111888</v>
      </c>
      <c r="AU19" s="80">
        <f t="shared" si="28"/>
        <v>0.10103884629307694</v>
      </c>
      <c r="AW19" s="44">
        <f t="shared" si="29"/>
        <v>0.58024677732650543</v>
      </c>
      <c r="AX19" s="3">
        <f t="shared" si="30"/>
        <v>0.15731467782776848</v>
      </c>
      <c r="AY19" s="35">
        <f t="shared" si="31"/>
        <v>0.21582976308468338</v>
      </c>
      <c r="BD19" s="130"/>
      <c r="BE19" s="125"/>
      <c r="BF19" s="3">
        <f t="shared" si="32"/>
        <v>-0.54430178778268568</v>
      </c>
      <c r="BG19" s="3">
        <f t="shared" si="33"/>
        <v>0.16131531203947366</v>
      </c>
      <c r="BH19" s="3">
        <f t="shared" si="34"/>
        <v>38.428091392167985</v>
      </c>
      <c r="BI19" s="3">
        <f t="shared" si="99"/>
        <v>15.722025918501453</v>
      </c>
      <c r="BJ19" s="35">
        <f t="shared" si="35"/>
        <v>-0.18222746387810029</v>
      </c>
      <c r="BL19" s="3" t="s">
        <v>65</v>
      </c>
      <c r="BM19" s="3">
        <f>SUMPRODUCT(Weightf,Model_Effect_size,Model_Effect_size)-SUMPRODUCT(Weightf,Model_Effect_size)^2/SUM(Weightf)</f>
        <v>21.569761009679056</v>
      </c>
      <c r="BO19" s="123"/>
      <c r="BP19" s="3">
        <f t="shared" si="36"/>
        <v>28.687704619861769</v>
      </c>
      <c r="BQ19" s="3">
        <f t="shared" si="37"/>
        <v>49.440523826846125</v>
      </c>
      <c r="BR19" s="3">
        <f t="shared" si="38"/>
        <v>11.364463561669503</v>
      </c>
      <c r="BS19" s="3">
        <f>IF(AND(Sufficient_data="Yes",Include_study?="Yes"),IF(Add_0_5="Yes",(a_+d_+1)*(ab_+0.5)*(c_+0.5)/(Number_of_subjects+2)^2,(a_+d_)*b_*c_/Number_of_subjects^2),"")</f>
        <v>19.585569460689499</v>
      </c>
      <c r="BT19" s="3">
        <f t="shared" si="39"/>
        <v>17.323241058192263</v>
      </c>
      <c r="BU19" s="3">
        <f t="shared" si="40"/>
        <v>29.854954366156626</v>
      </c>
      <c r="BV19" s="3">
        <f t="shared" si="41"/>
        <v>49.440523826846125</v>
      </c>
      <c r="BW19" s="3">
        <f t="shared" si="42"/>
        <v>1.1907788071458816</v>
      </c>
      <c r="BX19" s="3">
        <f t="shared" si="43"/>
        <v>17.395255354250367</v>
      </c>
      <c r="BY19" s="35">
        <f t="shared" si="44"/>
        <v>-0.18130729643889576</v>
      </c>
      <c r="CA19" s="3" t="s">
        <v>65</v>
      </c>
      <c r="CB19" s="3">
        <f>SUM(Weighted_squared_residual)</f>
        <v>21.576609789080504</v>
      </c>
      <c r="CD19" s="123"/>
      <c r="CE19" s="76">
        <f t="shared" si="45"/>
        <v>95.752819206984356</v>
      </c>
      <c r="CF19" s="3">
        <f t="shared" si="46"/>
        <v>36.993872973958467</v>
      </c>
      <c r="CG19" s="3">
        <f t="shared" si="47"/>
        <v>-0.5609799012283232</v>
      </c>
      <c r="CH19" s="3">
        <f t="shared" si="48"/>
        <v>2.7031503316885523E-2</v>
      </c>
      <c r="CI19" s="3">
        <f t="shared" si="49"/>
        <v>36.993872973958467</v>
      </c>
      <c r="CJ19" s="3">
        <f t="shared" si="50"/>
        <v>13.715414629051079</v>
      </c>
      <c r="CK19" s="35">
        <f t="shared" si="51"/>
        <v>-0.19115830055389421</v>
      </c>
      <c r="CM19" s="3" t="s">
        <v>65</v>
      </c>
      <c r="CN19" s="3">
        <f>SUMPRODUCT(Weightf_Peto,LogPetoOddsRatio,LogPetoOddsRatio)-SUMPRODUCT(Weightf_Peto,LogPetoOddsRatio)^2/SUM(Weightf_Peto)</f>
        <v>23.866219069919303</v>
      </c>
      <c r="CP19" s="123"/>
      <c r="CQ19" s="52">
        <f t="shared" si="52"/>
        <v>3.8408779149519894E-2</v>
      </c>
      <c r="CS19" s="2" t="s">
        <v>292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-8.1596992276197454E-3</v>
      </c>
      <c r="CU19" s="3">
        <f>IF(Model_effect_size_measure="Odds Ratio",CU11*MEDIAN(Control_group_risk)-MEDIAN(Control_group_risk),NA())</f>
        <v>-8.1770447075972773E-3</v>
      </c>
      <c r="CV19" s="3" t="e">
        <f>IF(Model_effect_size_measure="Peto Odds Ratio",CV11*MEDIAN(Control_group_risk)-MEDIAN(Control_group_risk),NA())</f>
        <v>#N/A</v>
      </c>
      <c r="CX19" s="130"/>
      <c r="CY19" s="48">
        <f t="shared" si="53"/>
        <v>10</v>
      </c>
      <c r="CZ19" s="6" t="str">
        <f t="shared" si="54"/>
        <v>Hazarika et al. (A)</v>
      </c>
      <c r="DA19" s="17" t="str">
        <f t="shared" si="55"/>
        <v>Multimodal</v>
      </c>
      <c r="DB19" s="3">
        <f t="shared" si="56"/>
        <v>-0.54430178778268568</v>
      </c>
      <c r="DC19" s="3">
        <f t="shared" si="57"/>
        <v>0.16131531203947366</v>
      </c>
      <c r="DD19" s="3">
        <f t="shared" si="58"/>
        <v>38.428091392167985</v>
      </c>
      <c r="DE19" s="3">
        <f t="shared" si="59"/>
        <v>11.047239863921314</v>
      </c>
      <c r="DF19" s="80">
        <f t="shared" si="60"/>
        <v>0.34766801634594252</v>
      </c>
      <c r="DG19" s="3">
        <f t="shared" si="61"/>
        <v>0.58024677732650543</v>
      </c>
      <c r="DH19" s="3">
        <f t="shared" si="62"/>
        <v>0.42293210485826288</v>
      </c>
      <c r="DI19" s="3">
        <f t="shared" si="63"/>
        <v>0.79607653032306147</v>
      </c>
      <c r="DJ19" s="35">
        <f t="shared" si="64"/>
        <v>-0.21000057398871935</v>
      </c>
      <c r="DL19" s="44">
        <f t="shared" si="65"/>
        <v>0.58024677732650543</v>
      </c>
      <c r="DM19" s="3">
        <f t="shared" si="100"/>
        <v>0.15731467246824254</v>
      </c>
      <c r="DN19" s="35">
        <f t="shared" si="101"/>
        <v>0.21582975299655605</v>
      </c>
      <c r="DP19" s="48">
        <f t="shared" si="102"/>
        <v>13</v>
      </c>
      <c r="DQ19" s="17" t="str">
        <f>IF(AND(Sufficient_data="Yes",Subgroup&lt;&gt;""),IF(COUNTIFS(Input!J$2:J14,"="&amp;"Yes",Input!C$2:C14,"="&amp;"Yes",Input!K$2:K14,"="&amp;Subgroup)&gt;0,"",Subgroup),"")</f>
        <v>Multimodal</v>
      </c>
      <c r="DR19" s="6">
        <f t="shared" si="103"/>
        <v>2</v>
      </c>
      <c r="DS19" s="6">
        <f t="shared" si="66"/>
        <v>3</v>
      </c>
      <c r="DT19" s="3">
        <f t="shared" si="67"/>
        <v>6.3193318327449894</v>
      </c>
      <c r="DU19" s="10">
        <f t="shared" si="104"/>
        <v>4.2439917193862996E-2</v>
      </c>
      <c r="DV19" s="9">
        <f t="shared" si="105"/>
        <v>0.6835108437198113</v>
      </c>
      <c r="DW19" s="10">
        <f t="shared" si="68"/>
        <v>66.968753953113378</v>
      </c>
      <c r="DX19" s="3">
        <f t="shared" si="69"/>
        <v>6.4497718380262373E-2</v>
      </c>
      <c r="DY19" s="3">
        <f t="shared" si="106"/>
        <v>0.253964010009809</v>
      </c>
      <c r="DZ19" s="3">
        <f t="shared" si="70"/>
        <v>-0.33430121379396632</v>
      </c>
      <c r="EA19" s="3">
        <f t="shared" si="71"/>
        <v>0.17734797122590742</v>
      </c>
      <c r="EB19" s="6">
        <f t="shared" si="72"/>
        <v>17421</v>
      </c>
      <c r="EC19" s="3">
        <f t="shared" si="107"/>
        <v>-1.097367946304646</v>
      </c>
      <c r="ED19" s="3">
        <f t="shared" si="108"/>
        <v>0.42876551871671326</v>
      </c>
      <c r="EE19" s="3">
        <f t="shared" si="109"/>
        <v>0.71583812943120884</v>
      </c>
      <c r="EF19" s="3">
        <f t="shared" si="110"/>
        <v>0.33374837229288107</v>
      </c>
      <c r="EG19" s="3">
        <f t="shared" si="111"/>
        <v>1.5353609787732354</v>
      </c>
      <c r="EH19" s="3">
        <f t="shared" si="112"/>
        <v>0.38208975713832777</v>
      </c>
      <c r="EI19" s="3">
        <f t="shared" si="113"/>
        <v>0.81952284934202657</v>
      </c>
      <c r="EJ19" s="3">
        <f t="shared" si="114"/>
        <v>-1.6670823369063721</v>
      </c>
      <c r="EK19" s="3">
        <f t="shared" si="73"/>
        <v>0.99847990931843955</v>
      </c>
      <c r="EL19" s="3">
        <f t="shared" si="115"/>
        <v>0.18879710918532366</v>
      </c>
      <c r="EM19" s="3">
        <f t="shared" si="116"/>
        <v>2.7141529325249119</v>
      </c>
      <c r="EN19" s="3">
        <f t="shared" si="117"/>
        <v>0.52704102024588517</v>
      </c>
      <c r="EO19" s="3">
        <f t="shared" si="118"/>
        <v>1.998314803093703</v>
      </c>
      <c r="EP19" s="3">
        <f t="shared" si="74"/>
        <v>1.9988098878820795</v>
      </c>
      <c r="EQ19" s="3">
        <f t="shared" si="119"/>
        <v>0.71583812943120884</v>
      </c>
      <c r="ER19" s="9" t="e">
        <f t="shared" si="120"/>
        <v>#VALUE!</v>
      </c>
      <c r="ES19" s="3">
        <f t="shared" si="121"/>
        <v>31.79417428494013</v>
      </c>
      <c r="ET19" s="3" t="e">
        <f t="shared" si="122"/>
        <v>#VALUE!</v>
      </c>
      <c r="EU19" s="3" t="e">
        <f t="shared" si="75"/>
        <v>#VALUE!</v>
      </c>
      <c r="EV19" s="35" t="e">
        <f t="shared" si="76"/>
        <v>#VALUE!</v>
      </c>
      <c r="EX19" s="2" t="s">
        <v>67</v>
      </c>
      <c r="EY19" s="9">
        <f>MAX(0,(EY17-(Subgroup_k-1))/EY17)</f>
        <v>0.53638800191097746</v>
      </c>
      <c r="FA19" s="130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30"/>
      <c r="FS19" s="125"/>
      <c r="FT19" s="76">
        <f>IF(AND(Include_study?="Yes",Sufficient_data="Yes"),IF(Additional_weighting_method="Inverse Variance",1/'Publication Bias Analysis'!F:F^2,IF(Additional_weighting_method="Mantel-Haenszel",Weightf_MH,Weightf_Peto)),"")</f>
        <v>38.428091392167985</v>
      </c>
      <c r="FU19" s="3">
        <f>IF(AND(Include_study?="Yes",Sufficient_data="Yes"),1/('Publication Bias Analysis'!F:F^2+IF(Additional_model="Fixed effect",0,Calculations!GH$12)),"")</f>
        <v>38.428091392167985</v>
      </c>
      <c r="FV19" s="3">
        <f>IF(AND(Include_study?="Yes",Sufficient_data="Yes"),1/('Publication Bias Analysis'!F:F^2+IF(Additional_model="Fixed effect",0,'Publication Bias Analysis'!L$32)),"")</f>
        <v>38.428091392167985</v>
      </c>
      <c r="FW19" s="3">
        <f>IF(AND(Include_study?="Yes",Sufficient_data="Yes"),'Publication Bias Analysis'!E:E-'Publication Bias Analysis'!I$37,"")</f>
        <v>-0.17154331739543244</v>
      </c>
      <c r="FX19" s="3">
        <f>IF(AND(Include_study?="Yes",Sufficient_data="Yes"),IF(Additional_model="Fixed effect",1/'Publication Bias Analysis'!F:F,1/SQRT('Publication Bias Analysis'!F:F^2+GH$12)),"")</f>
        <v>6.1990395540089906</v>
      </c>
      <c r="FY19" s="3">
        <f>IF(AND(Include_study?="Yes",Sufficient_data="Yes"),IF(Additional_model="Fixed effect",'Publication Bias Analysis'!E:E/'Publication Bias Analysis'!F:F,'Publication Bias Analysis'!E:E/SQRT('Publication Bias Analysis'!F:F^2+GH$12)),"")</f>
        <v>-3.374148311782676</v>
      </c>
      <c r="FZ19" s="6">
        <f t="shared" si="80"/>
        <v>6</v>
      </c>
      <c r="GA19" s="83">
        <f>IF(AND(Include_study?="Yes",Sufficient_data="Yes"),FZ:FZ+IF(GL:GL&lt;0,-1,1)*COUNTIF(FZ$2:FZ18,FZ:FZ),"")</f>
        <v>6</v>
      </c>
      <c r="GB19" s="83">
        <f>IF(AND(Include_study?="Yes",Sufficient_data="Yes"),RANK(GP:GP,GP:GP,1)*IF(GO:GO&lt;0,-1,1)+IF(GO:GO&lt;0,-1,1)*COUNTIF(FZ$2:FZ18,FZ:FZ),"")</f>
        <v>6</v>
      </c>
      <c r="GC19" s="83">
        <f>IF(AND(Include_study?="Yes",Sufficient_data="Yes"),RANK(GS:GS,GS:GS,1)*IF(GR:GR&lt;0,-1,1)+IF(GR:GR&lt;0,-1,1)*COUNTIF(FZ$2:FZ18,FZ:FZ),"")</f>
        <v>6</v>
      </c>
      <c r="GD19" s="3">
        <f>IF(AND(Include_study?="Yes",Sufficient_data="Yes"),'Publication Bias Analysis'!E19,NA())</f>
        <v>-0.54430178778268568</v>
      </c>
      <c r="GE19" s="35">
        <f>IF(AND(Include_study?="Yes",Sufficient_data="Yes"),'Publication Bias Analysis'!F19,NA())</f>
        <v>0.16131531203947366</v>
      </c>
      <c r="GG19" s="107" t="s">
        <v>331</v>
      </c>
      <c r="GH19" s="107"/>
      <c r="GK19" s="123"/>
      <c r="GL19" s="76">
        <f>IF(AND(Include_study?="Yes",Sufficient_data="Yes"),IF('Publication Bias Analysis'!L$38="Left",'Publication Bias Analysis'!E:E-'Publication Bias Analysis'!I$29,'Publication Bias Analysis'!I$29-'Publication Bias Analysis'!E:E),"")</f>
        <v>0.17154331739543244</v>
      </c>
      <c r="GM19" s="3">
        <f t="shared" si="81"/>
        <v>0.17154331739543244</v>
      </c>
      <c r="GN19" s="35">
        <f>IF(AND(Include_study?="Yes",Sufficient_data="Yes"),IF(AND(Additional_weighting_method="Mantel-Haenszel",Additional_model="Fixed effect"),Weightf_MH,1/('Publication Bias Analysis'!F:F^2+IF(Additional_model="Fixed effect",0,GW$6))),"")</f>
        <v>38.428091392167985</v>
      </c>
      <c r="GO19" s="3">
        <f>IF(AND(Include_study?="Yes",Sufficient_data="Yes"),IF('Publication Bias Analysis'!L$38="Left",'Publication Bias Analysis'!E:E-GW$3,GW$3-'Publication Bias Analysis'!E:E),"")</f>
        <v>0.17154331739543244</v>
      </c>
      <c r="GP19" s="3">
        <f t="shared" si="82"/>
        <v>0.17154331739543244</v>
      </c>
      <c r="GQ19" s="35">
        <f>IF(AND(Include_study?="Yes",Sufficient_data="Yes"),IF(AND(Additional_weighting_method="Mantel-Haenszel",Additional_model="Fixed effect"),Weightf_MH,1/('Publication Bias Analysis'!F:F^2+IF(Additional_model="Fixed effect",0,GW$13))),"")</f>
        <v>38.428091392167985</v>
      </c>
      <c r="GR19" s="3">
        <f>IF(AND(Include_study?="Yes",Sufficient_data="Yes"),IF('Publication Bias Analysis'!L$38="Left",'Publication Bias Analysis'!E:E-GW$10,GW$10-'Publication Bias Analysis'!E:E),"")</f>
        <v>0.17154331739543244</v>
      </c>
      <c r="GS19" s="3">
        <f t="shared" si="83"/>
        <v>0.17154331739543244</v>
      </c>
      <c r="GT19" s="35">
        <f>IF(AND(Include_study?="Yes",Sufficient_data="Yes"),IF(AND(Additional_weighting_method="Mantel-Haenszel",Additional_model="Fixed effect"),Weightf_MH,1/('Publication Bias Analysis'!F:F^2+IF(Additional_model="Fixed effect",0,GW$20))),"")</f>
        <v>38.428091392167985</v>
      </c>
      <c r="GV19" s="2" t="s">
        <v>65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21.569761009679056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23"/>
      <c r="HL19" s="3">
        <f t="shared" si="89"/>
        <v>0.66962967737369095</v>
      </c>
      <c r="HM19" s="35">
        <f>IF(AND(Include_study?="Yes",Sufficient_data="Yes"),Z_score-('Publication Bias Analysis'!P$3+'Publication Bias Analysis'!P$4*Inverse_standard_error),"")</f>
        <v>-0.48734705628664265</v>
      </c>
      <c r="HO19" s="123"/>
      <c r="HP19" s="3">
        <f>IF(AND(Include_study?="Yes",Sufficient_data="Yes"),(GD:GD-SUMPRODUCT(Calculations!FT:FT,'Publication Bias Analysis'!E:E)/SUM(Calculations!FT:FT))/SQRT(Calculations!HQ:HQ),"")</f>
        <v>-1.1291364165759972</v>
      </c>
      <c r="HQ19" s="3">
        <f>IF(AND(Include_study?="Yes",Sufficient_data="Yes"),GE:GE^2-1/SUM(Calculations!FT:FT),"")</f>
        <v>2.3081008458163785E-2</v>
      </c>
      <c r="HR19" s="6">
        <f t="shared" si="90"/>
        <v>9</v>
      </c>
      <c r="HS19" s="6">
        <f t="shared" si="91"/>
        <v>11</v>
      </c>
      <c r="HT19" s="6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>8</v>
      </c>
      <c r="HU19" s="57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>2</v>
      </c>
      <c r="HW19" s="123"/>
      <c r="IB19" s="123"/>
      <c r="IC19" s="76">
        <f t="shared" si="92"/>
        <v>2.265176683781335E-2</v>
      </c>
      <c r="ID19" s="3">
        <f t="shared" si="93"/>
        <v>3.8408779149519894E-2</v>
      </c>
      <c r="IE19" s="3">
        <f t="shared" si="94"/>
        <v>40.851635166757767</v>
      </c>
      <c r="IF19" s="35">
        <f t="shared" si="95"/>
        <v>38.428091392167985</v>
      </c>
      <c r="IK19" s="123"/>
      <c r="IL19" s="3">
        <f>IF(AND(Include_study?="Yes",Sufficient_data="Yes"),'Publication Bias Analysis'!AV:AV,NA())</f>
        <v>-3.374148311782676</v>
      </c>
      <c r="IM19" s="3">
        <f>IF(AND(Sufficient_data="Yes",Include_study?="Yes"),'Publication Bias Analysis'!AU:AU,NA())</f>
        <v>6.1990395540089906</v>
      </c>
      <c r="IN19" s="3">
        <f t="shared" si="96"/>
        <v>0.66962967737369095</v>
      </c>
      <c r="IO19" s="35">
        <f>IF(AND(Include_study?="Yes",Sufficient_data="Yes"),Z_score-('Publication Bias Analysis'!AY$30+'Publication Bias Analysis'!AY$31*Inverse_standard_error),"")</f>
        <v>-1.0634038097602043</v>
      </c>
      <c r="IU19" s="123"/>
      <c r="IV19" s="6">
        <f>IF('Publication Bias Analysis'!BG:BG&lt;&gt;"",RANK('Publication Bias Analysis'!BG:BG,'Publication Bias Analysis'!BG:BG,1)+COUNTIF('Publication Bias Analysis'!BG$2:BG18,'Publication Bias Analysis'!BG19),"")</f>
        <v>3</v>
      </c>
      <c r="IW19" s="3">
        <f t="shared" si="97"/>
        <v>0.23529411764705879</v>
      </c>
      <c r="IX19" s="3">
        <f>IF('Publication Bias Analysis'!BF19&lt;&gt;"",'Publication Bias Analysis'!BF19,NA())</f>
        <v>-0.72152228398234353</v>
      </c>
      <c r="IY19" s="3">
        <f>IF('Publication Bias Analysis'!BG19&lt;&gt;"",'Publication Bias Analysis'!BG19,NA())</f>
        <v>-3.374148311782676</v>
      </c>
      <c r="IZ19" s="3">
        <f>IF(AND(Include_study?="Yes",Sufficient_data="Yes"),'Publication Bias Analysis'!BF:BF-AVERAGE('Publication Bias Analysis'!BF:BF),"")</f>
        <v>-0.72152228398234297</v>
      </c>
      <c r="JA19" s="35">
        <f>IF(AND(Include_study?="Yes",Sufficient_data="Yes"),'Publication Bias Analysis'!BG:BG-('Publication Bias Analysis'!BJ$30+'Publication Bias Analysis'!BJ$31*'Publication Bias Analysis'!BF:BF),"")</f>
        <v>-0.20235672547588424</v>
      </c>
      <c r="JG19" s="123"/>
      <c r="JH19" s="3">
        <f t="shared" si="98"/>
        <v>-3.374148311782676</v>
      </c>
      <c r="JI19" s="10">
        <f t="shared" si="124"/>
        <v>3.702223124721904E-4</v>
      </c>
      <c r="JJ19" s="35">
        <f t="shared" si="125"/>
        <v>-7.9014068882413673</v>
      </c>
    </row>
    <row r="20" spans="1:270" ht="14.25" customHeight="1">
      <c r="A20" s="2">
        <f t="shared" si="0"/>
        <v>10</v>
      </c>
      <c r="B20" s="6">
        <f>IF(AND(Include_study?="Yes",Sufficient_data="Yes"),IF(Input!a_&lt;&gt;"",Input!a_,Input!n1_-Input!b_),"")</f>
        <v>52</v>
      </c>
      <c r="C20" s="6">
        <f>IF(AND(Include_study?="Yes",Sufficient_data="Yes"),IF(Input!b_&lt;&gt;"",Input!b_,Input!n1_-Input!a_),"")</f>
        <v>2251</v>
      </c>
      <c r="D20" s="6">
        <f>IF(AND(Include_study?="Yes",Sufficient_data="Yes"),IF(Input!c_&lt;&gt;"",Input!c_,Input!n2_-Input!d_),"")</f>
        <v>78</v>
      </c>
      <c r="E20" s="6">
        <f>IF(AND(Include_study?="Yes",Sufficient_data="Yes"),IF(Input!d_&lt;&gt;"",Input!d_,Input!n2_-Input!c_),"")</f>
        <v>2109</v>
      </c>
      <c r="F20" s="35" t="str">
        <f t="shared" si="1"/>
        <v>No</v>
      </c>
      <c r="H20" s="130"/>
      <c r="I20" s="125"/>
      <c r="J20" s="76">
        <f t="shared" si="2"/>
        <v>0.6246112838738338</v>
      </c>
      <c r="K20" s="3">
        <f t="shared" si="3"/>
        <v>-0.47062576853612209</v>
      </c>
      <c r="L20" s="3">
        <f t="shared" si="4"/>
        <v>0.18157556945115166</v>
      </c>
      <c r="M20" s="3">
        <f t="shared" si="5"/>
        <v>0.43753291227103142</v>
      </c>
      <c r="N20" s="35">
        <f t="shared" si="6"/>
        <v>0.89167979139554598</v>
      </c>
      <c r="P20" s="123"/>
      <c r="Q20" s="76">
        <f t="shared" si="7"/>
        <v>0.62791867576983518</v>
      </c>
      <c r="R20" s="3">
        <f t="shared" si="8"/>
        <v>0.17804708280597042</v>
      </c>
      <c r="S20" s="3">
        <f t="shared" si="9"/>
        <v>0.44290294213769382</v>
      </c>
      <c r="T20" s="35">
        <f t="shared" si="10"/>
        <v>0.89022182033273878</v>
      </c>
      <c r="V20" s="123"/>
      <c r="W20" s="76">
        <f t="shared" si="11"/>
        <v>-1.3086050460811238E-2</v>
      </c>
      <c r="X20" s="3">
        <f t="shared" si="12"/>
        <v>5.0308189320197871E-3</v>
      </c>
      <c r="Y20" s="3">
        <f t="shared" si="13"/>
        <v>-2.294893428038592E-2</v>
      </c>
      <c r="Z20" s="35">
        <f t="shared" si="14"/>
        <v>-3.2231666412365547E-3</v>
      </c>
      <c r="AB20" s="123"/>
      <c r="AC20" s="76">
        <f t="shared" si="15"/>
        <v>0.63308727746417714</v>
      </c>
      <c r="AD20" s="3">
        <f t="shared" si="16"/>
        <v>-0.45714698725208175</v>
      </c>
      <c r="AE20" s="3">
        <f t="shared" si="17"/>
        <v>0.17652143904004144</v>
      </c>
      <c r="AF20" s="3">
        <f t="shared" si="18"/>
        <v>0.44788625187182707</v>
      </c>
      <c r="AG20" s="35">
        <f t="shared" si="19"/>
        <v>0.89486895213229711</v>
      </c>
      <c r="AI20" s="130"/>
      <c r="AJ20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10</v>
      </c>
      <c r="AK20" s="6">
        <f>IF(AJ20&lt;&gt;"",IF(AJ20=0,COUNTIF(AJ$2:AJ19,0)+1,COUNTIF(AJ$2:AJ19,AJ20)+AJ20+COUNTIF(AJ:AJ,0)),"")</f>
        <v>10</v>
      </c>
      <c r="AL20" s="6">
        <f t="shared" si="20"/>
        <v>10</v>
      </c>
      <c r="AM20" s="3" t="str">
        <f>IF(AND(Include_study?="Yes",Sufficient_data="Yes",Input!Study_name&lt;&gt;""),Input!Study_name,"")</f>
        <v>Fan et al.</v>
      </c>
      <c r="AN20" s="6">
        <f t="shared" si="21"/>
        <v>4490</v>
      </c>
      <c r="AO20" s="3">
        <f t="shared" si="22"/>
        <v>0.6246112838738338</v>
      </c>
      <c r="AP20" s="3">
        <f t="shared" si="23"/>
        <v>30.330891136916954</v>
      </c>
      <c r="AQ20" s="3">
        <f t="shared" si="24"/>
        <v>14.173924148618651</v>
      </c>
      <c r="AR20" s="3">
        <f t="shared" si="25"/>
        <v>0.18157556945115166</v>
      </c>
      <c r="AS20" s="3">
        <f t="shared" si="26"/>
        <v>0.43753291227103142</v>
      </c>
      <c r="AT20" s="3">
        <f t="shared" si="27"/>
        <v>0.89167979139554598</v>
      </c>
      <c r="AU20" s="80">
        <f t="shared" si="28"/>
        <v>9.1089847507293362E-2</v>
      </c>
      <c r="AW20" s="44">
        <f t="shared" si="29"/>
        <v>0.6246112838738338</v>
      </c>
      <c r="AX20" s="3">
        <f t="shared" si="30"/>
        <v>0.18707837160280238</v>
      </c>
      <c r="AY20" s="35">
        <f t="shared" si="31"/>
        <v>0.26706850752171218</v>
      </c>
      <c r="BD20" s="130"/>
      <c r="BE20" s="125"/>
      <c r="BF20" s="3">
        <f t="shared" si="32"/>
        <v>-0.47062576853612209</v>
      </c>
      <c r="BG20" s="3">
        <f t="shared" si="33"/>
        <v>0.18157556945115166</v>
      </c>
      <c r="BH20" s="3">
        <f t="shared" si="34"/>
        <v>30.330891136916954</v>
      </c>
      <c r="BI20" s="3">
        <f t="shared" si="99"/>
        <v>14.173924148618651</v>
      </c>
      <c r="BJ20" s="35">
        <f t="shared" si="35"/>
        <v>-0.10855144463153671</v>
      </c>
      <c r="BL20" s="3" t="s">
        <v>153</v>
      </c>
      <c r="BM20" s="3">
        <f>MAX((Q_-(k_-1))/(SUM(Weightf)-SUMPRODUCT(Weightf,Weightf)/SUM(Weightf)),0)</f>
        <v>3.7582404540789441E-2</v>
      </c>
      <c r="BO20" s="123"/>
      <c r="BP20" s="3">
        <f t="shared" si="36"/>
        <v>24.424944320712694</v>
      </c>
      <c r="BQ20" s="3">
        <f t="shared" si="37"/>
        <v>39.10423162583519</v>
      </c>
      <c r="BR20" s="3">
        <f t="shared" si="38"/>
        <v>11.755524426962168</v>
      </c>
      <c r="BS20" s="3">
        <f>IF(AND(Sufficient_data="Yes",Include_study?="Yes"),IF(Add_0_5="Yes",(a_+d_+1)*(ab_+0.5)*(c_+0.5)/(Number_of_subjects+2)^2,(a_+d_)*b_*c_/Number_of_subjects^2),"")</f>
        <v>18.820544441743841</v>
      </c>
      <c r="BT20" s="3">
        <f t="shared" si="39"/>
        <v>12.669419893750527</v>
      </c>
      <c r="BU20" s="3">
        <f t="shared" si="40"/>
        <v>20.283687184091349</v>
      </c>
      <c r="BV20" s="3">
        <f t="shared" si="41"/>
        <v>39.10423162583519</v>
      </c>
      <c r="BW20" s="3">
        <f t="shared" si="42"/>
        <v>0.31776785254985318</v>
      </c>
      <c r="BX20" s="3">
        <f t="shared" si="43"/>
        <v>15.519757258359236</v>
      </c>
      <c r="BY20" s="35">
        <f t="shared" si="44"/>
        <v>-0.10763127719233218</v>
      </c>
      <c r="CA20" s="3" t="s">
        <v>153</v>
      </c>
      <c r="CB20" s="3">
        <f>MAX((Q_MH-(k_-1))/(SUM(Weightf_MH)-SUMPRODUCT(Weightf_MH,Weightf_MH)/SUM(Weightf_MH)),0)</f>
        <v>3.1464310053636146E-2</v>
      </c>
      <c r="CD20" s="123"/>
      <c r="CE20" s="76">
        <f t="shared" si="45"/>
        <v>66.6792873051225</v>
      </c>
      <c r="CF20" s="3">
        <f t="shared" si="46"/>
        <v>31.544981363812884</v>
      </c>
      <c r="CG20" s="3">
        <f t="shared" si="47"/>
        <v>-0.46534461808121341</v>
      </c>
      <c r="CH20" s="3">
        <f t="shared" si="48"/>
        <v>3.1700763695716089E-2</v>
      </c>
      <c r="CI20" s="3">
        <f t="shared" si="49"/>
        <v>31.544981363812884</v>
      </c>
      <c r="CJ20" s="3">
        <f t="shared" si="50"/>
        <v>12.889932497230424</v>
      </c>
      <c r="CK20" s="35">
        <f t="shared" si="51"/>
        <v>-9.5523017406784427E-2</v>
      </c>
      <c r="CM20" s="3" t="s">
        <v>153</v>
      </c>
      <c r="CN20" s="3">
        <f>MAX((Q_Peto-(k_-1))/(SUM(Weightf_Peto)-SUMPRODUCT(Weightf_Peto,Weightf_Peto)/SUM(Weightf_Peto)),0)</f>
        <v>4.5879161584332008E-2</v>
      </c>
      <c r="CP20" s="123"/>
      <c r="CQ20" s="52">
        <f t="shared" si="52"/>
        <v>3.5665294924554183E-2</v>
      </c>
      <c r="CS20" s="2" t="s">
        <v>332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1.7641362160487224E-3</v>
      </c>
      <c r="CU20" s="3">
        <f>IF(Model_effect_size_measure="Odds Ratio",CU19/Z_value_MH,"")</f>
        <v>1.7663914465461087E-3</v>
      </c>
      <c r="CV20" s="3" t="str">
        <f>IF(Model_effect_size_measure="Peto Odds Ratio",CV19/Z_value_Peto,"")</f>
        <v/>
      </c>
      <c r="CX20" s="130"/>
      <c r="CY20" s="48">
        <f t="shared" si="53"/>
        <v>11</v>
      </c>
      <c r="CZ20" s="6" t="str">
        <f t="shared" si="54"/>
        <v>Fan et al.</v>
      </c>
      <c r="DA20" s="17" t="str">
        <f t="shared" si="55"/>
        <v>Multimodal</v>
      </c>
      <c r="DB20" s="3">
        <f t="shared" si="56"/>
        <v>-0.47062576853612209</v>
      </c>
      <c r="DC20" s="3">
        <f t="shared" si="57"/>
        <v>0.18157556945115166</v>
      </c>
      <c r="DD20" s="3">
        <f t="shared" si="58"/>
        <v>30.330891136916954</v>
      </c>
      <c r="DE20" s="3">
        <f t="shared" si="59"/>
        <v>10.25984011551291</v>
      </c>
      <c r="DF20" s="80">
        <f t="shared" si="60"/>
        <v>0.32288773530085685</v>
      </c>
      <c r="DG20" s="3">
        <f t="shared" si="61"/>
        <v>0.6246112838738338</v>
      </c>
      <c r="DH20" s="3">
        <f t="shared" si="62"/>
        <v>0.43753292163070195</v>
      </c>
      <c r="DI20" s="3">
        <f t="shared" si="63"/>
        <v>0.89167977232080053</v>
      </c>
      <c r="DJ20" s="35">
        <f t="shared" si="64"/>
        <v>-0.13632455474215577</v>
      </c>
      <c r="DL20" s="44">
        <f t="shared" si="65"/>
        <v>0.6246112838738338</v>
      </c>
      <c r="DM20" s="3">
        <f t="shared" si="100"/>
        <v>0.18707836224313185</v>
      </c>
      <c r="DN20" s="35">
        <f t="shared" si="101"/>
        <v>0.26706848844696673</v>
      </c>
      <c r="DP20" s="48">
        <f t="shared" si="102"/>
        <v>13</v>
      </c>
      <c r="DQ20" s="17" t="str">
        <f>IF(AND(Sufficient_data="Yes",Subgroup&lt;&gt;""),IF(COUNTIFS(Input!J$2:J15,"="&amp;"Yes",Input!C$2:C15,"="&amp;"Yes",Input!K$2:K15,"="&amp;Subgroup)&gt;0,"",Subgroup),"")</f>
        <v>Multimodal</v>
      </c>
      <c r="DR20" s="6">
        <f t="shared" si="103"/>
        <v>2</v>
      </c>
      <c r="DS20" s="6">
        <f t="shared" si="66"/>
        <v>3</v>
      </c>
      <c r="DT20" s="3">
        <f t="shared" si="67"/>
        <v>6.3193318327449894</v>
      </c>
      <c r="DU20" s="10">
        <f t="shared" si="104"/>
        <v>4.2439917193862996E-2</v>
      </c>
      <c r="DV20" s="9">
        <f t="shared" si="105"/>
        <v>0.6835108437198113</v>
      </c>
      <c r="DW20" s="10">
        <f t="shared" si="68"/>
        <v>66.968753953113378</v>
      </c>
      <c r="DX20" s="3">
        <f t="shared" si="69"/>
        <v>6.4497718380262373E-2</v>
      </c>
      <c r="DY20" s="3">
        <f t="shared" si="106"/>
        <v>0.253964010009809</v>
      </c>
      <c r="DZ20" s="3">
        <f t="shared" si="70"/>
        <v>-0.33430121379396632</v>
      </c>
      <c r="EA20" s="3">
        <f t="shared" si="71"/>
        <v>0.17734797122590742</v>
      </c>
      <c r="EB20" s="6">
        <f t="shared" si="72"/>
        <v>17421</v>
      </c>
      <c r="EC20" s="3">
        <f t="shared" si="107"/>
        <v>-1.097367946304646</v>
      </c>
      <c r="ED20" s="3">
        <f t="shared" si="108"/>
        <v>0.42876551871671326</v>
      </c>
      <c r="EE20" s="3">
        <f t="shared" si="109"/>
        <v>0.71583812943120884</v>
      </c>
      <c r="EF20" s="3">
        <f t="shared" si="110"/>
        <v>0.33374837229288107</v>
      </c>
      <c r="EG20" s="3">
        <f t="shared" si="111"/>
        <v>1.5353609787732354</v>
      </c>
      <c r="EH20" s="3">
        <f t="shared" si="112"/>
        <v>0.38208975713832777</v>
      </c>
      <c r="EI20" s="3">
        <f t="shared" si="113"/>
        <v>0.81952284934202657</v>
      </c>
      <c r="EJ20" s="3">
        <f t="shared" si="114"/>
        <v>-1.6670823369063721</v>
      </c>
      <c r="EK20" s="3">
        <f t="shared" si="73"/>
        <v>0.99847990931843955</v>
      </c>
      <c r="EL20" s="3">
        <f t="shared" si="115"/>
        <v>0.18879710918532366</v>
      </c>
      <c r="EM20" s="3">
        <f t="shared" si="116"/>
        <v>2.7141529325249119</v>
      </c>
      <c r="EN20" s="3">
        <f t="shared" si="117"/>
        <v>0.52704102024588517</v>
      </c>
      <c r="EO20" s="3">
        <f t="shared" si="118"/>
        <v>1.998314803093703</v>
      </c>
      <c r="EP20" s="3">
        <f t="shared" si="74"/>
        <v>1.9988098878820795</v>
      </c>
      <c r="EQ20" s="3">
        <f t="shared" si="119"/>
        <v>0.71583812943120884</v>
      </c>
      <c r="ER20" s="9" t="e">
        <f t="shared" si="120"/>
        <v>#VALUE!</v>
      </c>
      <c r="ES20" s="3">
        <f t="shared" si="121"/>
        <v>31.79417428494013</v>
      </c>
      <c r="ET20" s="3" t="e">
        <f t="shared" si="122"/>
        <v>#VALUE!</v>
      </c>
      <c r="EU20" s="3" t="e">
        <f t="shared" si="75"/>
        <v>#VALUE!</v>
      </c>
      <c r="EV20" s="35" t="e">
        <f t="shared" si="76"/>
        <v>#VALUE!</v>
      </c>
      <c r="EX20" s="2" t="s">
        <v>153</v>
      </c>
      <c r="EY20" s="3">
        <f>MAX(0,(EY17-(Subgroup_k-1))/(SUM(Subgroup_weightf)-(SUMPRODUCT(Subgroup_weightf,Subgroup_weightf)/SUM(Subgroup_weightf))))</f>
        <v>3.7582404540789441E-2</v>
      </c>
      <c r="FA20" s="130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30"/>
      <c r="FS20" s="125"/>
      <c r="FT20" s="76">
        <f>IF(AND(Include_study?="Yes",Sufficient_data="Yes"),IF(Additional_weighting_method="Inverse Variance",1/'Publication Bias Analysis'!F:F^2,IF(Additional_weighting_method="Mantel-Haenszel",Weightf_MH,Weightf_Peto)),"")</f>
        <v>30.330891136916954</v>
      </c>
      <c r="FU20" s="3">
        <f>IF(AND(Include_study?="Yes",Sufficient_data="Yes"),1/('Publication Bias Analysis'!F:F^2+IF(Additional_model="Fixed effect",0,Calculations!GH$12)),"")</f>
        <v>30.330891136916954</v>
      </c>
      <c r="FV20" s="3">
        <f>IF(AND(Include_study?="Yes",Sufficient_data="Yes"),1/('Publication Bias Analysis'!F:F^2+IF(Additional_model="Fixed effect",0,'Publication Bias Analysis'!L$32)),"")</f>
        <v>30.330891136916954</v>
      </c>
      <c r="FW20" s="3">
        <f>IF(AND(Include_study?="Yes",Sufficient_data="Yes"),'Publication Bias Analysis'!E:E-'Publication Bias Analysis'!I$37,"")</f>
        <v>-9.7867298148868853E-2</v>
      </c>
      <c r="FX20" s="3">
        <f>IF(AND(Include_study?="Yes",Sufficient_data="Yes"),IF(Additional_model="Fixed effect",1/'Publication Bias Analysis'!F:F,1/SQRT('Publication Bias Analysis'!F:F^2+GH$12)),"")</f>
        <v>5.5073488301465847</v>
      </c>
      <c r="FY20" s="3">
        <f>IF(AND(Include_study?="Yes",Sufficient_data="Yes"),IF(Additional_model="Fixed effect",'Publication Bias Analysis'!E:E/'Publication Bias Analysis'!F:F,'Publication Bias Analysis'!E:E/SQRT('Publication Bias Analysis'!F:F^2+GH$12)),"")</f>
        <v>-2.5919002757842491</v>
      </c>
      <c r="FZ20" s="6">
        <f t="shared" si="80"/>
        <v>2</v>
      </c>
      <c r="GA20" s="83">
        <f>IF(AND(Include_study?="Yes",Sufficient_data="Yes"),FZ:FZ+IF(GL:GL&lt;0,-1,1)*COUNTIF(FZ$2:FZ19,FZ:FZ),"")</f>
        <v>2</v>
      </c>
      <c r="GB20" s="83">
        <f>IF(AND(Include_study?="Yes",Sufficient_data="Yes"),RANK(GP:GP,GP:GP,1)*IF(GO:GO&lt;0,-1,1)+IF(GO:GO&lt;0,-1,1)*COUNTIF(FZ$2:FZ19,FZ:FZ),"")</f>
        <v>2</v>
      </c>
      <c r="GC20" s="83">
        <f>IF(AND(Include_study?="Yes",Sufficient_data="Yes"),RANK(GS:GS,GS:GS,1)*IF(GR:GR&lt;0,-1,1)+IF(GR:GR&lt;0,-1,1)*COUNTIF(FZ$2:FZ19,FZ:FZ),"")</f>
        <v>2</v>
      </c>
      <c r="GD20" s="3">
        <f>IF(AND(Include_study?="Yes",Sufficient_data="Yes"),'Publication Bias Analysis'!E20,NA())</f>
        <v>-0.47062576853612209</v>
      </c>
      <c r="GE20" s="35">
        <f>IF(AND(Include_study?="Yes",Sufficient_data="Yes"),'Publication Bias Analysis'!F20,NA())</f>
        <v>0.18157556945115166</v>
      </c>
      <c r="GG20" s="2" t="s">
        <v>333</v>
      </c>
      <c r="GH20" s="3">
        <f>IF(AND(Trim_and_fill="On",Additional_valid_options="Yes"),'Publication Bias Analysis'!I37-'Publication Bias Analysis'!I39,NA())</f>
        <v>0.12084693572109245</v>
      </c>
      <c r="GK20" s="123"/>
      <c r="GL20" s="76">
        <f>IF(AND(Include_study?="Yes",Sufficient_data="Yes"),IF('Publication Bias Analysis'!L$38="Left",'Publication Bias Analysis'!E:E-'Publication Bias Analysis'!I$29,'Publication Bias Analysis'!I$29-'Publication Bias Analysis'!E:E),"")</f>
        <v>9.7867298148868853E-2</v>
      </c>
      <c r="GM20" s="3">
        <f t="shared" si="81"/>
        <v>9.7867298148868853E-2</v>
      </c>
      <c r="GN20" s="35">
        <f>IF(AND(Include_study?="Yes",Sufficient_data="Yes"),IF(AND(Additional_weighting_method="Mantel-Haenszel",Additional_model="Fixed effect"),Weightf_MH,1/('Publication Bias Analysis'!F:F^2+IF(Additional_model="Fixed effect",0,GW$6))),"")</f>
        <v>30.330891136916954</v>
      </c>
      <c r="GO20" s="3">
        <f>IF(AND(Include_study?="Yes",Sufficient_data="Yes"),IF('Publication Bias Analysis'!L$38="Left",'Publication Bias Analysis'!E:E-GW$3,GW$3-'Publication Bias Analysis'!E:E),"")</f>
        <v>9.7867298148868853E-2</v>
      </c>
      <c r="GP20" s="3">
        <f t="shared" si="82"/>
        <v>9.7867298148868853E-2</v>
      </c>
      <c r="GQ20" s="35">
        <f>IF(AND(Include_study?="Yes",Sufficient_data="Yes"),IF(AND(Additional_weighting_method="Mantel-Haenszel",Additional_model="Fixed effect"),Weightf_MH,1/('Publication Bias Analysis'!F:F^2+IF(Additional_model="Fixed effect",0,GW$13))),"")</f>
        <v>30.330891136916954</v>
      </c>
      <c r="GR20" s="3">
        <f>IF(AND(Include_study?="Yes",Sufficient_data="Yes"),IF('Publication Bias Analysis'!L$38="Left",'Publication Bias Analysis'!E:E-GW$10,GW$10-'Publication Bias Analysis'!E:E),"")</f>
        <v>9.7867298148868853E-2</v>
      </c>
      <c r="GS20" s="3">
        <f t="shared" si="83"/>
        <v>9.7867298148868853E-2</v>
      </c>
      <c r="GT20" s="35">
        <f>IF(AND(Include_study?="Yes",Sufficient_data="Yes"),IF(AND(Additional_weighting_method="Mantel-Haenszel",Additional_model="Fixed effect"),Weightf_MH,1/('Publication Bias Analysis'!F:F^2+IF(Additional_model="Fixed effect",0,GW$20))),"")</f>
        <v>30.330891136916954</v>
      </c>
      <c r="GV20" s="2" t="s">
        <v>153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3.4334074302217646E-2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23"/>
      <c r="HL20" s="3">
        <f t="shared" si="89"/>
        <v>-2.2061046488714986E-2</v>
      </c>
      <c r="HM20" s="35">
        <f>IF(AND(Include_study?="Yes",Sufficient_data="Yes"),Z_score-('Publication Bias Analysis'!P$3+'Publication Bias Analysis'!P$4*Inverse_standard_error),"")</f>
        <v>-0.61619734275061377</v>
      </c>
      <c r="HO20" s="123"/>
      <c r="HP20" s="3">
        <f>IF(AND(Include_study?="Yes",Sufficient_data="Yes"),(GD:GD-SUMPRODUCT(Calculations!FT:FT,'Publication Bias Analysis'!E:E)/SUM(Calculations!FT:FT))/SQRT(Calculations!HQ:HQ),"")</f>
        <v>-0.56477298926748853</v>
      </c>
      <c r="HQ20" s="3">
        <f>IF(AND(Include_study?="Yes",Sufficient_data="Yes"),GE:GE^2-1/SUM(Calculations!FT:FT),"")</f>
        <v>3.0028065981281025E-2</v>
      </c>
      <c r="HR20" s="6">
        <f t="shared" si="90"/>
        <v>8</v>
      </c>
      <c r="HS20" s="6">
        <f t="shared" si="91"/>
        <v>5</v>
      </c>
      <c r="HT20" s="6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>7</v>
      </c>
      <c r="HU20" s="57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>3</v>
      </c>
      <c r="HW20" s="123"/>
      <c r="IB20" s="123"/>
      <c r="IC20" s="76">
        <f t="shared" si="92"/>
        <v>2.2579244463742945E-2</v>
      </c>
      <c r="ID20" s="3">
        <f t="shared" si="93"/>
        <v>3.5665294924554183E-2</v>
      </c>
      <c r="IE20" s="3">
        <f t="shared" si="94"/>
        <v>32.092613180687799</v>
      </c>
      <c r="IF20" s="35">
        <f t="shared" si="95"/>
        <v>30.330891136916954</v>
      </c>
      <c r="IK20" s="123"/>
      <c r="IL20" s="3">
        <f>IF(AND(Include_study?="Yes",Sufficient_data="Yes"),'Publication Bias Analysis'!AV:AV,NA())</f>
        <v>-2.5919002757842491</v>
      </c>
      <c r="IM20" s="3">
        <f>IF(AND(Sufficient_data="Yes",Include_study?="Yes"),'Publication Bias Analysis'!AU:AU,NA())</f>
        <v>5.5073488301465847</v>
      </c>
      <c r="IN20" s="3">
        <f t="shared" si="96"/>
        <v>-2.2061046488714986E-2</v>
      </c>
      <c r="IO20" s="35">
        <f>IF(AND(Include_study?="Yes",Sufficient_data="Yes"),Z_score-('Publication Bias Analysis'!AY$30+'Publication Bias Analysis'!AY$31*Inverse_standard_error),"")</f>
        <v>-0.53898934996977976</v>
      </c>
      <c r="IU20" s="123"/>
      <c r="IV20" s="6">
        <f>IF('Publication Bias Analysis'!BG:BG&lt;&gt;"",RANK('Publication Bias Analysis'!BG:BG,'Publication Bias Analysis'!BG:BG,1)+COUNTIF('Publication Bias Analysis'!BG$2:BG19,'Publication Bias Analysis'!BG20),"")</f>
        <v>4</v>
      </c>
      <c r="IW20" s="3">
        <f t="shared" si="97"/>
        <v>0.32352941176470584</v>
      </c>
      <c r="IX20" s="3">
        <f>IF('Publication Bias Analysis'!BF20&lt;&gt;"",'Publication Bias Analysis'!BF20,NA())</f>
        <v>-0.45785193101249527</v>
      </c>
      <c r="IY20" s="3">
        <f>IF('Publication Bias Analysis'!BG20&lt;&gt;"",'Publication Bias Analysis'!BG20,NA())</f>
        <v>-2.5919002757842491</v>
      </c>
      <c r="IZ20" s="3">
        <f>IF(AND(Include_study?="Yes",Sufficient_data="Yes"),'Publication Bias Analysis'!BF:BF-AVERAGE('Publication Bias Analysis'!BF:BF),"")</f>
        <v>-0.45785193101249472</v>
      </c>
      <c r="JA20" s="35">
        <f>IF(AND(Include_study?="Yes",Sufficient_data="Yes"),'Publication Bias Analysis'!BG:BG-('Publication Bias Analysis'!BJ$30+'Publication Bias Analysis'!BJ$31*'Publication Bias Analysis'!BF:BF),"")</f>
        <v>0.15341641202168033</v>
      </c>
      <c r="JG20" s="123"/>
      <c r="JH20" s="3">
        <f t="shared" si="98"/>
        <v>-2.5919002757842491</v>
      </c>
      <c r="JI20" s="10">
        <f t="shared" si="124"/>
        <v>4.7723717347913919E-3</v>
      </c>
      <c r="JJ20" s="35">
        <f t="shared" si="125"/>
        <v>-5.3449118786204766</v>
      </c>
    </row>
    <row r="21" spans="1:270">
      <c r="A21" s="2">
        <f t="shared" si="0"/>
        <v>11</v>
      </c>
      <c r="B21" s="6">
        <f>IF(AND(Include_study?="Yes",Sufficient_data="Yes"),IF(Input!a_&lt;&gt;"",Input!a_,Input!n1_-Input!b_),"")</f>
        <v>61</v>
      </c>
      <c r="C21" s="6">
        <f>IF(AND(Include_study?="Yes",Sufficient_data="Yes"),IF(Input!b_&lt;&gt;"",Input!b_,Input!n1_-Input!a_),"")</f>
        <v>3336</v>
      </c>
      <c r="D21" s="6">
        <f>IF(AND(Include_study?="Yes",Sufficient_data="Yes"),IF(Input!c_&lt;&gt;"",Input!c_,Input!n2_-Input!d_),"")</f>
        <v>71</v>
      </c>
      <c r="E21" s="6">
        <f>IF(AND(Include_study?="Yes",Sufficient_data="Yes"),IF(Input!d_&lt;&gt;"",Input!d_,Input!n2_-Input!c_),"")</f>
        <v>3965</v>
      </c>
      <c r="F21" s="35" t="str">
        <f t="shared" si="1"/>
        <v>No</v>
      </c>
      <c r="H21" s="130"/>
      <c r="I21" s="125"/>
      <c r="J21" s="76">
        <f t="shared" si="2"/>
        <v>1.0211478704360455</v>
      </c>
      <c r="K21" s="3">
        <f t="shared" si="3"/>
        <v>2.0927357722306771E-2</v>
      </c>
      <c r="L21" s="3">
        <f t="shared" si="4"/>
        <v>0.17615310575358792</v>
      </c>
      <c r="M21" s="3">
        <f t="shared" si="5"/>
        <v>0.72297355850091849</v>
      </c>
      <c r="N21" s="35">
        <f t="shared" si="6"/>
        <v>1.4422975239346127</v>
      </c>
      <c r="P21" s="123"/>
      <c r="Q21" s="76">
        <f t="shared" si="7"/>
        <v>1.02116280899106</v>
      </c>
      <c r="R21" s="3">
        <f t="shared" si="8"/>
        <v>0.17628505328709307</v>
      </c>
      <c r="S21" s="3">
        <f t="shared" si="9"/>
        <v>0.72279715606189809</v>
      </c>
      <c r="T21" s="35">
        <f t="shared" si="10"/>
        <v>1.4426917340792806</v>
      </c>
      <c r="V21" s="123"/>
      <c r="W21" s="76">
        <f t="shared" si="11"/>
        <v>3.6534597512583727E-4</v>
      </c>
      <c r="X21" s="3">
        <f t="shared" si="12"/>
        <v>3.0778615114462182E-3</v>
      </c>
      <c r="Y21" s="3">
        <f t="shared" si="13"/>
        <v>-5.6681344700600222E-3</v>
      </c>
      <c r="Z21" s="35">
        <f t="shared" si="14"/>
        <v>6.3988264203116967E-3</v>
      </c>
      <c r="AB21" s="123"/>
      <c r="AC21" s="76">
        <f t="shared" si="15"/>
        <v>1.0207681176846179</v>
      </c>
      <c r="AD21" s="3">
        <f t="shared" si="16"/>
        <v>2.0555400444911279E-2</v>
      </c>
      <c r="AE21" s="3">
        <f t="shared" si="17"/>
        <v>0.17301965843224987</v>
      </c>
      <c r="AF21" s="3">
        <f t="shared" si="18"/>
        <v>0.72715752825657143</v>
      </c>
      <c r="AG21" s="35">
        <f t="shared" si="19"/>
        <v>1.432932355908648</v>
      </c>
      <c r="AI21" s="130"/>
      <c r="AJ21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11</v>
      </c>
      <c r="AK21" s="6">
        <f>IF(AJ21&lt;&gt;"",IF(AJ21=0,COUNTIF(AJ$2:AJ20,0)+1,COUNTIF(AJ$2:AJ20,AJ21)+AJ21+COUNTIF(AJ:AJ,0)),"")</f>
        <v>11</v>
      </c>
      <c r="AL21" s="6">
        <f t="shared" si="20"/>
        <v>11</v>
      </c>
      <c r="AM21" s="3" t="str">
        <f>IF(AND(Include_study?="Yes",Sufficient_data="Yes",Input!Study_name&lt;&gt;""),Input!Study_name,"")</f>
        <v>Zou et al.</v>
      </c>
      <c r="AN21" s="6">
        <f t="shared" si="21"/>
        <v>7433</v>
      </c>
      <c r="AO21" s="3">
        <f t="shared" si="22"/>
        <v>1.0211478704360455</v>
      </c>
      <c r="AP21" s="3">
        <f t="shared" si="23"/>
        <v>32.226963763497999</v>
      </c>
      <c r="AQ21" s="3">
        <f t="shared" si="24"/>
        <v>14.57464173201293</v>
      </c>
      <c r="AR21" s="3">
        <f t="shared" si="25"/>
        <v>0.17615310575358792</v>
      </c>
      <c r="AS21" s="3">
        <f t="shared" si="26"/>
        <v>0.72297355850091849</v>
      </c>
      <c r="AT21" s="3">
        <f t="shared" si="27"/>
        <v>1.4422975239346127</v>
      </c>
      <c r="AU21" s="80">
        <f t="shared" si="28"/>
        <v>9.3665090833146308E-2</v>
      </c>
      <c r="AW21" s="44">
        <f t="shared" si="29"/>
        <v>1.0211478704360455</v>
      </c>
      <c r="AX21" s="3">
        <f t="shared" si="30"/>
        <v>0.298174311935127</v>
      </c>
      <c r="AY21" s="35">
        <f t="shared" si="31"/>
        <v>0.42114965349856726</v>
      </c>
      <c r="BD21" s="130"/>
      <c r="BE21" s="125"/>
      <c r="BF21" s="3">
        <f t="shared" si="32"/>
        <v>2.0927357722306771E-2</v>
      </c>
      <c r="BG21" s="3">
        <f t="shared" si="33"/>
        <v>0.17615310575358792</v>
      </c>
      <c r="BH21" s="3">
        <f t="shared" si="34"/>
        <v>32.226963763497999</v>
      </c>
      <c r="BI21" s="3">
        <f t="shared" si="99"/>
        <v>14.57464173201293</v>
      </c>
      <c r="BJ21" s="35">
        <f t="shared" si="35"/>
        <v>0.38300168162689213</v>
      </c>
      <c r="BO21" s="123"/>
      <c r="BP21" s="3">
        <f t="shared" si="36"/>
        <v>32.539351540427823</v>
      </c>
      <c r="BQ21" s="3">
        <f t="shared" si="37"/>
        <v>31.865464819050182</v>
      </c>
      <c r="BR21" s="3">
        <f t="shared" si="38"/>
        <v>17.624570066159343</v>
      </c>
      <c r="BS21" s="3">
        <f>IF(AND(Sufficient_data="Yes",Include_study?="Yes"),IF(Add_0_5="Yes",(a_+d_+1)*(ab_+0.5)*(c_+0.5)/(Number_of_subjects+2)^2,(a_+d_)*b_*c_/Number_of_subjects^2),"")</f>
        <v>17.259566979886458</v>
      </c>
      <c r="BT21" s="3">
        <f t="shared" si="39"/>
        <v>14.914781474268477</v>
      </c>
      <c r="BU21" s="3">
        <f t="shared" si="40"/>
        <v>14.605897839163726</v>
      </c>
      <c r="BV21" s="3">
        <f t="shared" si="41"/>
        <v>31.865464819050182</v>
      </c>
      <c r="BW21" s="3">
        <f t="shared" si="42"/>
        <v>4.8815654868387979</v>
      </c>
      <c r="BX21" s="3">
        <f t="shared" si="43"/>
        <v>16.001478096146059</v>
      </c>
      <c r="BY21" s="35">
        <f t="shared" si="44"/>
        <v>0.38392184906609667</v>
      </c>
      <c r="CD21" s="123"/>
      <c r="CE21" s="76">
        <f t="shared" si="45"/>
        <v>60.326113278622358</v>
      </c>
      <c r="CF21" s="3">
        <f t="shared" si="46"/>
        <v>32.178738722153774</v>
      </c>
      <c r="CG21" s="3">
        <f t="shared" si="47"/>
        <v>2.0941986794333164E-2</v>
      </c>
      <c r="CH21" s="3">
        <f t="shared" si="48"/>
        <v>3.1076420012433242E-2</v>
      </c>
      <c r="CI21" s="3">
        <f t="shared" si="49"/>
        <v>32.178738722153774</v>
      </c>
      <c r="CJ21" s="3">
        <f t="shared" si="50"/>
        <v>12.994509030414944</v>
      </c>
      <c r="CK21" s="35">
        <f t="shared" si="51"/>
        <v>0.39076358746876216</v>
      </c>
      <c r="CP21" s="123"/>
      <c r="CQ21" s="52">
        <f t="shared" si="52"/>
        <v>1.7591674925668981E-2</v>
      </c>
      <c r="CS21" s="2" t="s">
        <v>102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-1.2090439670793957E-2</v>
      </c>
      <c r="CU21" s="3">
        <f>IF(Model_effect_size_measure="Odds Ratio",CU19-CU20*ABS(TINV((1-Confidence_level),k_-1)),"")</f>
        <v>-1.2112810117462899E-2</v>
      </c>
      <c r="CV21" s="3" t="str">
        <f>IF(Model_effect_size_measure="Peto Odds Ratio",CV19-CV20*ABS(TINV((1-Confidence_level),k_-1)),"")</f>
        <v/>
      </c>
      <c r="CX21" s="130"/>
      <c r="CY21" s="48">
        <f t="shared" si="53"/>
        <v>12</v>
      </c>
      <c r="CZ21" s="6" t="str">
        <f t="shared" si="54"/>
        <v>Zou et al.</v>
      </c>
      <c r="DA21" s="17" t="str">
        <f t="shared" si="55"/>
        <v>Multimodal</v>
      </c>
      <c r="DB21" s="3">
        <f t="shared" si="56"/>
        <v>2.0927357722306771E-2</v>
      </c>
      <c r="DC21" s="3">
        <f t="shared" si="57"/>
        <v>0.17615310575358792</v>
      </c>
      <c r="DD21" s="3">
        <f t="shared" si="58"/>
        <v>32.226963763497999</v>
      </c>
      <c r="DE21" s="3">
        <f t="shared" si="59"/>
        <v>10.468174989458003</v>
      </c>
      <c r="DF21" s="80">
        <f t="shared" si="60"/>
        <v>0.32944424835320063</v>
      </c>
      <c r="DG21" s="3">
        <f t="shared" si="61"/>
        <v>1.0211478704360455</v>
      </c>
      <c r="DH21" s="3">
        <f t="shared" si="62"/>
        <v>0.7229735639731879</v>
      </c>
      <c r="DI21" s="3">
        <f t="shared" si="63"/>
        <v>1.4422975130176983</v>
      </c>
      <c r="DJ21" s="35">
        <f t="shared" si="64"/>
        <v>0.35522857151627307</v>
      </c>
      <c r="DL21" s="44">
        <f t="shared" si="65"/>
        <v>1.0211478704360455</v>
      </c>
      <c r="DM21" s="3">
        <f t="shared" si="100"/>
        <v>0.29817430646285759</v>
      </c>
      <c r="DN21" s="35">
        <f t="shared" si="101"/>
        <v>0.42114964258165277</v>
      </c>
      <c r="DP21" s="48">
        <f t="shared" si="102"/>
        <v>13</v>
      </c>
      <c r="DQ21" s="17" t="str">
        <f>IF(AND(Sufficient_data="Yes",Subgroup&lt;&gt;""),IF(COUNTIFS(Input!J$2:J16,"="&amp;"Yes",Input!C$2:C16,"="&amp;"Yes",Input!K$2:K16,"="&amp;Subgroup)&gt;0,"",Subgroup),"")</f>
        <v>Multimodal</v>
      </c>
      <c r="DR21" s="6">
        <f t="shared" si="103"/>
        <v>2</v>
      </c>
      <c r="DS21" s="6">
        <f t="shared" si="66"/>
        <v>3</v>
      </c>
      <c r="DT21" s="3">
        <f t="shared" si="67"/>
        <v>6.3193318327449894</v>
      </c>
      <c r="DU21" s="10">
        <f t="shared" si="104"/>
        <v>4.2439917193862996E-2</v>
      </c>
      <c r="DV21" s="9">
        <f t="shared" si="105"/>
        <v>0.6835108437198113</v>
      </c>
      <c r="DW21" s="10">
        <f t="shared" si="68"/>
        <v>66.968753953113378</v>
      </c>
      <c r="DX21" s="3">
        <f t="shared" si="69"/>
        <v>6.4497718380262373E-2</v>
      </c>
      <c r="DY21" s="3">
        <f t="shared" si="106"/>
        <v>0.253964010009809</v>
      </c>
      <c r="DZ21" s="3">
        <f t="shared" si="70"/>
        <v>-0.33430121379396632</v>
      </c>
      <c r="EA21" s="3">
        <f t="shared" si="71"/>
        <v>0.17734797122590742</v>
      </c>
      <c r="EB21" s="6">
        <f t="shared" si="72"/>
        <v>17421</v>
      </c>
      <c r="EC21" s="3">
        <f t="shared" si="107"/>
        <v>-1.097367946304646</v>
      </c>
      <c r="ED21" s="3">
        <f t="shared" si="108"/>
        <v>0.42876551871671326</v>
      </c>
      <c r="EE21" s="3">
        <f t="shared" si="109"/>
        <v>0.71583812943120884</v>
      </c>
      <c r="EF21" s="3">
        <f t="shared" si="110"/>
        <v>0.33374837229288107</v>
      </c>
      <c r="EG21" s="3">
        <f t="shared" si="111"/>
        <v>1.5353609787732354</v>
      </c>
      <c r="EH21" s="3">
        <f t="shared" si="112"/>
        <v>0.38208975713832777</v>
      </c>
      <c r="EI21" s="3">
        <f t="shared" si="113"/>
        <v>0.81952284934202657</v>
      </c>
      <c r="EJ21" s="3">
        <f t="shared" si="114"/>
        <v>-1.6670823369063721</v>
      </c>
      <c r="EK21" s="3">
        <f t="shared" si="73"/>
        <v>0.99847990931843955</v>
      </c>
      <c r="EL21" s="3">
        <f t="shared" si="115"/>
        <v>0.18879710918532366</v>
      </c>
      <c r="EM21" s="3">
        <f t="shared" si="116"/>
        <v>2.7141529325249119</v>
      </c>
      <c r="EN21" s="3">
        <f t="shared" si="117"/>
        <v>0.52704102024588517</v>
      </c>
      <c r="EO21" s="3">
        <f t="shared" si="118"/>
        <v>1.998314803093703</v>
      </c>
      <c r="EP21" s="3">
        <f t="shared" si="74"/>
        <v>1.9988098878820795</v>
      </c>
      <c r="EQ21" s="3">
        <f t="shared" si="119"/>
        <v>0.71583812943120884</v>
      </c>
      <c r="ER21" s="9" t="e">
        <f t="shared" si="120"/>
        <v>#VALUE!</v>
      </c>
      <c r="ES21" s="3">
        <f t="shared" si="121"/>
        <v>31.79417428494013</v>
      </c>
      <c r="ET21" s="3" t="e">
        <f t="shared" si="122"/>
        <v>#VALUE!</v>
      </c>
      <c r="EU21" s="3" t="e">
        <f t="shared" si="75"/>
        <v>#VALUE!</v>
      </c>
      <c r="EV21" s="35" t="e">
        <f t="shared" si="76"/>
        <v>#VALUE!</v>
      </c>
      <c r="EX21" s="2" t="s">
        <v>77</v>
      </c>
      <c r="EY21" s="3">
        <f>SQRT(EY20)</f>
        <v>0.19386181816126</v>
      </c>
      <c r="FA21" s="130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30"/>
      <c r="FS21" s="125"/>
      <c r="FT21" s="76">
        <f>IF(AND(Include_study?="Yes",Sufficient_data="Yes"),IF(Additional_weighting_method="Inverse Variance",1/'Publication Bias Analysis'!F:F^2,IF(Additional_weighting_method="Mantel-Haenszel",Weightf_MH,Weightf_Peto)),"")</f>
        <v>32.226963763497999</v>
      </c>
      <c r="FU21" s="3">
        <f>IF(AND(Include_study?="Yes",Sufficient_data="Yes"),1/('Publication Bias Analysis'!F:F^2+IF(Additional_model="Fixed effect",0,Calculations!GH$12)),"")</f>
        <v>32.226963763497999</v>
      </c>
      <c r="FV21" s="3">
        <f>IF(AND(Include_study?="Yes",Sufficient_data="Yes"),1/('Publication Bias Analysis'!F:F^2+IF(Additional_model="Fixed effect",0,'Publication Bias Analysis'!L$32)),"")</f>
        <v>32.226963763497999</v>
      </c>
      <c r="FW21" s="3">
        <f>IF(AND(Include_study?="Yes",Sufficient_data="Yes"),'Publication Bias Analysis'!E:E-'Publication Bias Analysis'!I$37,"")</f>
        <v>0.39368582810955999</v>
      </c>
      <c r="FX21" s="3">
        <f>IF(AND(Include_study?="Yes",Sufficient_data="Yes"),IF(Additional_model="Fixed effect",1/'Publication Bias Analysis'!F:F,1/SQRT('Publication Bias Analysis'!F:F^2+GH$12)),"")</f>
        <v>5.6768797559485087</v>
      </c>
      <c r="FY21" s="3">
        <f>IF(AND(Include_study?="Yes",Sufficient_data="Yes"),IF(Additional_model="Fixed effect",'Publication Bias Analysis'!E:E/'Publication Bias Analysis'!F:F,'Publication Bias Analysis'!E:E/SQRT('Publication Bias Analysis'!F:F^2+GH$12)),"")</f>
        <v>0.118802093399256</v>
      </c>
      <c r="FZ21" s="6">
        <f t="shared" si="80"/>
        <v>-10</v>
      </c>
      <c r="GA21" s="83">
        <f>IF(AND(Include_study?="Yes",Sufficient_data="Yes"),FZ:FZ+IF(GL:GL&lt;0,-1,1)*COUNTIF(FZ$2:FZ20,FZ:FZ),"")</f>
        <v>-10</v>
      </c>
      <c r="GB21" s="83">
        <f>IF(AND(Include_study?="Yes",Sufficient_data="Yes"),RANK(GP:GP,GP:GP,1)*IF(GO:GO&lt;0,-1,1)+IF(GO:GO&lt;0,-1,1)*COUNTIF(FZ$2:FZ20,FZ:FZ),"")</f>
        <v>-10</v>
      </c>
      <c r="GC21" s="83">
        <f>IF(AND(Include_study?="Yes",Sufficient_data="Yes"),RANK(GS:GS,GS:GS,1)*IF(GR:GR&lt;0,-1,1)+IF(GR:GR&lt;0,-1,1)*COUNTIF(FZ$2:FZ20,FZ:FZ),"")</f>
        <v>-10</v>
      </c>
      <c r="GD21" s="3">
        <f>IF(AND(Include_study?="Yes",Sufficient_data="Yes"),'Publication Bias Analysis'!E21,NA())</f>
        <v>2.0927357722306771E-2</v>
      </c>
      <c r="GE21" s="35">
        <f>IF(AND(Include_study?="Yes",Sufficient_data="Yes"),'Publication Bias Analysis'!F21,NA())</f>
        <v>0.17615310575358792</v>
      </c>
      <c r="GG21" s="2" t="s">
        <v>334</v>
      </c>
      <c r="GH21" s="3">
        <f>IF(AND(Trim_and_fill="On",Additional_valid_options="Yes"),'Publication Bias Analysis'!I37-'Publication Bias Analysis'!I41,NA())</f>
        <v>0.44853727891043654</v>
      </c>
      <c r="GK21" s="123"/>
      <c r="GL21" s="76">
        <f>IF(AND(Include_study?="Yes",Sufficient_data="Yes"),IF('Publication Bias Analysis'!L$38="Left",'Publication Bias Analysis'!E:E-'Publication Bias Analysis'!I$29,'Publication Bias Analysis'!I$29-'Publication Bias Analysis'!E:E),"")</f>
        <v>-0.39368582810955999</v>
      </c>
      <c r="GM21" s="3">
        <f t="shared" si="81"/>
        <v>0.39368582810955999</v>
      </c>
      <c r="GN21" s="35">
        <f>IF(AND(Include_study?="Yes",Sufficient_data="Yes"),IF(AND(Additional_weighting_method="Mantel-Haenszel",Additional_model="Fixed effect"),Weightf_MH,1/('Publication Bias Analysis'!F:F^2+IF(Additional_model="Fixed effect",0,GW$6))),"")</f>
        <v>32.226963763497999</v>
      </c>
      <c r="GO21" s="3">
        <f>IF(AND(Include_study?="Yes",Sufficient_data="Yes"),IF('Publication Bias Analysis'!L$38="Left",'Publication Bias Analysis'!E:E-GW$3,GW$3-'Publication Bias Analysis'!E:E),"")</f>
        <v>-0.39368582810955999</v>
      </c>
      <c r="GP21" s="3">
        <f t="shared" si="82"/>
        <v>0.39368582810955999</v>
      </c>
      <c r="GQ21" s="35">
        <f>IF(AND(Include_study?="Yes",Sufficient_data="Yes"),IF(AND(Additional_weighting_method="Mantel-Haenszel",Additional_model="Fixed effect"),Weightf_MH,1/('Publication Bias Analysis'!F:F^2+IF(Additional_model="Fixed effect",0,GW$13))),"")</f>
        <v>32.226963763497999</v>
      </c>
      <c r="GR21" s="3">
        <f>IF(AND(Include_study?="Yes",Sufficient_data="Yes"),IF('Publication Bias Analysis'!L$38="Left",'Publication Bias Analysis'!E:E-GW$10,GW$10-'Publication Bias Analysis'!E:E),"")</f>
        <v>-0.39368582810955999</v>
      </c>
      <c r="GS21" s="3">
        <f t="shared" si="83"/>
        <v>0.39368582810955999</v>
      </c>
      <c r="GT21" s="35">
        <f>IF(AND(Include_study?="Yes",Sufficient_data="Yes"),IF(AND(Additional_weighting_method="Mantel-Haenszel",Additional_model="Fixed effect"),Weightf_MH,1/('Publication Bias Analysis'!F:F^2+IF(Additional_model="Fixed effect",0,GW$20))),"")</f>
        <v>32.226963763497999</v>
      </c>
      <c r="GV21" s="36" t="s">
        <v>311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23"/>
      <c r="HL21" s="3">
        <f t="shared" si="89"/>
        <v>0.14746987931320898</v>
      </c>
      <c r="HM21" s="35">
        <f>IF(AND(Include_study?="Yes",Sufficient_data="Yes"),Z_score-('Publication Bias Analysis'!P$3+'Publication Bias Analysis'!P$4*Inverse_standard_error),"")</f>
        <v>2.3178119709602489</v>
      </c>
      <c r="HO21" s="123"/>
      <c r="HP21" s="3">
        <f>IF(AND(Include_study?="Yes",Sufficient_data="Yes"),(GD:GD-SUMPRODUCT(Calculations!FT:FT,'Publication Bias Analysis'!E:E)/SUM(Calculations!FT:FT))/SQRT(Calculations!HQ:HQ),"")</f>
        <v>2.3490220353009645</v>
      </c>
      <c r="HQ21" s="3">
        <f>IF(AND(Include_study?="Yes",Sufficient_data="Yes"),GE:GE^2-1/SUM(Calculations!FT:FT),"")</f>
        <v>2.8088295226405754E-2</v>
      </c>
      <c r="HR21" s="6">
        <f t="shared" si="90"/>
        <v>1</v>
      </c>
      <c r="HS21" s="6">
        <f t="shared" si="91"/>
        <v>6</v>
      </c>
      <c r="HT21" s="6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>5</v>
      </c>
      <c r="HU21" s="57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>5</v>
      </c>
      <c r="HW21" s="123"/>
      <c r="IB21" s="123"/>
      <c r="IC21" s="76">
        <f t="shared" si="92"/>
        <v>1.7957020900794818E-2</v>
      </c>
      <c r="ID21" s="3">
        <f t="shared" si="93"/>
        <v>1.7591674925668981E-2</v>
      </c>
      <c r="IE21" s="3">
        <f t="shared" si="94"/>
        <v>33.404817187961179</v>
      </c>
      <c r="IF21" s="35">
        <f t="shared" si="95"/>
        <v>32.226963763497999</v>
      </c>
      <c r="IK21" s="123"/>
      <c r="IL21" s="3">
        <f>IF(AND(Include_study?="Yes",Sufficient_data="Yes"),'Publication Bias Analysis'!AV:AV,NA())</f>
        <v>0.118802093399256</v>
      </c>
      <c r="IM21" s="3">
        <f>IF(AND(Sufficient_data="Yes",Include_study?="Yes"),'Publication Bias Analysis'!AU:AU,NA())</f>
        <v>5.6768797559485087</v>
      </c>
      <c r="IN21" s="3">
        <f t="shared" si="96"/>
        <v>0.14746987931320898</v>
      </c>
      <c r="IO21" s="35">
        <f>IF(AND(Include_study?="Yes",Sufficient_data="Yes"),Z_score-('Publication Bias Analysis'!AY$30+'Publication Bias Analysis'!AY$31*Inverse_standard_error),"")</f>
        <v>2.2349071077989855</v>
      </c>
      <c r="IU21" s="123"/>
      <c r="IV21" s="6">
        <f>IF('Publication Bias Analysis'!BG:BG&lt;&gt;"",RANK('Publication Bias Analysis'!BG:BG,'Publication Bias Analysis'!BG:BG,1)+COUNTIF('Publication Bias Analysis'!BG$2:BG20,'Publication Bias Analysis'!BG21),"")</f>
        <v>11</v>
      </c>
      <c r="IW21" s="3">
        <f t="shared" si="97"/>
        <v>0.94117647058823517</v>
      </c>
      <c r="IX21" s="3">
        <f>IF('Publication Bias Analysis'!BF21&lt;&gt;"",'Publication Bias Analysis'!BF21,NA())</f>
        <v>1.5647264713617974</v>
      </c>
      <c r="IY21" s="3">
        <f>IF('Publication Bias Analysis'!BG21&lt;&gt;"",'Publication Bias Analysis'!BG21,NA())</f>
        <v>0.118802093399256</v>
      </c>
      <c r="IZ21" s="3">
        <f>IF(AND(Include_study?="Yes",Sufficient_data="Yes"),'Publication Bias Analysis'!BF:BF-AVERAGE('Publication Bias Analysis'!BF:BF),"")</f>
        <v>1.5647264713617981</v>
      </c>
      <c r="JA21" s="35">
        <f>IF(AND(Include_study?="Yes",Sufficient_data="Yes"),'Publication Bias Analysis'!BG:BG-('Publication Bias Analysis'!BJ$30+'Publication Bias Analysis'!BJ$31*'Publication Bias Analysis'!BF:BF),"")</f>
        <v>-0.40731052112996163</v>
      </c>
      <c r="JG21" s="123"/>
      <c r="JH21" s="3">
        <f t="shared" si="98"/>
        <v>0.118802093399256</v>
      </c>
      <c r="JI21" s="10">
        <f t="shared" si="124"/>
        <v>0.45271607506973088</v>
      </c>
      <c r="JJ21" s="35">
        <f t="shared" si="125"/>
        <v>-0.79249011584941298</v>
      </c>
    </row>
    <row r="22" spans="1:270" ht="12" customHeight="1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30"/>
      <c r="I22" s="125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23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23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23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30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30"/>
      <c r="BE22" s="125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23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23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23"/>
      <c r="CQ22" s="52" t="str">
        <f t="shared" si="52"/>
        <v/>
      </c>
      <c r="CS22" s="2" t="s">
        <v>103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-4.2289587844455351E-3</v>
      </c>
      <c r="CU22" s="3">
        <f>IF(Model_effect_size_measure="Odds Ratio",CU19+CU20*ABS(TINV((1-Confidence_level),k_-1)),"")</f>
        <v>-4.2412792977316559E-3</v>
      </c>
      <c r="CV22" s="3" t="str">
        <f>IF(Model_effect_size_measure="Peto Odds Ratio",CV19+CV20*ABS(TINV((1-Confidence_level),k_-1)),"")</f>
        <v/>
      </c>
      <c r="CX22" s="130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IF(AND(Sufficient_data="Yes",Subgroup&lt;&gt;""),IF(COUNTIFS(Input!J$2:J16,"="&amp;"Yes",Input!C$2:C16,"="&amp;"Yes",Input!K$2:K16,"="&amp;Subgroup)&gt;0,"",Subgroup),"")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30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30"/>
      <c r="FS22" s="125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335</v>
      </c>
      <c r="GH22" s="3">
        <f>IF(AND(Trim_and_fill="On",Additional_valid_options="Yes"),MAX('Publication Bias Analysis'!F:F)*1.2,NA())</f>
        <v>0.28375231517764754</v>
      </c>
      <c r="GK22" s="123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23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23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23"/>
      <c r="IB22" s="123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23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23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23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30"/>
      <c r="I23" s="125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23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23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23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30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30"/>
      <c r="BE23" s="125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23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23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23"/>
      <c r="CQ23" s="52" t="str">
        <f t="shared" si="52"/>
        <v/>
      </c>
      <c r="CS23" s="2" t="s">
        <v>305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-1.8657795958133556E-2</v>
      </c>
      <c r="CU23" s="3">
        <f>IF(Model_effect_size_measure="Odds Ratio",CU19-((lnCES_OddsRatio_MH-PIlnCES_LL_MH)/SElnCES_MH)*CU20,"")</f>
        <v>-1.7911406083958359E-2</v>
      </c>
      <c r="CV23" s="3" t="str">
        <f>IF(Model_effect_size_measure="Peto Odds Ratio",CV19-((lnCES_PetoOddsRatio-PIlnCES_LL_Peto)/SElnCES_Peto)*CV20,"")</f>
        <v/>
      </c>
      <c r="CX23" s="130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IF(AND(Sufficient_data="Yes",Subgroup&lt;&gt;""),IF(COUNTIFS(Input!J$2:J17,"="&amp;"Yes",Input!C$2:C17,"="&amp;"Yes",Input!K$2:K17,"="&amp;Subgroup)&gt;0,"",Subgroup),"")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07" t="s">
        <v>336</v>
      </c>
      <c r="EY23" s="107"/>
      <c r="FA23" s="130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30"/>
      <c r="FS23" s="125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23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23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23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23"/>
      <c r="IB23" s="123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23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23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23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30"/>
      <c r="I24" s="125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23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23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23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30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30"/>
      <c r="BE24" s="125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23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23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23"/>
      <c r="CQ24" s="52" t="str">
        <f t="shared" si="52"/>
        <v/>
      </c>
      <c r="CS24" s="2" t="s">
        <v>310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2.3383975028940657E-3</v>
      </c>
      <c r="CU24" s="3">
        <f>IF(Model_effect_size_measure="Odds Ratio",CU19+((lnCES_OddsRatio_MH-PIlnCES_LL_MH)/SElnCES_MH)*CU20,"")</f>
        <v>1.557316668763806E-3</v>
      </c>
      <c r="CV24" s="3" t="str">
        <f>IF(Model_effect_size_measure="Peto Odds Ratio",CV19+((lnCES_PetoOddsRatio-PIlnCES_LL_Peto)/SElnCES_Peto)*CV20,"")</f>
        <v/>
      </c>
      <c r="CX24" s="130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IF(AND(Sufficient_data="Yes",Subgroup&lt;&gt;""),IF(COUNTIFS(Input!J$2:J17,"="&amp;"Yes",Input!C$2:C17,"="&amp;"Yes",Input!K$2:K17,"="&amp;Subgroup)&gt;0,"",Subgroup),"")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273</v>
      </c>
      <c r="EY24" s="3" t="e">
        <f>EY9</f>
        <v>#VALUE!</v>
      </c>
      <c r="FA24" s="130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30"/>
      <c r="FS24" s="125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23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23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23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23"/>
      <c r="IB24" s="123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23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23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23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30"/>
      <c r="I25" s="125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23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23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23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30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30"/>
      <c r="BE25" s="125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23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23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23"/>
      <c r="CQ25" s="52" t="str">
        <f t="shared" si="52"/>
        <v/>
      </c>
      <c r="CX25" s="130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IF(AND(Sufficient_data="Yes",Subgroup&lt;&gt;""),IF(COUNTIFS(Input!J$2:J17,"="&amp;"Yes",Input!C$2:C17,"="&amp;"Yes",Input!K$2:K17,"="&amp;Subgroup)&gt;0,"",Subgroup),"")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290</v>
      </c>
      <c r="EY25" s="6" t="e">
        <f>IF(Subgroup_valid_options="Yes",MAX(DP:DP)+1,"")</f>
        <v>#VALUE!</v>
      </c>
      <c r="FA25" s="130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30"/>
      <c r="FS25" s="125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23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23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23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23"/>
      <c r="IB25" s="123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23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23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23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30"/>
      <c r="I26" s="125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23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23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23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30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30"/>
      <c r="BE26" s="125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23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23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23"/>
      <c r="CQ26" s="52" t="str">
        <f t="shared" si="52"/>
        <v/>
      </c>
      <c r="CX26" s="130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IF(AND(Sufficient_data="Yes",Subgroup&lt;&gt;""),IF(COUNTIFS(Input!J$2:J18,"="&amp;"Yes",Input!C$2:C18,"="&amp;"Yes",Input!K$2:K18,"="&amp;Subgroup)&gt;0,"",Subgroup),"")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337</v>
      </c>
      <c r="EY26" s="6" t="e">
        <f>IF(Subgroup_valid_options="Yes",MAX(DR:DR)+1,"")</f>
        <v>#VALUE!</v>
      </c>
      <c r="FA26" s="130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30"/>
      <c r="FS26" s="125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23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23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23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23"/>
      <c r="IB26" s="123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23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23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23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30"/>
      <c r="I27" s="125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23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23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23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30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30"/>
      <c r="BE27" s="125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23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23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23"/>
      <c r="CQ27" s="52" t="str">
        <f t="shared" si="52"/>
        <v/>
      </c>
      <c r="CX27" s="130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IF(AND(Sufficient_data="Yes",Subgroup&lt;&gt;""),IF(COUNTIFS(Input!J$2:J18,"="&amp;"Yes",Input!C$2:C18,"="&amp;"Yes",Input!K$2:K18,"="&amp;Subgroup)&gt;0,"",Subgroup),"")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295</v>
      </c>
      <c r="EY27" s="3" t="e">
        <f>IF(Subgroup_valid_options="Yes",EY9-EY11,"")</f>
        <v>#VALUE!</v>
      </c>
      <c r="FA27" s="130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30"/>
      <c r="FS27" s="125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23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23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23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23"/>
      <c r="IB27" s="123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23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23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23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30"/>
      <c r="I28" s="125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23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23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23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30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30"/>
      <c r="BE28" s="125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23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23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23"/>
      <c r="CQ28" s="52" t="str">
        <f t="shared" si="52"/>
        <v/>
      </c>
      <c r="CX28" s="130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IF(AND(Sufficient_data="Yes",Subgroup&lt;&gt;""),IF(COUNTIFS(Input!J$2:J18,"="&amp;"Yes",Input!C$2:C18,"="&amp;"Yes",Input!K$2:K18,"="&amp;Subgroup)&gt;0,"",Subgroup),"")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298</v>
      </c>
      <c r="EY28" s="3" t="e">
        <f>IF(Subgroup_valid_options="Yes",EY12-EY9,"")</f>
        <v>#VALUE!</v>
      </c>
      <c r="FA28" s="130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30"/>
      <c r="FS28" s="125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23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23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23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23"/>
      <c r="IB28" s="123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23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23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23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30"/>
      <c r="I29" s="125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23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23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23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30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30"/>
      <c r="BE29" s="125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23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23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23"/>
      <c r="CQ29" s="52" t="str">
        <f t="shared" si="52"/>
        <v/>
      </c>
      <c r="CX29" s="130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IF(AND(Sufficient_data="Yes",Subgroup&lt;&gt;""),IF(COUNTIFS(Input!J$2:J18,"="&amp;"Yes",Input!C$2:C18,"="&amp;"Yes",Input!K$2:K18,"="&amp;Subgroup)&gt;0,"",Subgroup),"")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303</v>
      </c>
      <c r="EY29" s="3" t="e">
        <f>IF(Subgroup_valid_options="Yes",EY9-EY13,"")</f>
        <v>#VALUE!</v>
      </c>
      <c r="FA29" s="130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30"/>
      <c r="FS29" s="125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23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23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23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23"/>
      <c r="IB29" s="123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23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23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23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30"/>
      <c r="I30" s="125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23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23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23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30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30"/>
      <c r="BE30" s="125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23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23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23"/>
      <c r="CQ30" s="52" t="str">
        <f t="shared" si="52"/>
        <v/>
      </c>
      <c r="CX30" s="130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IF(AND(Sufficient_data="Yes",Subgroup&lt;&gt;""),IF(COUNTIFS(Input!J$2:J18,"="&amp;"Yes",Input!C$2:C18,"="&amp;"Yes",Input!K$2:K18,"="&amp;Subgroup)&gt;0,"",Subgroup),"")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308</v>
      </c>
      <c r="EY30" s="3" t="e">
        <f>IF(Subgroup_valid_options="Yes",EY14-EY9,"")</f>
        <v>#VALUE!</v>
      </c>
      <c r="FA30" s="130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30"/>
      <c r="FS30" s="125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23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23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23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23"/>
      <c r="IB30" s="123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23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23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23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30"/>
      <c r="I31" s="125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23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23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23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30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30"/>
      <c r="BE31" s="125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23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23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23"/>
      <c r="CQ31" s="52" t="str">
        <f t="shared" si="52"/>
        <v/>
      </c>
      <c r="CX31" s="130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IF(AND(Sufficient_data="Yes",Subgroup&lt;&gt;""),IF(COUNTIFS(Input!J$2:J18,"="&amp;"Yes",Input!C$2:C18,"="&amp;"Yes",Input!K$2:K18,"="&amp;Subgroup)&gt;0,"",Subgroup),"")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338</v>
      </c>
      <c r="EY31" s="3" t="e">
        <f>IF(Subgroup_valid_options="Yes",MAX(ER:ER),"")</f>
        <v>#VALUE!</v>
      </c>
      <c r="FA31" s="130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30"/>
      <c r="FS31" s="125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23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23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23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23"/>
      <c r="IB31" s="123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23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23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23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30"/>
      <c r="I32" s="125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23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23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23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30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30"/>
      <c r="BE32" s="125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23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23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23"/>
      <c r="CQ32" s="52" t="str">
        <f t="shared" si="52"/>
        <v/>
      </c>
      <c r="CX32" s="130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IF(AND(Sufficient_data="Yes",Subgroup&lt;&gt;""),IF(COUNTIFS(Input!J$2:J18,"="&amp;"Yes",Input!C$2:C18,"="&amp;"Yes",Input!K$2:K18,"="&amp;Subgroup)&gt;0,"",Subgroup),"")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30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30"/>
      <c r="FS32" s="125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23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23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23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23"/>
      <c r="IB32" s="123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23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23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23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30"/>
      <c r="I33" s="125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23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23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23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30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30"/>
      <c r="BE33" s="125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23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23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23"/>
      <c r="CQ33" s="52" t="str">
        <f t="shared" si="52"/>
        <v/>
      </c>
      <c r="CX33" s="130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IF(AND(Sufficient_data="Yes",Subgroup&lt;&gt;""),IF(COUNTIFS(Input!J$2:J18,"="&amp;"Yes",Input!C$2:C18,"="&amp;"Yes",Input!K$2:K18,"="&amp;Subgroup)&gt;0,"",Subgroup),"")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07" t="s">
        <v>339</v>
      </c>
      <c r="EY33" s="107"/>
      <c r="FA33" s="130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30"/>
      <c r="FS33" s="125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23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23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23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23"/>
      <c r="IB33" s="123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23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23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23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2.9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30"/>
      <c r="I34" s="125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23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23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23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30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30"/>
      <c r="BE34" s="125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23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23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23"/>
      <c r="CQ34" s="52" t="str">
        <f t="shared" ref="CQ34:CQ97" si="175">IF(AND(Sufficient_data="Yes",Include_study?="Yes"),c_/(c_+d_),"")</f>
        <v/>
      </c>
      <c r="CX34" s="130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IF(AND(Sufficient_data="Yes",Subgroup&lt;&gt;""),IF(COUNTIFS(Input!J$2:J18,"="&amp;"Yes",Input!C$2:C18,"="&amp;"Yes",Input!K$2:K18,"="&amp;Subgroup)&gt;0,"",Subgroup),"")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340</v>
      </c>
      <c r="EY34" s="3" t="e">
        <f>IF(Subgroup_valid_options="Yes",SUMPRODUCT(ES:ES,DZ:DZ,DZ:DZ)-SUMPRODUCT(ES:ES,DZ:DZ)^2/SUM(ES:ES),"")</f>
        <v>#VALUE!</v>
      </c>
      <c r="FA34" s="130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30"/>
      <c r="FS34" s="125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23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23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23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23"/>
      <c r="IB34" s="123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23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23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23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30"/>
      <c r="I35" s="125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23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23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23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30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30"/>
      <c r="BE35" s="125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23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23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23"/>
      <c r="CQ35" s="52" t="str">
        <f t="shared" si="175"/>
        <v/>
      </c>
      <c r="CX35" s="130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IF(AND(Sufficient_data="Yes",Subgroup&lt;&gt;""),IF(COUNTIFS(Input!J$2:J18,"="&amp;"Yes",Input!C$2:C18,"="&amp;"Yes",Input!K$2:K18,"="&amp;Subgroup)&gt;0,"",Subgroup),"")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153</v>
      </c>
      <c r="EY35" s="3" t="e">
        <f>IF(Subgroup_valid_options="Yes",MAX(0,(EY34-(COUNT(DT:DT)-1))/(SUM(ES:ES)-(SUMPRODUCT(ES:ES,ES:ES)/SUM(ES:ES)))),"")</f>
        <v>#VALUE!</v>
      </c>
      <c r="FA35" s="130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30"/>
      <c r="FS35" s="125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23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23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23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23"/>
      <c r="IB35" s="123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23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23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23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30"/>
      <c r="I36" s="125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23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23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23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30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30"/>
      <c r="BE36" s="125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23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23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23"/>
      <c r="CQ36" s="52" t="str">
        <f t="shared" si="175"/>
        <v/>
      </c>
      <c r="CX36" s="130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IF(AND(Sufficient_data="Yes",Subgroup&lt;&gt;""),IF(COUNTIFS(Input!J$2:J18,"="&amp;"Yes",Input!C$2:C18,"="&amp;"Yes",Input!K$2:K18,"="&amp;Subgroup)&gt;0,"",Subgroup),"")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30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30"/>
      <c r="FS36" s="125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23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23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23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23"/>
      <c r="IB36" s="123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23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23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23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30"/>
      <c r="I37" s="125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23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23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23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30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30"/>
      <c r="BE37" s="125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23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23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23"/>
      <c r="CQ37" s="52" t="str">
        <f t="shared" si="175"/>
        <v/>
      </c>
      <c r="CX37" s="130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IF(AND(Sufficient_data="Yes",Subgroup&lt;&gt;""),IF(COUNTIFS(Input!J$2:J18,"="&amp;"Yes",Input!C$2:C18,"="&amp;"Yes",Input!K$2:K18,"="&amp;Subgroup)&gt;0,"",Subgroup),"")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07" t="s">
        <v>341</v>
      </c>
      <c r="EY37" s="107"/>
      <c r="FA37" s="130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30"/>
      <c r="FS37" s="125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23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23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23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23"/>
      <c r="IB37" s="123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23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23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23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30"/>
      <c r="I38" s="125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23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23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23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30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30"/>
      <c r="BE38" s="125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23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23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23"/>
      <c r="CQ38" s="52" t="str">
        <f t="shared" si="175"/>
        <v/>
      </c>
      <c r="CX38" s="130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IF(AND(Sufficient_data="Yes",Subgroup&lt;&gt;""),IF(COUNTIFS(Input!J$2:J19,"="&amp;"Yes",Input!C$2:C19,"="&amp;"Yes",Input!K$2:K19,"="&amp;Subgroup)&gt;0,"",Subgroup),"")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99</v>
      </c>
      <c r="EY38" s="3"/>
      <c r="FA38" s="130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30"/>
      <c r="FS38" s="125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23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23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23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23"/>
      <c r="IB38" s="123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23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23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23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30"/>
      <c r="I39" s="125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23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23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23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30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30"/>
      <c r="BE39" s="125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23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23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23"/>
      <c r="CQ39" s="52" t="str">
        <f t="shared" si="175"/>
        <v/>
      </c>
      <c r="CX39" s="130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IF(AND(Sufficient_data="Yes",Subgroup&lt;&gt;""),IF(COUNTIFS(Input!J$2:J20,"="&amp;"Yes",Input!C$2:C20,"="&amp;"Yes",Input!K$2:K20,"="&amp;Subgroup)&gt;0,"",Subgroup),"")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87</v>
      </c>
      <c r="EY39" s="3"/>
      <c r="FA39" s="130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30"/>
      <c r="FS39" s="125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23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23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23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23"/>
      <c r="IB39" s="123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23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23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23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30"/>
      <c r="I40" s="125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23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23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23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30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30"/>
      <c r="BE40" s="125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23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23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23"/>
      <c r="CQ40" s="52" t="str">
        <f t="shared" si="175"/>
        <v/>
      </c>
      <c r="CX40" s="130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IF(AND(Sufficient_data="Yes",Subgroup&lt;&gt;""),IF(COUNTIFS(Input!J$2:J21,"="&amp;"Yes",Input!C$2:C21,"="&amp;"Yes",Input!K$2:K21,"="&amp;Subgroup)&gt;0,"",Subgroup),"")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30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30"/>
      <c r="FS40" s="125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23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23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23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23"/>
      <c r="IB40" s="123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23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23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23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30"/>
      <c r="I41" s="125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23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23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23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30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30"/>
      <c r="BE41" s="125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23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23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23"/>
      <c r="CQ41" s="52" t="str">
        <f t="shared" si="175"/>
        <v/>
      </c>
      <c r="CX41" s="130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IF(AND(Sufficient_data="Yes",Subgroup&lt;&gt;""),IF(COUNTIFS(Input!J$2:J22,"="&amp;"Yes",Input!C$2:C22,"="&amp;"Yes",Input!K$2:K22,"="&amp;Subgroup)&gt;0,"",Subgroup),"")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07" t="s">
        <v>342</v>
      </c>
      <c r="EY41" s="107"/>
      <c r="FA41" s="130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30"/>
      <c r="FS41" s="125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23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23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23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23"/>
      <c r="IB41" s="123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23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23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23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30"/>
      <c r="I42" s="125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23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23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23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30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30"/>
      <c r="BE42" s="125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23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23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23"/>
      <c r="CQ42" s="52" t="str">
        <f t="shared" si="175"/>
        <v/>
      </c>
      <c r="CX42" s="130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IF(AND(Sufficient_data="Yes",Subgroup&lt;&gt;""),IF(COUNTIFS(Input!J$2:J23,"="&amp;"Yes",Input!C$2:C23,"="&amp;"Yes",Input!K$2:K23,"="&amp;Subgroup)&gt;0,"",Subgroup),"")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99</v>
      </c>
      <c r="EY42" s="30"/>
      <c r="FA42" s="130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30"/>
      <c r="FS42" s="125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23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23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23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23"/>
      <c r="IB42" s="123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23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23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23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30"/>
      <c r="I43" s="125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23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23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23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30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30"/>
      <c r="BE43" s="125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23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23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23"/>
      <c r="CQ43" s="52" t="str">
        <f t="shared" si="175"/>
        <v/>
      </c>
      <c r="CX43" s="130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IF(AND(Sufficient_data="Yes",Subgroup&lt;&gt;""),IF(COUNTIFS(Input!J$2:J24,"="&amp;"Yes",Input!C$2:C24,"="&amp;"Yes",Input!K$2:K24,"="&amp;Subgroup)&gt;0,"",Subgroup),"")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89</v>
      </c>
      <c r="EY43" s="31"/>
      <c r="FA43" s="130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30"/>
      <c r="FS43" s="125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23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23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23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23"/>
      <c r="IB43" s="123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23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23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23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30"/>
      <c r="I44" s="125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23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23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23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30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30"/>
      <c r="BE44" s="125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23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23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23"/>
      <c r="CQ44" s="52" t="str">
        <f t="shared" si="175"/>
        <v/>
      </c>
      <c r="CX44" s="130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IF(AND(Sufficient_data="Yes",Subgroup&lt;&gt;""),IF(COUNTIFS(Input!J$2:J25,"="&amp;"Yes",Input!C$2:C25,"="&amp;"Yes",Input!K$2:K25,"="&amp;Subgroup)&gt;0,"",Subgroup),"")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343</v>
      </c>
      <c r="EY44" s="31"/>
      <c r="FA44" s="130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30"/>
      <c r="FS44" s="125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23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23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23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23"/>
      <c r="IB44" s="123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23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23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23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30"/>
      <c r="I45" s="125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23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23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23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30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30"/>
      <c r="BE45" s="125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23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23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23"/>
      <c r="CQ45" s="52" t="str">
        <f t="shared" si="175"/>
        <v/>
      </c>
      <c r="CX45" s="130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IF(AND(Sufficient_data="Yes",Subgroup&lt;&gt;""),IF(COUNTIFS(Input!J$2:J26,"="&amp;"Yes",Input!C$2:C26,"="&amp;"Yes",Input!K$2:K26,"="&amp;Subgroup)&gt;0,"",Subgroup),"")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30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30"/>
      <c r="FS45" s="125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23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23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23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23"/>
      <c r="IB45" s="123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23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23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23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30"/>
      <c r="I46" s="125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23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23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23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30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30"/>
      <c r="BE46" s="125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23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23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23"/>
      <c r="CQ46" s="52" t="str">
        <f t="shared" si="175"/>
        <v/>
      </c>
      <c r="CX46" s="130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IF(AND(Sufficient_data="Yes",Subgroup&lt;&gt;""),IF(COUNTIFS(Input!J$2:J27,"="&amp;"Yes",Input!C$2:C27,"="&amp;"Yes",Input!K$2:K27,"="&amp;Subgroup)&gt;0,"",Subgroup),"")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30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30"/>
      <c r="FS46" s="125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23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23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23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23"/>
      <c r="IB46" s="123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23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23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23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30"/>
      <c r="I47" s="125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23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23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23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30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30"/>
      <c r="BE47" s="125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23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23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23"/>
      <c r="CQ47" s="52" t="str">
        <f t="shared" si="175"/>
        <v/>
      </c>
      <c r="CX47" s="130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IF(AND(Sufficient_data="Yes",Subgroup&lt;&gt;""),IF(COUNTIFS(Input!J$2:J28,"="&amp;"Yes",Input!C$2:C28,"="&amp;"Yes",Input!K$2:K28,"="&amp;Subgroup)&gt;0,"",Subgroup),"")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30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30"/>
      <c r="FS47" s="125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23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23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23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23"/>
      <c r="IB47" s="123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23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23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23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30"/>
      <c r="I48" s="125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23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23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23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30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30"/>
      <c r="BE48" s="125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23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23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23"/>
      <c r="CQ48" s="52" t="str">
        <f t="shared" si="175"/>
        <v/>
      </c>
      <c r="CX48" s="130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IF(AND(Sufficient_data="Yes",Subgroup&lt;&gt;""),IF(COUNTIFS(Input!J$2:J29,"="&amp;"Yes",Input!C$2:C29,"="&amp;"Yes",Input!K$2:K29,"="&amp;Subgroup)&gt;0,"",Subgroup),"")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30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30"/>
      <c r="FS48" s="125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23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23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23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23"/>
      <c r="IB48" s="123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23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23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23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30"/>
      <c r="I49" s="125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23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23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23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30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30"/>
      <c r="BE49" s="125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23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23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23"/>
      <c r="CQ49" s="52" t="str">
        <f t="shared" si="175"/>
        <v/>
      </c>
      <c r="CX49" s="130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IF(AND(Sufficient_data="Yes",Subgroup&lt;&gt;""),IF(COUNTIFS(Input!J$2:J30,"="&amp;"Yes",Input!C$2:C30,"="&amp;"Yes",Input!K$2:K30,"="&amp;Subgroup)&gt;0,"",Subgroup),"")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30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30"/>
      <c r="FS49" s="125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23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23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23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23"/>
      <c r="IB49" s="123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23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23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23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30"/>
      <c r="I50" s="125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23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23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23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30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30"/>
      <c r="BE50" s="125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23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23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23"/>
      <c r="CQ50" s="52" t="str">
        <f t="shared" si="175"/>
        <v/>
      </c>
      <c r="CX50" s="130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IF(AND(Sufficient_data="Yes",Subgroup&lt;&gt;""),IF(COUNTIFS(Input!J$2:J31,"="&amp;"Yes",Input!C$2:C31,"="&amp;"Yes",Input!K$2:K31,"="&amp;Subgroup)&gt;0,"",Subgroup),"")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30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30"/>
      <c r="FS50" s="125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23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23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23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23"/>
      <c r="IB50" s="123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23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23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23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30"/>
      <c r="I51" s="125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23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23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23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30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30"/>
      <c r="BE51" s="125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23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23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23"/>
      <c r="CQ51" s="52" t="str">
        <f t="shared" si="175"/>
        <v/>
      </c>
      <c r="CX51" s="130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IF(AND(Sufficient_data="Yes",Subgroup&lt;&gt;""),IF(COUNTIFS(Input!J$2:J32,"="&amp;"Yes",Input!C$2:C32,"="&amp;"Yes",Input!K$2:K32,"="&amp;Subgroup)&gt;0,"",Subgroup),"")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30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30"/>
      <c r="FS51" s="125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23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23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23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23"/>
      <c r="IB51" s="123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23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23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23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30"/>
      <c r="I52" s="125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23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23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23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30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30"/>
      <c r="BE52" s="125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23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23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23"/>
      <c r="CQ52" s="52" t="str">
        <f t="shared" si="175"/>
        <v/>
      </c>
      <c r="CX52" s="130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IF(AND(Sufficient_data="Yes",Subgroup&lt;&gt;""),IF(COUNTIFS(Input!J$2:J33,"="&amp;"Yes",Input!C$2:C33,"="&amp;"Yes",Input!K$2:K33,"="&amp;Subgroup)&gt;0,"",Subgroup),"")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30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30"/>
      <c r="FS52" s="125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23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23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23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23"/>
      <c r="IB52" s="123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23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23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23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30"/>
      <c r="I53" s="125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23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23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23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30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30"/>
      <c r="BE53" s="125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23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23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23"/>
      <c r="CQ53" s="52" t="str">
        <f t="shared" si="175"/>
        <v/>
      </c>
      <c r="CX53" s="130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IF(AND(Sufficient_data="Yes",Subgroup&lt;&gt;""),IF(COUNTIFS(Input!J$2:J34,"="&amp;"Yes",Input!C$2:C34,"="&amp;"Yes",Input!K$2:K34,"="&amp;Subgroup)&gt;0,"",Subgroup),"")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30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30"/>
      <c r="FS53" s="125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23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23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23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23"/>
      <c r="IB53" s="123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23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23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23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30"/>
      <c r="I54" s="125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23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23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23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30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30"/>
      <c r="BE54" s="125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23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23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23"/>
      <c r="CQ54" s="52" t="str">
        <f t="shared" si="175"/>
        <v/>
      </c>
      <c r="CX54" s="130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IF(AND(Sufficient_data="Yes",Subgroup&lt;&gt;""),IF(COUNTIFS(Input!J$2:J35,"="&amp;"Yes",Input!C$2:C35,"="&amp;"Yes",Input!K$2:K35,"="&amp;Subgroup)&gt;0,"",Subgroup),"")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30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30"/>
      <c r="FS54" s="125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23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23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23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23"/>
      <c r="IB54" s="123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23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23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23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30"/>
      <c r="I55" s="125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23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23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23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30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30"/>
      <c r="BE55" s="125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23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23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23"/>
      <c r="CQ55" s="52" t="str">
        <f t="shared" si="175"/>
        <v/>
      </c>
      <c r="CX55" s="130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IF(AND(Sufficient_data="Yes",Subgroup&lt;&gt;""),IF(COUNTIFS(Input!J$2:J36,"="&amp;"Yes",Input!C$2:C36,"="&amp;"Yes",Input!K$2:K36,"="&amp;Subgroup)&gt;0,"",Subgroup),"")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30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30"/>
      <c r="FS55" s="125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23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23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23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23"/>
      <c r="IB55" s="123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23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23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23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30"/>
      <c r="I56" s="125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23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23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23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30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30"/>
      <c r="BE56" s="125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23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23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23"/>
      <c r="CQ56" s="52" t="str">
        <f t="shared" si="175"/>
        <v/>
      </c>
      <c r="CX56" s="130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IF(AND(Sufficient_data="Yes",Subgroup&lt;&gt;""),IF(COUNTIFS(Input!J$2:J37,"="&amp;"Yes",Input!C$2:C37,"="&amp;"Yes",Input!K$2:K37,"="&amp;Subgroup)&gt;0,"",Subgroup),"")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30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30"/>
      <c r="FS56" s="125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23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23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23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23"/>
      <c r="IB56" s="123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23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23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23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30"/>
      <c r="I57" s="125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23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23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23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30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30"/>
      <c r="BE57" s="125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23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23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23"/>
      <c r="CQ57" s="52" t="str">
        <f t="shared" si="175"/>
        <v/>
      </c>
      <c r="CX57" s="130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IF(AND(Sufficient_data="Yes",Subgroup&lt;&gt;""),IF(COUNTIFS(Input!J$2:J38,"="&amp;"Yes",Input!C$2:C38,"="&amp;"Yes",Input!K$2:K38,"="&amp;Subgroup)&gt;0,"",Subgroup),"")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30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30"/>
      <c r="FS57" s="125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23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23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23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23"/>
      <c r="IB57" s="123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23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23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23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30"/>
      <c r="I58" s="125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23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23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23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30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30"/>
      <c r="BE58" s="125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23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23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23"/>
      <c r="CQ58" s="52" t="str">
        <f t="shared" si="175"/>
        <v/>
      </c>
      <c r="CX58" s="130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IF(AND(Sufficient_data="Yes",Subgroup&lt;&gt;""),IF(COUNTIFS(Input!J$2:J39,"="&amp;"Yes",Input!C$2:C39,"="&amp;"Yes",Input!K$2:K39,"="&amp;Subgroup)&gt;0,"",Subgroup),"")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30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30"/>
      <c r="FS58" s="125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23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23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23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23"/>
      <c r="IB58" s="123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23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23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23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30"/>
      <c r="I59" s="125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23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23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23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30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30"/>
      <c r="BE59" s="125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23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23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23"/>
      <c r="CQ59" s="52" t="str">
        <f t="shared" si="175"/>
        <v/>
      </c>
      <c r="CX59" s="130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IF(AND(Sufficient_data="Yes",Subgroup&lt;&gt;""),IF(COUNTIFS(Input!J$2:J40,"="&amp;"Yes",Input!C$2:C40,"="&amp;"Yes",Input!K$2:K40,"="&amp;Subgroup)&gt;0,"",Subgroup),"")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30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30"/>
      <c r="FS59" s="125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23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23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23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23"/>
      <c r="IB59" s="123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23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23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23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30"/>
      <c r="I60" s="125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23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23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23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30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30"/>
      <c r="BE60" s="125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23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23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23"/>
      <c r="CQ60" s="52" t="str">
        <f t="shared" si="175"/>
        <v/>
      </c>
      <c r="CX60" s="130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IF(AND(Sufficient_data="Yes",Subgroup&lt;&gt;""),IF(COUNTIFS(Input!J$2:J41,"="&amp;"Yes",Input!C$2:C41,"="&amp;"Yes",Input!K$2:K41,"="&amp;Subgroup)&gt;0,"",Subgroup),"")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30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30"/>
      <c r="FS60" s="125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23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23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23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23"/>
      <c r="IB60" s="123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23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23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23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30"/>
      <c r="I61" s="125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23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23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23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30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30"/>
      <c r="BE61" s="125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23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23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23"/>
      <c r="CQ61" s="52" t="str">
        <f t="shared" si="175"/>
        <v/>
      </c>
      <c r="CX61" s="130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IF(AND(Sufficient_data="Yes",Subgroup&lt;&gt;""),IF(COUNTIFS(Input!J$2:J42,"="&amp;"Yes",Input!C$2:C42,"="&amp;"Yes",Input!K$2:K42,"="&amp;Subgroup)&gt;0,"",Subgroup),"")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30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30"/>
      <c r="FS61" s="125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23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23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23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23"/>
      <c r="IB61" s="123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23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23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23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30"/>
      <c r="I62" s="125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23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23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23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30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30"/>
      <c r="BE62" s="125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23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23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23"/>
      <c r="CQ62" s="52" t="str">
        <f t="shared" si="175"/>
        <v/>
      </c>
      <c r="CX62" s="130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IF(AND(Sufficient_data="Yes",Subgroup&lt;&gt;""),IF(COUNTIFS(Input!J$2:J43,"="&amp;"Yes",Input!C$2:C43,"="&amp;"Yes",Input!K$2:K43,"="&amp;Subgroup)&gt;0,"",Subgroup),"")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30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30"/>
      <c r="FS62" s="125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23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23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23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23"/>
      <c r="IB62" s="123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23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23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23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30"/>
      <c r="I63" s="125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23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23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23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30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30"/>
      <c r="BE63" s="125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23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23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23"/>
      <c r="CQ63" s="52" t="str">
        <f t="shared" si="175"/>
        <v/>
      </c>
      <c r="CX63" s="130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IF(AND(Sufficient_data="Yes",Subgroup&lt;&gt;""),IF(COUNTIFS(Input!J$2:J44,"="&amp;"Yes",Input!C$2:C44,"="&amp;"Yes",Input!K$2:K44,"="&amp;Subgroup)&gt;0,"",Subgroup),"")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30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30"/>
      <c r="FS63" s="125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23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23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23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23"/>
      <c r="IB63" s="123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23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23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23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30"/>
      <c r="I64" s="125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23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23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23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30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30"/>
      <c r="BE64" s="125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23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23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23"/>
      <c r="CQ64" s="52" t="str">
        <f t="shared" si="175"/>
        <v/>
      </c>
      <c r="CX64" s="130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IF(AND(Sufficient_data="Yes",Subgroup&lt;&gt;""),IF(COUNTIFS(Input!J$2:J45,"="&amp;"Yes",Input!C$2:C45,"="&amp;"Yes",Input!K$2:K45,"="&amp;Subgroup)&gt;0,"",Subgroup),"")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30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30"/>
      <c r="FS64" s="125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23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23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23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23"/>
      <c r="IB64" s="123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23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23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23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30"/>
      <c r="I65" s="125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23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23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23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30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30"/>
      <c r="BE65" s="125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23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23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23"/>
      <c r="CQ65" s="52" t="str">
        <f t="shared" si="175"/>
        <v/>
      </c>
      <c r="CX65" s="130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IF(AND(Sufficient_data="Yes",Subgroup&lt;&gt;""),IF(COUNTIFS(Input!J$2:J46,"="&amp;"Yes",Input!C$2:C46,"="&amp;"Yes",Input!K$2:K46,"="&amp;Subgroup)&gt;0,"",Subgroup),"")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30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30"/>
      <c r="FS65" s="125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23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23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23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23"/>
      <c r="IB65" s="123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23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23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23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30"/>
      <c r="I66" s="125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23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23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23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30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30"/>
      <c r="BE66" s="125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23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23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23"/>
      <c r="CQ66" s="52" t="str">
        <f t="shared" si="175"/>
        <v/>
      </c>
      <c r="CX66" s="130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IF(AND(Sufficient_data="Yes",Subgroup&lt;&gt;""),IF(COUNTIFS(Input!J$2:J47,"="&amp;"Yes",Input!C$2:C47,"="&amp;"Yes",Input!K$2:K47,"="&amp;Subgroup)&gt;0,"",Subgroup),"")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30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30"/>
      <c r="FS66" s="125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23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23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23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23"/>
      <c r="IB66" s="123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23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23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23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30"/>
      <c r="I67" s="125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23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23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23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30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30"/>
      <c r="BE67" s="125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23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23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23"/>
      <c r="CQ67" s="52" t="str">
        <f t="shared" si="175"/>
        <v/>
      </c>
      <c r="CX67" s="130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IF(AND(Sufficient_data="Yes",Subgroup&lt;&gt;""),IF(COUNTIFS(Input!J$2:J48,"="&amp;"Yes",Input!C$2:C48,"="&amp;"Yes",Input!K$2:K48,"="&amp;Subgroup)&gt;0,"",Subgroup),"")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30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30"/>
      <c r="FS67" s="125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23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23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23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23"/>
      <c r="IB67" s="123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23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23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23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30"/>
      <c r="I68" s="125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23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23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23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30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30"/>
      <c r="BE68" s="125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23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23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23"/>
      <c r="CQ68" s="52" t="str">
        <f t="shared" si="175"/>
        <v/>
      </c>
      <c r="CX68" s="130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IF(AND(Sufficient_data="Yes",Subgroup&lt;&gt;""),IF(COUNTIFS(Input!J$2:J49,"="&amp;"Yes",Input!C$2:C49,"="&amp;"Yes",Input!K$2:K49,"="&amp;Subgroup)&gt;0,"",Subgroup),"")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30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30"/>
      <c r="FS68" s="125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23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23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23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23"/>
      <c r="IB68" s="123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23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23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23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30"/>
      <c r="I69" s="125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23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23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23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30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30"/>
      <c r="BE69" s="125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23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23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23"/>
      <c r="CQ69" s="52" t="str">
        <f t="shared" si="175"/>
        <v/>
      </c>
      <c r="CX69" s="130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IF(AND(Sufficient_data="Yes",Subgroup&lt;&gt;""),IF(COUNTIFS(Input!J$2:J50,"="&amp;"Yes",Input!C$2:C50,"="&amp;"Yes",Input!K$2:K50,"="&amp;Subgroup)&gt;0,"",Subgroup),"")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30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30"/>
      <c r="FS69" s="125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23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23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23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23"/>
      <c r="IB69" s="123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23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23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23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30"/>
      <c r="I70" s="125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23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23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23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30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30"/>
      <c r="BE70" s="125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23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23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23"/>
      <c r="CQ70" s="52" t="str">
        <f t="shared" si="175"/>
        <v/>
      </c>
      <c r="CX70" s="130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IF(AND(Sufficient_data="Yes",Subgroup&lt;&gt;""),IF(COUNTIFS(Input!J$2:J51,"="&amp;"Yes",Input!C$2:C51,"="&amp;"Yes",Input!K$2:K51,"="&amp;Subgroup)&gt;0,"",Subgroup),"")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30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30"/>
      <c r="FS70" s="125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23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23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23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23"/>
      <c r="IB70" s="123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23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23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23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30"/>
      <c r="I71" s="125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23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23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23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30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30"/>
      <c r="BE71" s="125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23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23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23"/>
      <c r="CQ71" s="52" t="str">
        <f t="shared" si="175"/>
        <v/>
      </c>
      <c r="CX71" s="130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IF(AND(Sufficient_data="Yes",Subgroup&lt;&gt;""),IF(COUNTIFS(Input!J$2:J52,"="&amp;"Yes",Input!C$2:C52,"="&amp;"Yes",Input!K$2:K52,"="&amp;Subgroup)&gt;0,"",Subgroup),"")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30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30"/>
      <c r="FS71" s="125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23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23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23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23"/>
      <c r="IB71" s="123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23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23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23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30"/>
      <c r="I72" s="125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23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23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23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30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30"/>
      <c r="BE72" s="125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23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23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23"/>
      <c r="CQ72" s="52" t="str">
        <f t="shared" si="175"/>
        <v/>
      </c>
      <c r="CX72" s="130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IF(AND(Sufficient_data="Yes",Subgroup&lt;&gt;""),IF(COUNTIFS(Input!J$2:J53,"="&amp;"Yes",Input!C$2:C53,"="&amp;"Yes",Input!K$2:K53,"="&amp;Subgroup)&gt;0,"",Subgroup),"")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30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30"/>
      <c r="FS72" s="125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23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23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23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23"/>
      <c r="IB72" s="123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23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23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23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30"/>
      <c r="I73" s="125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23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23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23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30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30"/>
      <c r="BE73" s="125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23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23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23"/>
      <c r="CQ73" s="52" t="str">
        <f t="shared" si="175"/>
        <v/>
      </c>
      <c r="CX73" s="130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IF(AND(Sufficient_data="Yes",Subgroup&lt;&gt;""),IF(COUNTIFS(Input!J$2:J54,"="&amp;"Yes",Input!C$2:C54,"="&amp;"Yes",Input!K$2:K54,"="&amp;Subgroup)&gt;0,"",Subgroup),"")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30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30"/>
      <c r="FS73" s="125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23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23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23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23"/>
      <c r="IB73" s="123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23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23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23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30"/>
      <c r="I74" s="125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23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23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23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30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30"/>
      <c r="BE74" s="125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23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23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23"/>
      <c r="CQ74" s="52" t="str">
        <f t="shared" si="175"/>
        <v/>
      </c>
      <c r="CX74" s="130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IF(AND(Sufficient_data="Yes",Subgroup&lt;&gt;""),IF(COUNTIFS(Input!J$2:J55,"="&amp;"Yes",Input!C$2:C55,"="&amp;"Yes",Input!K$2:K55,"="&amp;Subgroup)&gt;0,"",Subgroup),"")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30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30"/>
      <c r="FS74" s="125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23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23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23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23"/>
      <c r="IB74" s="123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23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23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23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30"/>
      <c r="I75" s="125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23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23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23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30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30"/>
      <c r="BE75" s="125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23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23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23"/>
      <c r="CQ75" s="52" t="str">
        <f t="shared" si="175"/>
        <v/>
      </c>
      <c r="CX75" s="130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IF(AND(Sufficient_data="Yes",Subgroup&lt;&gt;""),IF(COUNTIFS(Input!J$2:J56,"="&amp;"Yes",Input!C$2:C56,"="&amp;"Yes",Input!K$2:K56,"="&amp;Subgroup)&gt;0,"",Subgroup),"")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30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30"/>
      <c r="FS75" s="125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23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23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23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23"/>
      <c r="IB75" s="123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23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23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23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30"/>
      <c r="I76" s="125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23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23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23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30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30"/>
      <c r="BE76" s="125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23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23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23"/>
      <c r="CQ76" s="52" t="str">
        <f t="shared" si="175"/>
        <v/>
      </c>
      <c r="CX76" s="130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IF(AND(Sufficient_data="Yes",Subgroup&lt;&gt;""),IF(COUNTIFS(Input!J$2:J57,"="&amp;"Yes",Input!C$2:C57,"="&amp;"Yes",Input!K$2:K57,"="&amp;Subgroup)&gt;0,"",Subgroup),"")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30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30"/>
      <c r="FS76" s="125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23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23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23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23"/>
      <c r="IB76" s="123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23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23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23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30"/>
      <c r="I77" s="125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23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23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23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30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30"/>
      <c r="BE77" s="125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23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23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23"/>
      <c r="CQ77" s="52" t="str">
        <f t="shared" si="175"/>
        <v/>
      </c>
      <c r="CX77" s="130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IF(AND(Sufficient_data="Yes",Subgroup&lt;&gt;""),IF(COUNTIFS(Input!J$2:J58,"="&amp;"Yes",Input!C$2:C58,"="&amp;"Yes",Input!K$2:K58,"="&amp;Subgroup)&gt;0,"",Subgroup),"")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30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30"/>
      <c r="FS77" s="125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23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23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23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23"/>
      <c r="IB77" s="123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23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23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23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30"/>
      <c r="I78" s="125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23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23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23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30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30"/>
      <c r="BE78" s="125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23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23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23"/>
      <c r="CQ78" s="52" t="str">
        <f t="shared" si="175"/>
        <v/>
      </c>
      <c r="CX78" s="130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IF(AND(Sufficient_data="Yes",Subgroup&lt;&gt;""),IF(COUNTIFS(Input!J$2:J59,"="&amp;"Yes",Input!C$2:C59,"="&amp;"Yes",Input!K$2:K59,"="&amp;Subgroup)&gt;0,"",Subgroup),"")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30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30"/>
      <c r="FS78" s="125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23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23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23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23"/>
      <c r="IB78" s="123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23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23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23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30"/>
      <c r="I79" s="125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23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23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23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30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30"/>
      <c r="BE79" s="125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23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23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23"/>
      <c r="CQ79" s="52" t="str">
        <f t="shared" si="175"/>
        <v/>
      </c>
      <c r="CX79" s="130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IF(AND(Sufficient_data="Yes",Subgroup&lt;&gt;""),IF(COUNTIFS(Input!J$2:J60,"="&amp;"Yes",Input!C$2:C60,"="&amp;"Yes",Input!K$2:K60,"="&amp;Subgroup)&gt;0,"",Subgroup),"")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30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30"/>
      <c r="FS79" s="125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23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23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23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23"/>
      <c r="IB79" s="123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23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23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23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30"/>
      <c r="I80" s="125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23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23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23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30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30"/>
      <c r="BE80" s="125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23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23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23"/>
      <c r="CQ80" s="52" t="str">
        <f t="shared" si="175"/>
        <v/>
      </c>
      <c r="CX80" s="130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IF(AND(Sufficient_data="Yes",Subgroup&lt;&gt;""),IF(COUNTIFS(Input!J$2:J61,"="&amp;"Yes",Input!C$2:C61,"="&amp;"Yes",Input!K$2:K61,"="&amp;Subgroup)&gt;0,"",Subgroup),"")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30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30"/>
      <c r="FS80" s="125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23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23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23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23"/>
      <c r="IB80" s="123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23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23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23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30"/>
      <c r="I81" s="125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23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23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23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30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30"/>
      <c r="BE81" s="125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23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23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23"/>
      <c r="CQ81" s="52" t="str">
        <f t="shared" si="175"/>
        <v/>
      </c>
      <c r="CX81" s="130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IF(AND(Sufficient_data="Yes",Subgroup&lt;&gt;""),IF(COUNTIFS(Input!J$2:J62,"="&amp;"Yes",Input!C$2:C62,"="&amp;"Yes",Input!K$2:K62,"="&amp;Subgroup)&gt;0,"",Subgroup),"")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30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30"/>
      <c r="FS81" s="125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23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23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23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23"/>
      <c r="IB81" s="123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23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23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23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30"/>
      <c r="I82" s="125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23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23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23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30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30"/>
      <c r="BE82" s="125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23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23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23"/>
      <c r="CQ82" s="52" t="str">
        <f t="shared" si="175"/>
        <v/>
      </c>
      <c r="CX82" s="130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IF(AND(Sufficient_data="Yes",Subgroup&lt;&gt;""),IF(COUNTIFS(Input!J$2:J63,"="&amp;"Yes",Input!C$2:C63,"="&amp;"Yes",Input!K$2:K63,"="&amp;Subgroup)&gt;0,"",Subgroup),"")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30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30"/>
      <c r="FS82" s="125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23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23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23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23"/>
      <c r="IB82" s="123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23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23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23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30"/>
      <c r="I83" s="125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23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23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23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30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30"/>
      <c r="BE83" s="125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23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23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23"/>
      <c r="CQ83" s="52" t="str">
        <f t="shared" si="175"/>
        <v/>
      </c>
      <c r="CX83" s="130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IF(AND(Sufficient_data="Yes",Subgroup&lt;&gt;""),IF(COUNTIFS(Input!J$2:J64,"="&amp;"Yes",Input!C$2:C64,"="&amp;"Yes",Input!K$2:K64,"="&amp;Subgroup)&gt;0,"",Subgroup),"")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30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30"/>
      <c r="FS83" s="125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23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23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23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23"/>
      <c r="IB83" s="123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23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23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23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30"/>
      <c r="I84" s="125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23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23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23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30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30"/>
      <c r="BE84" s="125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23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23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23"/>
      <c r="CQ84" s="52" t="str">
        <f t="shared" si="175"/>
        <v/>
      </c>
      <c r="CX84" s="130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IF(AND(Sufficient_data="Yes",Subgroup&lt;&gt;""),IF(COUNTIFS(Input!J$2:J65,"="&amp;"Yes",Input!C$2:C65,"="&amp;"Yes",Input!K$2:K65,"="&amp;Subgroup)&gt;0,"",Subgroup),"")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30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30"/>
      <c r="FS84" s="125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23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23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23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23"/>
      <c r="IB84" s="123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23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23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23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30"/>
      <c r="I85" s="125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23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23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23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30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30"/>
      <c r="BE85" s="125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23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23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23"/>
      <c r="CQ85" s="52" t="str">
        <f t="shared" si="175"/>
        <v/>
      </c>
      <c r="CX85" s="130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IF(AND(Sufficient_data="Yes",Subgroup&lt;&gt;""),IF(COUNTIFS(Input!J$2:J66,"="&amp;"Yes",Input!C$2:C66,"="&amp;"Yes",Input!K$2:K66,"="&amp;Subgroup)&gt;0,"",Subgroup),"")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30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30"/>
      <c r="FS85" s="125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23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23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23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23"/>
      <c r="IB85" s="123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23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23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23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30"/>
      <c r="I86" s="125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23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23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23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30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30"/>
      <c r="BE86" s="125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23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23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23"/>
      <c r="CQ86" s="52" t="str">
        <f t="shared" si="175"/>
        <v/>
      </c>
      <c r="CX86" s="130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IF(AND(Sufficient_data="Yes",Subgroup&lt;&gt;""),IF(COUNTIFS(Input!J$2:J67,"="&amp;"Yes",Input!C$2:C67,"="&amp;"Yes",Input!K$2:K67,"="&amp;Subgroup)&gt;0,"",Subgroup),"")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30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30"/>
      <c r="FS86" s="125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23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23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23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23"/>
      <c r="IB86" s="123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23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23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23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30"/>
      <c r="I87" s="125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23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23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23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30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30"/>
      <c r="BE87" s="125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23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23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23"/>
      <c r="CQ87" s="52" t="str">
        <f t="shared" si="175"/>
        <v/>
      </c>
      <c r="CX87" s="130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IF(AND(Sufficient_data="Yes",Subgroup&lt;&gt;""),IF(COUNTIFS(Input!J$2:J68,"="&amp;"Yes",Input!C$2:C68,"="&amp;"Yes",Input!K$2:K68,"="&amp;Subgroup)&gt;0,"",Subgroup),"")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30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30"/>
      <c r="FS87" s="125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23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23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23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23"/>
      <c r="IB87" s="123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23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23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23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30"/>
      <c r="I88" s="125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23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23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23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30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30"/>
      <c r="BE88" s="125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23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23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23"/>
      <c r="CQ88" s="52" t="str">
        <f t="shared" si="175"/>
        <v/>
      </c>
      <c r="CX88" s="130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IF(AND(Sufficient_data="Yes",Subgroup&lt;&gt;""),IF(COUNTIFS(Input!J$2:J69,"="&amp;"Yes",Input!C$2:C69,"="&amp;"Yes",Input!K$2:K69,"="&amp;Subgroup)&gt;0,"",Subgroup),"")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30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30"/>
      <c r="FS88" s="125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23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23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23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23"/>
      <c r="IB88" s="123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23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23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23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30"/>
      <c r="I89" s="125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23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23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23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30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30"/>
      <c r="BE89" s="125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23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23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23"/>
      <c r="CQ89" s="52" t="str">
        <f t="shared" si="175"/>
        <v/>
      </c>
      <c r="CX89" s="130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IF(AND(Sufficient_data="Yes",Subgroup&lt;&gt;""),IF(COUNTIFS(Input!J$2:J70,"="&amp;"Yes",Input!C$2:C70,"="&amp;"Yes",Input!K$2:K70,"="&amp;Subgroup)&gt;0,"",Subgroup),"")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30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30"/>
      <c r="FS89" s="125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23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23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23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23"/>
      <c r="IB89" s="123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23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23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23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30"/>
      <c r="I90" s="125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23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23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23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30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30"/>
      <c r="BE90" s="125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23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23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23"/>
      <c r="CQ90" s="52" t="str">
        <f t="shared" si="175"/>
        <v/>
      </c>
      <c r="CX90" s="130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IF(AND(Sufficient_data="Yes",Subgroup&lt;&gt;""),IF(COUNTIFS(Input!J$2:J71,"="&amp;"Yes",Input!C$2:C71,"="&amp;"Yes",Input!K$2:K71,"="&amp;Subgroup)&gt;0,"",Subgroup),"")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30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30"/>
      <c r="FS90" s="125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23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23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23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23"/>
      <c r="IB90" s="123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23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23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23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30"/>
      <c r="I91" s="125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23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23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23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30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30"/>
      <c r="BE91" s="125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23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23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23"/>
      <c r="CQ91" s="52" t="str">
        <f t="shared" si="175"/>
        <v/>
      </c>
      <c r="CX91" s="130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IF(AND(Sufficient_data="Yes",Subgroup&lt;&gt;""),IF(COUNTIFS(Input!J$2:J72,"="&amp;"Yes",Input!C$2:C72,"="&amp;"Yes",Input!K$2:K72,"="&amp;Subgroup)&gt;0,"",Subgroup),"")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30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30"/>
      <c r="FS91" s="125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23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23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23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23"/>
      <c r="IB91" s="123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23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23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23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30"/>
      <c r="I92" s="125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23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23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23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30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30"/>
      <c r="BE92" s="125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23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23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23"/>
      <c r="CQ92" s="52" t="str">
        <f t="shared" si="175"/>
        <v/>
      </c>
      <c r="CX92" s="130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IF(AND(Sufficient_data="Yes",Subgroup&lt;&gt;""),IF(COUNTIFS(Input!J$2:J73,"="&amp;"Yes",Input!C$2:C73,"="&amp;"Yes",Input!K$2:K73,"="&amp;Subgroup)&gt;0,"",Subgroup),"")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30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30"/>
      <c r="FS92" s="125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23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23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23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23"/>
      <c r="IB92" s="123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23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23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23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30"/>
      <c r="I93" s="125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23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23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23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30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30"/>
      <c r="BE93" s="125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23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23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23"/>
      <c r="CQ93" s="52" t="str">
        <f t="shared" si="175"/>
        <v/>
      </c>
      <c r="CX93" s="130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IF(AND(Sufficient_data="Yes",Subgroup&lt;&gt;""),IF(COUNTIFS(Input!J$2:J74,"="&amp;"Yes",Input!C$2:C74,"="&amp;"Yes",Input!K$2:K74,"="&amp;Subgroup)&gt;0,"",Subgroup),"")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30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30"/>
      <c r="FS93" s="125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23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23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23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23"/>
      <c r="IB93" s="123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23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23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23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30"/>
      <c r="I94" s="125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23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23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23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30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30"/>
      <c r="BE94" s="125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23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23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23"/>
      <c r="CQ94" s="52" t="str">
        <f t="shared" si="175"/>
        <v/>
      </c>
      <c r="CX94" s="130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IF(AND(Sufficient_data="Yes",Subgroup&lt;&gt;""),IF(COUNTIFS(Input!J$2:J75,"="&amp;"Yes",Input!C$2:C75,"="&amp;"Yes",Input!K$2:K75,"="&amp;Subgroup)&gt;0,"",Subgroup),"")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30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30"/>
      <c r="FS94" s="125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23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23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23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23"/>
      <c r="IB94" s="123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23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23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23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30"/>
      <c r="I95" s="125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23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23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23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30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30"/>
      <c r="BE95" s="125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23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23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23"/>
      <c r="CQ95" s="52" t="str">
        <f t="shared" si="175"/>
        <v/>
      </c>
      <c r="CX95" s="130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IF(AND(Sufficient_data="Yes",Subgroup&lt;&gt;""),IF(COUNTIFS(Input!J$2:J76,"="&amp;"Yes",Input!C$2:C76,"="&amp;"Yes",Input!K$2:K76,"="&amp;Subgroup)&gt;0,"",Subgroup),"")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30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30"/>
      <c r="FS95" s="125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23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23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23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23"/>
      <c r="IB95" s="123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23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23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23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30"/>
      <c r="I96" s="125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23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23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23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30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30"/>
      <c r="BE96" s="125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23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23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23"/>
      <c r="CQ96" s="52" t="str">
        <f t="shared" si="175"/>
        <v/>
      </c>
      <c r="CX96" s="130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IF(AND(Sufficient_data="Yes",Subgroup&lt;&gt;""),IF(COUNTIFS(Input!J$2:J77,"="&amp;"Yes",Input!C$2:C77,"="&amp;"Yes",Input!K$2:K77,"="&amp;Subgroup)&gt;0,"",Subgroup),"")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30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30"/>
      <c r="FS96" s="125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23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23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23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23"/>
      <c r="IB96" s="123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23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23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23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30"/>
      <c r="I97" s="125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23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23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23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30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30"/>
      <c r="BE97" s="125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23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23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23"/>
      <c r="CQ97" s="52" t="str">
        <f t="shared" si="175"/>
        <v/>
      </c>
      <c r="CX97" s="130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IF(AND(Sufficient_data="Yes",Subgroup&lt;&gt;""),IF(COUNTIFS(Input!J$2:J78,"="&amp;"Yes",Input!C$2:C78,"="&amp;"Yes",Input!K$2:K78,"="&amp;Subgroup)&gt;0,"",Subgroup),"")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30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30"/>
      <c r="FS97" s="125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23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23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23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23"/>
      <c r="IB97" s="123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23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23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23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30"/>
      <c r="I98" s="125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23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23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23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30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30"/>
      <c r="BE98" s="125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23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23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23"/>
      <c r="CQ98" s="52" t="str">
        <f t="shared" ref="CQ98:CQ161" si="383">IF(AND(Sufficient_data="Yes",Include_study?="Yes"),c_/(c_+d_),"")</f>
        <v/>
      </c>
      <c r="CX98" s="130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IF(AND(Sufficient_data="Yes",Subgroup&lt;&gt;""),IF(COUNTIFS(Input!J$2:J79,"="&amp;"Yes",Input!C$2:C79,"="&amp;"Yes",Input!K$2:K79,"="&amp;Subgroup)&gt;0,"",Subgroup),"")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30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30"/>
      <c r="FS98" s="125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23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23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23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23"/>
      <c r="IB98" s="123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23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23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23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30"/>
      <c r="I99" s="125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23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23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23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30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30"/>
      <c r="BE99" s="125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23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23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23"/>
      <c r="CQ99" s="52" t="str">
        <f t="shared" si="383"/>
        <v/>
      </c>
      <c r="CX99" s="130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IF(AND(Sufficient_data="Yes",Subgroup&lt;&gt;""),IF(COUNTIFS(Input!J$2:J80,"="&amp;"Yes",Input!C$2:C80,"="&amp;"Yes",Input!K$2:K80,"="&amp;Subgroup)&gt;0,"",Subgroup),"")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30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30"/>
      <c r="FS99" s="125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23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23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23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23"/>
      <c r="IB99" s="123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23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23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23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30"/>
      <c r="I100" s="125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23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23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23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30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30"/>
      <c r="BE100" s="125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23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23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23"/>
      <c r="CQ100" s="52" t="str">
        <f t="shared" si="383"/>
        <v/>
      </c>
      <c r="CX100" s="130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IF(AND(Sufficient_data="Yes",Subgroup&lt;&gt;""),IF(COUNTIFS(Input!J$2:J81,"="&amp;"Yes",Input!C$2:C81,"="&amp;"Yes",Input!K$2:K81,"="&amp;Subgroup)&gt;0,"",Subgroup),"")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30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30"/>
      <c r="FS100" s="125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23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23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23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23"/>
      <c r="IB100" s="123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23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23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23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30"/>
      <c r="I101" s="125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23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23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23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30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30"/>
      <c r="BE101" s="125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23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23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23"/>
      <c r="CQ101" s="52" t="str">
        <f t="shared" si="383"/>
        <v/>
      </c>
      <c r="CX101" s="130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IF(AND(Sufficient_data="Yes",Subgroup&lt;&gt;""),IF(COUNTIFS(Input!J$2:J82,"="&amp;"Yes",Input!C$2:C82,"="&amp;"Yes",Input!K$2:K82,"="&amp;Subgroup)&gt;0,"",Subgroup),"")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30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30"/>
      <c r="FS101" s="125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23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23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23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23"/>
      <c r="IB101" s="123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23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23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23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30"/>
      <c r="I102" s="125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23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23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23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30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30"/>
      <c r="BE102" s="125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23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23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23"/>
      <c r="CQ102" s="52" t="str">
        <f t="shared" si="383"/>
        <v/>
      </c>
      <c r="CX102" s="130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IF(AND(Sufficient_data="Yes",Subgroup&lt;&gt;""),IF(COUNTIFS(Input!J$2:J83,"="&amp;"Yes",Input!C$2:C83,"="&amp;"Yes",Input!K$2:K83,"="&amp;Subgroup)&gt;0,"",Subgroup),"")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30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30"/>
      <c r="FS102" s="125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23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23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23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23"/>
      <c r="IB102" s="123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23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23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23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30"/>
      <c r="I103" s="125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23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23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23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30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30"/>
      <c r="BE103" s="125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23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23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23"/>
      <c r="CQ103" s="52" t="str">
        <f t="shared" si="383"/>
        <v/>
      </c>
      <c r="CX103" s="130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IF(AND(Sufficient_data="Yes",Subgroup&lt;&gt;""),IF(COUNTIFS(Input!J$2:J84,"="&amp;"Yes",Input!C$2:C84,"="&amp;"Yes",Input!K$2:K84,"="&amp;Subgroup)&gt;0,"",Subgroup),"")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30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30"/>
      <c r="FS103" s="125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23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23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23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23"/>
      <c r="IB103" s="123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23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23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23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30"/>
      <c r="I104" s="125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23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23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23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30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30"/>
      <c r="BE104" s="125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23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23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23"/>
      <c r="CQ104" s="52" t="str">
        <f t="shared" si="383"/>
        <v/>
      </c>
      <c r="CX104" s="130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IF(AND(Sufficient_data="Yes",Subgroup&lt;&gt;""),IF(COUNTIFS(Input!J$2:J85,"="&amp;"Yes",Input!C$2:C85,"="&amp;"Yes",Input!K$2:K85,"="&amp;Subgroup)&gt;0,"",Subgroup),"")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30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30"/>
      <c r="FS104" s="125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23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23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23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23"/>
      <c r="IB104" s="123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23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23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23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30"/>
      <c r="I105" s="125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23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23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23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30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30"/>
      <c r="BE105" s="125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23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23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23"/>
      <c r="CQ105" s="52" t="str">
        <f t="shared" si="383"/>
        <v/>
      </c>
      <c r="CX105" s="130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IF(AND(Sufficient_data="Yes",Subgroup&lt;&gt;""),IF(COUNTIFS(Input!J$2:J86,"="&amp;"Yes",Input!C$2:C86,"="&amp;"Yes",Input!K$2:K86,"="&amp;Subgroup)&gt;0,"",Subgroup),"")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30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30"/>
      <c r="FS105" s="125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23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23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23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23"/>
      <c r="IB105" s="123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23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23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23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30"/>
      <c r="I106" s="125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23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23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23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30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30"/>
      <c r="BE106" s="125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23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23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23"/>
      <c r="CQ106" s="52" t="str">
        <f t="shared" si="383"/>
        <v/>
      </c>
      <c r="CX106" s="130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IF(AND(Sufficient_data="Yes",Subgroup&lt;&gt;""),IF(COUNTIFS(Input!J$2:J87,"="&amp;"Yes",Input!C$2:C87,"="&amp;"Yes",Input!K$2:K87,"="&amp;Subgroup)&gt;0,"",Subgroup),"")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30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30"/>
      <c r="FS106" s="125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23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23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23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23"/>
      <c r="IB106" s="123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23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23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23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30"/>
      <c r="I107" s="125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23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23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23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30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30"/>
      <c r="BE107" s="125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23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23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23"/>
      <c r="CQ107" s="52" t="str">
        <f t="shared" si="383"/>
        <v/>
      </c>
      <c r="CX107" s="130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IF(AND(Sufficient_data="Yes",Subgroup&lt;&gt;""),IF(COUNTIFS(Input!J$2:J88,"="&amp;"Yes",Input!C$2:C88,"="&amp;"Yes",Input!K$2:K88,"="&amp;Subgroup)&gt;0,"",Subgroup),"")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30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30"/>
      <c r="FS107" s="125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23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23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23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23"/>
      <c r="IB107" s="123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23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23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23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30"/>
      <c r="I108" s="125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23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23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23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30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30"/>
      <c r="BE108" s="125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23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23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23"/>
      <c r="CQ108" s="52" t="str">
        <f t="shared" si="383"/>
        <v/>
      </c>
      <c r="CX108" s="130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IF(AND(Sufficient_data="Yes",Subgroup&lt;&gt;""),IF(COUNTIFS(Input!J$2:J89,"="&amp;"Yes",Input!C$2:C89,"="&amp;"Yes",Input!K$2:K89,"="&amp;Subgroup)&gt;0,"",Subgroup),"")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30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30"/>
      <c r="FS108" s="125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23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23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23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23"/>
      <c r="IB108" s="123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23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23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23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30"/>
      <c r="I109" s="125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23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23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23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30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30"/>
      <c r="BE109" s="125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23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23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23"/>
      <c r="CQ109" s="52" t="str">
        <f t="shared" si="383"/>
        <v/>
      </c>
      <c r="CX109" s="130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IF(AND(Sufficient_data="Yes",Subgroup&lt;&gt;""),IF(COUNTIFS(Input!J$2:J90,"="&amp;"Yes",Input!C$2:C90,"="&amp;"Yes",Input!K$2:K90,"="&amp;Subgroup)&gt;0,"",Subgroup),"")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30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30"/>
      <c r="FS109" s="125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23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23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23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23"/>
      <c r="IB109" s="123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23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23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23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30"/>
      <c r="I110" s="125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23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23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23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30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30"/>
      <c r="BE110" s="125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23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23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23"/>
      <c r="CQ110" s="52" t="str">
        <f t="shared" si="383"/>
        <v/>
      </c>
      <c r="CX110" s="130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IF(AND(Sufficient_data="Yes",Subgroup&lt;&gt;""),IF(COUNTIFS(Input!J$2:J91,"="&amp;"Yes",Input!C$2:C91,"="&amp;"Yes",Input!K$2:K91,"="&amp;Subgroup)&gt;0,"",Subgroup),"")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30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30"/>
      <c r="FS110" s="125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23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23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23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23"/>
      <c r="IB110" s="123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23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23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23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30"/>
      <c r="I111" s="125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23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23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23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30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30"/>
      <c r="BE111" s="125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23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23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23"/>
      <c r="CQ111" s="52" t="str">
        <f t="shared" si="383"/>
        <v/>
      </c>
      <c r="CX111" s="130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IF(AND(Sufficient_data="Yes",Subgroup&lt;&gt;""),IF(COUNTIFS(Input!J$2:J92,"="&amp;"Yes",Input!C$2:C92,"="&amp;"Yes",Input!K$2:K92,"="&amp;Subgroup)&gt;0,"",Subgroup),"")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30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30"/>
      <c r="FS111" s="125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23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23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23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23"/>
      <c r="IB111" s="123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23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23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23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30"/>
      <c r="I112" s="125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23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23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23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30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30"/>
      <c r="BE112" s="125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23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23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23"/>
      <c r="CQ112" s="52" t="str">
        <f t="shared" si="383"/>
        <v/>
      </c>
      <c r="CX112" s="130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IF(AND(Sufficient_data="Yes",Subgroup&lt;&gt;""),IF(COUNTIFS(Input!J$2:J93,"="&amp;"Yes",Input!C$2:C93,"="&amp;"Yes",Input!K$2:K93,"="&amp;Subgroup)&gt;0,"",Subgroup),"")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30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30"/>
      <c r="FS112" s="125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23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23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23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23"/>
      <c r="IB112" s="123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23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23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23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30"/>
      <c r="I113" s="125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23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23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23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30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30"/>
      <c r="BE113" s="125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23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23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23"/>
      <c r="CQ113" s="52" t="str">
        <f t="shared" si="383"/>
        <v/>
      </c>
      <c r="CX113" s="130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IF(AND(Sufficient_data="Yes",Subgroup&lt;&gt;""),IF(COUNTIFS(Input!J$2:J94,"="&amp;"Yes",Input!C$2:C94,"="&amp;"Yes",Input!K$2:K94,"="&amp;Subgroup)&gt;0,"",Subgroup),"")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30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30"/>
      <c r="FS113" s="125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23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23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23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23"/>
      <c r="IB113" s="123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23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23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23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30"/>
      <c r="I114" s="125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23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23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23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30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30"/>
      <c r="BE114" s="125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23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23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23"/>
      <c r="CQ114" s="52" t="str">
        <f t="shared" si="383"/>
        <v/>
      </c>
      <c r="CX114" s="130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IF(AND(Sufficient_data="Yes",Subgroup&lt;&gt;""),IF(COUNTIFS(Input!J$2:J95,"="&amp;"Yes",Input!C$2:C95,"="&amp;"Yes",Input!K$2:K95,"="&amp;Subgroup)&gt;0,"",Subgroup),"")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30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30"/>
      <c r="FS114" s="125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23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23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23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23"/>
      <c r="IB114" s="123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23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23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23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30"/>
      <c r="I115" s="125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23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23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23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30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30"/>
      <c r="BE115" s="125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23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23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23"/>
      <c r="CQ115" s="52" t="str">
        <f t="shared" si="383"/>
        <v/>
      </c>
      <c r="CX115" s="130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IF(AND(Sufficient_data="Yes",Subgroup&lt;&gt;""),IF(COUNTIFS(Input!J$2:J96,"="&amp;"Yes",Input!C$2:C96,"="&amp;"Yes",Input!K$2:K96,"="&amp;Subgroup)&gt;0,"",Subgroup),"")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30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30"/>
      <c r="FS115" s="125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23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23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23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23"/>
      <c r="IB115" s="123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23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23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23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30"/>
      <c r="I116" s="125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23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23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23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30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30"/>
      <c r="BE116" s="125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23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23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23"/>
      <c r="CQ116" s="52" t="str">
        <f t="shared" si="383"/>
        <v/>
      </c>
      <c r="CX116" s="130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IF(AND(Sufficient_data="Yes",Subgroup&lt;&gt;""),IF(COUNTIFS(Input!J$2:J97,"="&amp;"Yes",Input!C$2:C97,"="&amp;"Yes",Input!K$2:K97,"="&amp;Subgroup)&gt;0,"",Subgroup),"")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30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30"/>
      <c r="FS116" s="125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23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23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23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23"/>
      <c r="IB116" s="123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23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23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23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30"/>
      <c r="I117" s="125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23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23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23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30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30"/>
      <c r="BE117" s="125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23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23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23"/>
      <c r="CQ117" s="52" t="str">
        <f t="shared" si="383"/>
        <v/>
      </c>
      <c r="CX117" s="130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IF(AND(Sufficient_data="Yes",Subgroup&lt;&gt;""),IF(COUNTIFS(Input!J$2:J98,"="&amp;"Yes",Input!C$2:C98,"="&amp;"Yes",Input!K$2:K98,"="&amp;Subgroup)&gt;0,"",Subgroup),"")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30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30"/>
      <c r="FS117" s="125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23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23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23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23"/>
      <c r="IB117" s="123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23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23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23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30"/>
      <c r="I118" s="125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23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23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23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30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30"/>
      <c r="BE118" s="125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23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23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23"/>
      <c r="CQ118" s="52" t="str">
        <f t="shared" si="383"/>
        <v/>
      </c>
      <c r="CX118" s="130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IF(AND(Sufficient_data="Yes",Subgroup&lt;&gt;""),IF(COUNTIFS(Input!J$2:J99,"="&amp;"Yes",Input!C$2:C99,"="&amp;"Yes",Input!K$2:K99,"="&amp;Subgroup)&gt;0,"",Subgroup),"")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30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30"/>
      <c r="FS118" s="125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23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23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23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23"/>
      <c r="IB118" s="123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23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23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23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30"/>
      <c r="I119" s="125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23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23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23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30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30"/>
      <c r="BE119" s="125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23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23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23"/>
      <c r="CQ119" s="52" t="str">
        <f t="shared" si="383"/>
        <v/>
      </c>
      <c r="CX119" s="130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IF(AND(Sufficient_data="Yes",Subgroup&lt;&gt;""),IF(COUNTIFS(Input!J$2:J100,"="&amp;"Yes",Input!C$2:C100,"="&amp;"Yes",Input!K$2:K100,"="&amp;Subgroup)&gt;0,"",Subgroup),"")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30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30"/>
      <c r="FS119" s="125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23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23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23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23"/>
      <c r="IB119" s="123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23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23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23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30"/>
      <c r="I120" s="125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23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23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23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30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30"/>
      <c r="BE120" s="125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23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23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23"/>
      <c r="CQ120" s="52" t="str">
        <f t="shared" si="383"/>
        <v/>
      </c>
      <c r="CX120" s="130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IF(AND(Sufficient_data="Yes",Subgroup&lt;&gt;""),IF(COUNTIFS(Input!J$2:J101,"="&amp;"Yes",Input!C$2:C101,"="&amp;"Yes",Input!K$2:K101,"="&amp;Subgroup)&gt;0,"",Subgroup),"")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30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30"/>
      <c r="FS120" s="125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23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23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23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23"/>
      <c r="IB120" s="123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23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23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23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30"/>
      <c r="I121" s="125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23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23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23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30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30"/>
      <c r="BE121" s="125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23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23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23"/>
      <c r="CQ121" s="52" t="str">
        <f t="shared" si="383"/>
        <v/>
      </c>
      <c r="CX121" s="130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IF(AND(Sufficient_data="Yes",Subgroup&lt;&gt;""),IF(COUNTIFS(Input!J$2:J102,"="&amp;"Yes",Input!C$2:C102,"="&amp;"Yes",Input!K$2:K102,"="&amp;Subgroup)&gt;0,"",Subgroup),"")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30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30"/>
      <c r="FS121" s="125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23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23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23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23"/>
      <c r="IB121" s="123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23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23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23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30"/>
      <c r="I122" s="125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23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23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23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30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30"/>
      <c r="BE122" s="125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23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23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23"/>
      <c r="CQ122" s="52" t="str">
        <f t="shared" si="383"/>
        <v/>
      </c>
      <c r="CX122" s="130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IF(AND(Sufficient_data="Yes",Subgroup&lt;&gt;""),IF(COUNTIFS(Input!J$2:J103,"="&amp;"Yes",Input!C$2:C103,"="&amp;"Yes",Input!K$2:K103,"="&amp;Subgroup)&gt;0,"",Subgroup),"")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30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30"/>
      <c r="FS122" s="125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23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23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23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23"/>
      <c r="IB122" s="123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23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23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23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30"/>
      <c r="I123" s="125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23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23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23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30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30"/>
      <c r="BE123" s="125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23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23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23"/>
      <c r="CQ123" s="52" t="str">
        <f t="shared" si="383"/>
        <v/>
      </c>
      <c r="CX123" s="130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IF(AND(Sufficient_data="Yes",Subgroup&lt;&gt;""),IF(COUNTIFS(Input!J$2:J104,"="&amp;"Yes",Input!C$2:C104,"="&amp;"Yes",Input!K$2:K104,"="&amp;Subgroup)&gt;0,"",Subgroup),"")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30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30"/>
      <c r="FS123" s="125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23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23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23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23"/>
      <c r="IB123" s="123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23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23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23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30"/>
      <c r="I124" s="125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23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23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23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30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30"/>
      <c r="BE124" s="125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23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23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23"/>
      <c r="CQ124" s="52" t="str">
        <f t="shared" si="383"/>
        <v/>
      </c>
      <c r="CX124" s="130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IF(AND(Sufficient_data="Yes",Subgroup&lt;&gt;""),IF(COUNTIFS(Input!J$2:J105,"="&amp;"Yes",Input!C$2:C105,"="&amp;"Yes",Input!K$2:K105,"="&amp;Subgroup)&gt;0,"",Subgroup),"")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30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30"/>
      <c r="FS124" s="125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23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23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23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23"/>
      <c r="IB124" s="123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23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23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23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30"/>
      <c r="I125" s="125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23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23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23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30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30"/>
      <c r="BE125" s="125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23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23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23"/>
      <c r="CQ125" s="52" t="str">
        <f t="shared" si="383"/>
        <v/>
      </c>
      <c r="CX125" s="130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IF(AND(Sufficient_data="Yes",Subgroup&lt;&gt;""),IF(COUNTIFS(Input!J$2:J106,"="&amp;"Yes",Input!C$2:C106,"="&amp;"Yes",Input!K$2:K106,"="&amp;Subgroup)&gt;0,"",Subgroup),"")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30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30"/>
      <c r="FS125" s="125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23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23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23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23"/>
      <c r="IB125" s="123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23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23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23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30"/>
      <c r="I126" s="125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23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23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23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30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30"/>
      <c r="BE126" s="125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23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23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23"/>
      <c r="CQ126" s="52" t="str">
        <f t="shared" si="383"/>
        <v/>
      </c>
      <c r="CX126" s="130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IF(AND(Sufficient_data="Yes",Subgroup&lt;&gt;""),IF(COUNTIFS(Input!J$2:J107,"="&amp;"Yes",Input!C$2:C107,"="&amp;"Yes",Input!K$2:K107,"="&amp;Subgroup)&gt;0,"",Subgroup),"")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30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30"/>
      <c r="FS126" s="125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23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23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23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23"/>
      <c r="IB126" s="123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23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23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23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30"/>
      <c r="I127" s="125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23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23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23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30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30"/>
      <c r="BE127" s="125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23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23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23"/>
      <c r="CQ127" s="52" t="str">
        <f t="shared" si="383"/>
        <v/>
      </c>
      <c r="CX127" s="130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IF(AND(Sufficient_data="Yes",Subgroup&lt;&gt;""),IF(COUNTIFS(Input!J$2:J108,"="&amp;"Yes",Input!C$2:C108,"="&amp;"Yes",Input!K$2:K108,"="&amp;Subgroup)&gt;0,"",Subgroup),"")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30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30"/>
      <c r="FS127" s="125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23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23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23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23"/>
      <c r="IB127" s="123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23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23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23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30"/>
      <c r="I128" s="125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23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23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23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30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30"/>
      <c r="BE128" s="125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23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23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23"/>
      <c r="CQ128" s="52" t="str">
        <f t="shared" si="383"/>
        <v/>
      </c>
      <c r="CX128" s="130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IF(AND(Sufficient_data="Yes",Subgroup&lt;&gt;""),IF(COUNTIFS(Input!J$2:J109,"="&amp;"Yes",Input!C$2:C109,"="&amp;"Yes",Input!K$2:K109,"="&amp;Subgroup)&gt;0,"",Subgroup),"")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30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30"/>
      <c r="FS128" s="125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23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23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23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23"/>
      <c r="IB128" s="123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23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23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23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30"/>
      <c r="I129" s="125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23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23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23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30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30"/>
      <c r="BE129" s="125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23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23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23"/>
      <c r="CQ129" s="52" t="str">
        <f t="shared" si="383"/>
        <v/>
      </c>
      <c r="CX129" s="130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IF(AND(Sufficient_data="Yes",Subgroup&lt;&gt;""),IF(COUNTIFS(Input!J$2:J110,"="&amp;"Yes",Input!C$2:C110,"="&amp;"Yes",Input!K$2:K110,"="&amp;Subgroup)&gt;0,"",Subgroup),"")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30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30"/>
      <c r="FS129" s="125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23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23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23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23"/>
      <c r="IB129" s="123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23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23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23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30"/>
      <c r="I130" s="125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23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23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23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30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30"/>
      <c r="BE130" s="125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23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23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23"/>
      <c r="CQ130" s="52" t="str">
        <f t="shared" si="383"/>
        <v/>
      </c>
      <c r="CX130" s="130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IF(AND(Sufficient_data="Yes",Subgroup&lt;&gt;""),IF(COUNTIFS(Input!J$2:J111,"="&amp;"Yes",Input!C$2:C111,"="&amp;"Yes",Input!K$2:K111,"="&amp;Subgroup)&gt;0,"",Subgroup),"")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30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30"/>
      <c r="FS130" s="125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23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23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23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23"/>
      <c r="IB130" s="123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23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23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23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30"/>
      <c r="I131" s="125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23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23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23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30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30"/>
      <c r="BE131" s="125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23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23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23"/>
      <c r="CQ131" s="52" t="str">
        <f t="shared" si="383"/>
        <v/>
      </c>
      <c r="CX131" s="130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IF(AND(Sufficient_data="Yes",Subgroup&lt;&gt;""),IF(COUNTIFS(Input!J$2:J112,"="&amp;"Yes",Input!C$2:C112,"="&amp;"Yes",Input!K$2:K112,"="&amp;Subgroup)&gt;0,"",Subgroup),"")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30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30"/>
      <c r="FS131" s="125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23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23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23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23"/>
      <c r="IB131" s="123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23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23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23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30"/>
      <c r="I132" s="125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23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23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23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30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30"/>
      <c r="BE132" s="125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23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23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23"/>
      <c r="CQ132" s="52" t="str">
        <f t="shared" si="383"/>
        <v/>
      </c>
      <c r="CX132" s="130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IF(AND(Sufficient_data="Yes",Subgroup&lt;&gt;""),IF(COUNTIFS(Input!J$2:J113,"="&amp;"Yes",Input!C$2:C113,"="&amp;"Yes",Input!K$2:K113,"="&amp;Subgroup)&gt;0,"",Subgroup),"")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30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30"/>
      <c r="FS132" s="125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23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23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23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23"/>
      <c r="IB132" s="123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23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23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23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30"/>
      <c r="I133" s="125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23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23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23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30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30"/>
      <c r="BE133" s="125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23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23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23"/>
      <c r="CQ133" s="52" t="str">
        <f t="shared" si="383"/>
        <v/>
      </c>
      <c r="CX133" s="130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IF(AND(Sufficient_data="Yes",Subgroup&lt;&gt;""),IF(COUNTIFS(Input!J$2:J114,"="&amp;"Yes",Input!C$2:C114,"="&amp;"Yes",Input!K$2:K114,"="&amp;Subgroup)&gt;0,"",Subgroup),"")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30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30"/>
      <c r="FS133" s="125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23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23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23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23"/>
      <c r="IB133" s="123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23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23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23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30"/>
      <c r="I134" s="125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23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23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23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30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30"/>
      <c r="BE134" s="125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23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23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23"/>
      <c r="CQ134" s="52" t="str">
        <f t="shared" si="383"/>
        <v/>
      </c>
      <c r="CX134" s="130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IF(AND(Sufficient_data="Yes",Subgroup&lt;&gt;""),IF(COUNTIFS(Input!J$2:J115,"="&amp;"Yes",Input!C$2:C115,"="&amp;"Yes",Input!K$2:K115,"="&amp;Subgroup)&gt;0,"",Subgroup),"")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30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30"/>
      <c r="FS134" s="125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23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23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23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23"/>
      <c r="IB134" s="123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23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23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23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30"/>
      <c r="I135" s="125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23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23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23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30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30"/>
      <c r="BE135" s="125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23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23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23"/>
      <c r="CQ135" s="52" t="str">
        <f t="shared" si="383"/>
        <v/>
      </c>
      <c r="CX135" s="130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IF(AND(Sufficient_data="Yes",Subgroup&lt;&gt;""),IF(COUNTIFS(Input!J$2:J116,"="&amp;"Yes",Input!C$2:C116,"="&amp;"Yes",Input!K$2:K116,"="&amp;Subgroup)&gt;0,"",Subgroup),"")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30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30"/>
      <c r="FS135" s="125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23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23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23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23"/>
      <c r="IB135" s="123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23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23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23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30"/>
      <c r="I136" s="125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23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23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23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30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30"/>
      <c r="BE136" s="125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23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23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23"/>
      <c r="CQ136" s="52" t="str">
        <f t="shared" si="383"/>
        <v/>
      </c>
      <c r="CX136" s="130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IF(AND(Sufficient_data="Yes",Subgroup&lt;&gt;""),IF(COUNTIFS(Input!J$2:J117,"="&amp;"Yes",Input!C$2:C117,"="&amp;"Yes",Input!K$2:K117,"="&amp;Subgroup)&gt;0,"",Subgroup),"")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30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30"/>
      <c r="FS136" s="125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23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23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23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23"/>
      <c r="IB136" s="123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23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23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23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30"/>
      <c r="I137" s="125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23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23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23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30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30"/>
      <c r="BE137" s="125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23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23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23"/>
      <c r="CQ137" s="52" t="str">
        <f t="shared" si="383"/>
        <v/>
      </c>
      <c r="CX137" s="130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IF(AND(Sufficient_data="Yes",Subgroup&lt;&gt;""),IF(COUNTIFS(Input!J$2:J118,"="&amp;"Yes",Input!C$2:C118,"="&amp;"Yes",Input!K$2:K118,"="&amp;Subgroup)&gt;0,"",Subgroup),"")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30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30"/>
      <c r="FS137" s="125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23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23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23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23"/>
      <c r="IB137" s="123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23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23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23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30"/>
      <c r="I138" s="125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23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23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23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30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30"/>
      <c r="BE138" s="125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23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23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23"/>
      <c r="CQ138" s="52" t="str">
        <f t="shared" si="383"/>
        <v/>
      </c>
      <c r="CX138" s="130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IF(AND(Sufficient_data="Yes",Subgroup&lt;&gt;""),IF(COUNTIFS(Input!J$2:J119,"="&amp;"Yes",Input!C$2:C119,"="&amp;"Yes",Input!K$2:K119,"="&amp;Subgroup)&gt;0,"",Subgroup),"")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30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30"/>
      <c r="FS138" s="125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23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23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23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23"/>
      <c r="IB138" s="123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23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23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23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30"/>
      <c r="I139" s="125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23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23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23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30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30"/>
      <c r="BE139" s="125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23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23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23"/>
      <c r="CQ139" s="52" t="str">
        <f t="shared" si="383"/>
        <v/>
      </c>
      <c r="CX139" s="130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IF(AND(Sufficient_data="Yes",Subgroup&lt;&gt;""),IF(COUNTIFS(Input!J$2:J120,"="&amp;"Yes",Input!C$2:C120,"="&amp;"Yes",Input!K$2:K120,"="&amp;Subgroup)&gt;0,"",Subgroup),"")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30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30"/>
      <c r="FS139" s="125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23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23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23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23"/>
      <c r="IB139" s="123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23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23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23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30"/>
      <c r="I140" s="125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23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23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23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30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30"/>
      <c r="BE140" s="125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23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23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23"/>
      <c r="CQ140" s="52" t="str">
        <f t="shared" si="383"/>
        <v/>
      </c>
      <c r="CX140" s="130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IF(AND(Sufficient_data="Yes",Subgroup&lt;&gt;""),IF(COUNTIFS(Input!J$2:J121,"="&amp;"Yes",Input!C$2:C121,"="&amp;"Yes",Input!K$2:K121,"="&amp;Subgroup)&gt;0,"",Subgroup),"")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30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30"/>
      <c r="FS140" s="125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23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23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23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23"/>
      <c r="IB140" s="123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23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23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23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30"/>
      <c r="I141" s="125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23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23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23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30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30"/>
      <c r="BE141" s="125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23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23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23"/>
      <c r="CQ141" s="52" t="str">
        <f t="shared" si="383"/>
        <v/>
      </c>
      <c r="CX141" s="130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IF(AND(Sufficient_data="Yes",Subgroup&lt;&gt;""),IF(COUNTIFS(Input!J$2:J122,"="&amp;"Yes",Input!C$2:C122,"="&amp;"Yes",Input!K$2:K122,"="&amp;Subgroup)&gt;0,"",Subgroup),"")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30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30"/>
      <c r="FS141" s="125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23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23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23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23"/>
      <c r="IB141" s="123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23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23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23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30"/>
      <c r="I142" s="125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23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23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23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30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30"/>
      <c r="BE142" s="125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23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23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23"/>
      <c r="CQ142" s="52" t="str">
        <f t="shared" si="383"/>
        <v/>
      </c>
      <c r="CX142" s="130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IF(AND(Sufficient_data="Yes",Subgroup&lt;&gt;""),IF(COUNTIFS(Input!J$2:J123,"="&amp;"Yes",Input!C$2:C123,"="&amp;"Yes",Input!K$2:K123,"="&amp;Subgroup)&gt;0,"",Subgroup),"")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30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30"/>
      <c r="FS142" s="125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23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23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23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23"/>
      <c r="IB142" s="123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23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23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23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30"/>
      <c r="I143" s="125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23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23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23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30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30"/>
      <c r="BE143" s="125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23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23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23"/>
      <c r="CQ143" s="52" t="str">
        <f t="shared" si="383"/>
        <v/>
      </c>
      <c r="CX143" s="130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IF(AND(Sufficient_data="Yes",Subgroup&lt;&gt;""),IF(COUNTIFS(Input!J$2:J124,"="&amp;"Yes",Input!C$2:C124,"="&amp;"Yes",Input!K$2:K124,"="&amp;Subgroup)&gt;0,"",Subgroup),"")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30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30"/>
      <c r="FS143" s="125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23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23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23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23"/>
      <c r="IB143" s="123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23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23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23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30"/>
      <c r="I144" s="125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23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23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23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30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30"/>
      <c r="BE144" s="125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23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23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23"/>
      <c r="CQ144" s="52" t="str">
        <f t="shared" si="383"/>
        <v/>
      </c>
      <c r="CX144" s="130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IF(AND(Sufficient_data="Yes",Subgroup&lt;&gt;""),IF(COUNTIFS(Input!J$2:J125,"="&amp;"Yes",Input!C$2:C125,"="&amp;"Yes",Input!K$2:K125,"="&amp;Subgroup)&gt;0,"",Subgroup),"")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30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30"/>
      <c r="FS144" s="125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23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23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23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23"/>
      <c r="IB144" s="123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23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23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23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30"/>
      <c r="I145" s="125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23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23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23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30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30"/>
      <c r="BE145" s="125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23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23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23"/>
      <c r="CQ145" s="52" t="str">
        <f t="shared" si="383"/>
        <v/>
      </c>
      <c r="CX145" s="130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IF(AND(Sufficient_data="Yes",Subgroup&lt;&gt;""),IF(COUNTIFS(Input!J$2:J126,"="&amp;"Yes",Input!C$2:C126,"="&amp;"Yes",Input!K$2:K126,"="&amp;Subgroup)&gt;0,"",Subgroup),"")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30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30"/>
      <c r="FS145" s="125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23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23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23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23"/>
      <c r="IB145" s="123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23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23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23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30"/>
      <c r="I146" s="125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23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23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23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30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30"/>
      <c r="BE146" s="125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23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23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23"/>
      <c r="CQ146" s="52" t="str">
        <f t="shared" si="383"/>
        <v/>
      </c>
      <c r="CX146" s="130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IF(AND(Sufficient_data="Yes",Subgroup&lt;&gt;""),IF(COUNTIFS(Input!J$2:J127,"="&amp;"Yes",Input!C$2:C127,"="&amp;"Yes",Input!K$2:K127,"="&amp;Subgroup)&gt;0,"",Subgroup),"")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30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30"/>
      <c r="FS146" s="125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23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23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23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23"/>
      <c r="IB146" s="123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23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23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23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30"/>
      <c r="I147" s="125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23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23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23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30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30"/>
      <c r="BE147" s="125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23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23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23"/>
      <c r="CQ147" s="52" t="str">
        <f t="shared" si="383"/>
        <v/>
      </c>
      <c r="CX147" s="130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IF(AND(Sufficient_data="Yes",Subgroup&lt;&gt;""),IF(COUNTIFS(Input!J$2:J128,"="&amp;"Yes",Input!C$2:C128,"="&amp;"Yes",Input!K$2:K128,"="&amp;Subgroup)&gt;0,"",Subgroup),"")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30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30"/>
      <c r="FS147" s="125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23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23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23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23"/>
      <c r="IB147" s="123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23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23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23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30"/>
      <c r="I148" s="125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23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23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23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30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30"/>
      <c r="BE148" s="125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23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23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23"/>
      <c r="CQ148" s="52" t="str">
        <f t="shared" si="383"/>
        <v/>
      </c>
      <c r="CX148" s="130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IF(AND(Sufficient_data="Yes",Subgroup&lt;&gt;""),IF(COUNTIFS(Input!J$2:J129,"="&amp;"Yes",Input!C$2:C129,"="&amp;"Yes",Input!K$2:K129,"="&amp;Subgroup)&gt;0,"",Subgroup),"")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30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30"/>
      <c r="FS148" s="125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23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23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23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23"/>
      <c r="IB148" s="123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23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23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23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30"/>
      <c r="I149" s="125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23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23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23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30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30"/>
      <c r="BE149" s="125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23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23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23"/>
      <c r="CQ149" s="52" t="str">
        <f t="shared" si="383"/>
        <v/>
      </c>
      <c r="CX149" s="130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IF(AND(Sufficient_data="Yes",Subgroup&lt;&gt;""),IF(COUNTIFS(Input!J$2:J130,"="&amp;"Yes",Input!C$2:C130,"="&amp;"Yes",Input!K$2:K130,"="&amp;Subgroup)&gt;0,"",Subgroup),"")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30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30"/>
      <c r="FS149" s="125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23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23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23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23"/>
      <c r="IB149" s="123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23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23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23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30"/>
      <c r="I150" s="125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23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23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23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30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30"/>
      <c r="BE150" s="125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23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23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23"/>
      <c r="CQ150" s="52" t="str">
        <f t="shared" si="383"/>
        <v/>
      </c>
      <c r="CX150" s="130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IF(AND(Sufficient_data="Yes",Subgroup&lt;&gt;""),IF(COUNTIFS(Input!J$2:J131,"="&amp;"Yes",Input!C$2:C131,"="&amp;"Yes",Input!K$2:K131,"="&amp;Subgroup)&gt;0,"",Subgroup),"")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30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30"/>
      <c r="FS150" s="125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23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23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23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23"/>
      <c r="IB150" s="123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23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23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23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30"/>
      <c r="I151" s="125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23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23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23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30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30"/>
      <c r="BE151" s="125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23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23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23"/>
      <c r="CQ151" s="52" t="str">
        <f t="shared" si="383"/>
        <v/>
      </c>
      <c r="CX151" s="130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IF(AND(Sufficient_data="Yes",Subgroup&lt;&gt;""),IF(COUNTIFS(Input!J$2:J132,"="&amp;"Yes",Input!C$2:C132,"="&amp;"Yes",Input!K$2:K132,"="&amp;Subgroup)&gt;0,"",Subgroup),"")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30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30"/>
      <c r="FS151" s="125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23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23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23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23"/>
      <c r="IB151" s="123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23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23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23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30"/>
      <c r="I152" s="125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23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23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23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30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30"/>
      <c r="BE152" s="125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23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23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23"/>
      <c r="CQ152" s="52" t="str">
        <f t="shared" si="383"/>
        <v/>
      </c>
      <c r="CX152" s="130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IF(AND(Sufficient_data="Yes",Subgroup&lt;&gt;""),IF(COUNTIFS(Input!J$2:J133,"="&amp;"Yes",Input!C$2:C133,"="&amp;"Yes",Input!K$2:K133,"="&amp;Subgroup)&gt;0,"",Subgroup),"")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30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30"/>
      <c r="FS152" s="125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23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23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23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23"/>
      <c r="IB152" s="123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23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23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23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30"/>
      <c r="I153" s="125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23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23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23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30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30"/>
      <c r="BE153" s="125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23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23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23"/>
      <c r="CQ153" s="52" t="str">
        <f t="shared" si="383"/>
        <v/>
      </c>
      <c r="CX153" s="130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IF(AND(Sufficient_data="Yes",Subgroup&lt;&gt;""),IF(COUNTIFS(Input!J$2:J134,"="&amp;"Yes",Input!C$2:C134,"="&amp;"Yes",Input!K$2:K134,"="&amp;Subgroup)&gt;0,"",Subgroup),"")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30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30"/>
      <c r="FS153" s="125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23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23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23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23"/>
      <c r="IB153" s="123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23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23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23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30"/>
      <c r="I154" s="125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23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23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23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30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30"/>
      <c r="BE154" s="125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23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23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23"/>
      <c r="CQ154" s="52" t="str">
        <f t="shared" si="383"/>
        <v/>
      </c>
      <c r="CX154" s="130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IF(AND(Sufficient_data="Yes",Subgroup&lt;&gt;""),IF(COUNTIFS(Input!J$2:J135,"="&amp;"Yes",Input!C$2:C135,"="&amp;"Yes",Input!K$2:K135,"="&amp;Subgroup)&gt;0,"",Subgroup),"")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30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30"/>
      <c r="FS154" s="125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23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23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23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23"/>
      <c r="IB154" s="123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23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23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23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30"/>
      <c r="I155" s="125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23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23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23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30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30"/>
      <c r="BE155" s="125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23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23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23"/>
      <c r="CQ155" s="52" t="str">
        <f t="shared" si="383"/>
        <v/>
      </c>
      <c r="CX155" s="130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IF(AND(Sufficient_data="Yes",Subgroup&lt;&gt;""),IF(COUNTIFS(Input!J$2:J136,"="&amp;"Yes",Input!C$2:C136,"="&amp;"Yes",Input!K$2:K136,"="&amp;Subgroup)&gt;0,"",Subgroup),"")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30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30"/>
      <c r="FS155" s="125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23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23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23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23"/>
      <c r="IB155" s="123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23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23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23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30"/>
      <c r="I156" s="125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23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23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23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30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30"/>
      <c r="BE156" s="125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23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23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23"/>
      <c r="CQ156" s="52" t="str">
        <f t="shared" si="383"/>
        <v/>
      </c>
      <c r="CX156" s="130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IF(AND(Sufficient_data="Yes",Subgroup&lt;&gt;""),IF(COUNTIFS(Input!J$2:J137,"="&amp;"Yes",Input!C$2:C137,"="&amp;"Yes",Input!K$2:K137,"="&amp;Subgroup)&gt;0,"",Subgroup),"")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30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30"/>
      <c r="FS156" s="125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23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23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23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23"/>
      <c r="IB156" s="123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23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23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23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30"/>
      <c r="I157" s="125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23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23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23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30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30"/>
      <c r="BE157" s="125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23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23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23"/>
      <c r="CQ157" s="52" t="str">
        <f t="shared" si="383"/>
        <v/>
      </c>
      <c r="CX157" s="130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IF(AND(Sufficient_data="Yes",Subgroup&lt;&gt;""),IF(COUNTIFS(Input!J$2:J138,"="&amp;"Yes",Input!C$2:C138,"="&amp;"Yes",Input!K$2:K138,"="&amp;Subgroup)&gt;0,"",Subgroup),"")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30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30"/>
      <c r="FS157" s="125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23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23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23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23"/>
      <c r="IB157" s="123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23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23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23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30"/>
      <c r="I158" s="125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23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23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23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30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30"/>
      <c r="BE158" s="125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23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23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23"/>
      <c r="CQ158" s="52" t="str">
        <f t="shared" si="383"/>
        <v/>
      </c>
      <c r="CX158" s="130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IF(AND(Sufficient_data="Yes",Subgroup&lt;&gt;""),IF(COUNTIFS(Input!J$2:J139,"="&amp;"Yes",Input!C$2:C139,"="&amp;"Yes",Input!K$2:K139,"="&amp;Subgroup)&gt;0,"",Subgroup),"")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30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30"/>
      <c r="FS158" s="125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23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23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23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23"/>
      <c r="IB158" s="123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23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23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23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30"/>
      <c r="I159" s="125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23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23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23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30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30"/>
      <c r="BE159" s="125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23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23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23"/>
      <c r="CQ159" s="52" t="str">
        <f t="shared" si="383"/>
        <v/>
      </c>
      <c r="CX159" s="130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IF(AND(Sufficient_data="Yes",Subgroup&lt;&gt;""),IF(COUNTIFS(Input!J$2:J140,"="&amp;"Yes",Input!C$2:C140,"="&amp;"Yes",Input!K$2:K140,"="&amp;Subgroup)&gt;0,"",Subgroup),"")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30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30"/>
      <c r="FS159" s="125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23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23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23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23"/>
      <c r="IB159" s="123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23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23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23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30"/>
      <c r="I160" s="125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23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23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23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30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30"/>
      <c r="BE160" s="125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23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23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23"/>
      <c r="CQ160" s="52" t="str">
        <f t="shared" si="383"/>
        <v/>
      </c>
      <c r="CX160" s="130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IF(AND(Sufficient_data="Yes",Subgroup&lt;&gt;""),IF(COUNTIFS(Input!J$2:J141,"="&amp;"Yes",Input!C$2:C141,"="&amp;"Yes",Input!K$2:K141,"="&amp;Subgroup)&gt;0,"",Subgroup),"")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30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30"/>
      <c r="FS160" s="125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23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23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23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23"/>
      <c r="IB160" s="123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23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23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23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30"/>
      <c r="I161" s="125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23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23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23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30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30"/>
      <c r="BE161" s="125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23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23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23"/>
      <c r="CQ161" s="52" t="str">
        <f t="shared" si="383"/>
        <v/>
      </c>
      <c r="CX161" s="130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IF(AND(Sufficient_data="Yes",Subgroup&lt;&gt;""),IF(COUNTIFS(Input!J$2:J142,"="&amp;"Yes",Input!C$2:C142,"="&amp;"Yes",Input!K$2:K142,"="&amp;Subgroup)&gt;0,"",Subgroup),"")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30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30"/>
      <c r="FS161" s="125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23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23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23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23"/>
      <c r="IB161" s="123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23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23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23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30"/>
      <c r="I162" s="125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23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23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23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30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30"/>
      <c r="BE162" s="125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23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23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23"/>
      <c r="CQ162" s="52" t="str">
        <f t="shared" ref="CQ162:CQ201" si="582">IF(AND(Sufficient_data="Yes",Include_study?="Yes"),c_/(c_+d_),"")</f>
        <v/>
      </c>
      <c r="CX162" s="130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IF(AND(Sufficient_data="Yes",Subgroup&lt;&gt;""),IF(COUNTIFS(Input!J$2:J143,"="&amp;"Yes",Input!C$2:C143,"="&amp;"Yes",Input!K$2:K143,"="&amp;Subgroup)&gt;0,"",Subgroup),"")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30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30"/>
      <c r="FS162" s="125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23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23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23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23"/>
      <c r="IB162" s="123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23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23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23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30"/>
      <c r="I163" s="125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23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23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23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30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30"/>
      <c r="BE163" s="125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23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23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23"/>
      <c r="CQ163" s="52" t="str">
        <f t="shared" si="582"/>
        <v/>
      </c>
      <c r="CX163" s="130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IF(AND(Sufficient_data="Yes",Subgroup&lt;&gt;""),IF(COUNTIFS(Input!J$2:J144,"="&amp;"Yes",Input!C$2:C144,"="&amp;"Yes",Input!K$2:K144,"="&amp;Subgroup)&gt;0,"",Subgroup),"")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30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30"/>
      <c r="FS163" s="125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23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23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23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23"/>
      <c r="IB163" s="123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23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23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23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30"/>
      <c r="I164" s="125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23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23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23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30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30"/>
      <c r="BE164" s="125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23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23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23"/>
      <c r="CQ164" s="52" t="str">
        <f t="shared" si="582"/>
        <v/>
      </c>
      <c r="CX164" s="130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IF(AND(Sufficient_data="Yes",Subgroup&lt;&gt;""),IF(COUNTIFS(Input!J$2:J145,"="&amp;"Yes",Input!C$2:C145,"="&amp;"Yes",Input!K$2:K145,"="&amp;Subgroup)&gt;0,"",Subgroup),"")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30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30"/>
      <c r="FS164" s="125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23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23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23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23"/>
      <c r="IB164" s="123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23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23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23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30"/>
      <c r="I165" s="125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23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23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23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30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30"/>
      <c r="BE165" s="125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23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23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23"/>
      <c r="CQ165" s="52" t="str">
        <f t="shared" si="582"/>
        <v/>
      </c>
      <c r="CX165" s="130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IF(AND(Sufficient_data="Yes",Subgroup&lt;&gt;""),IF(COUNTIFS(Input!J$2:J146,"="&amp;"Yes",Input!C$2:C146,"="&amp;"Yes",Input!K$2:K146,"="&amp;Subgroup)&gt;0,"",Subgroup),"")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30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30"/>
      <c r="FS165" s="125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23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23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23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23"/>
      <c r="IB165" s="123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23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23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23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30"/>
      <c r="I166" s="125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23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23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23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30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30"/>
      <c r="BE166" s="125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23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23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23"/>
      <c r="CQ166" s="52" t="str">
        <f t="shared" si="582"/>
        <v/>
      </c>
      <c r="CX166" s="130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IF(AND(Sufficient_data="Yes",Subgroup&lt;&gt;""),IF(COUNTIFS(Input!J$2:J147,"="&amp;"Yes",Input!C$2:C147,"="&amp;"Yes",Input!K$2:K147,"="&amp;Subgroup)&gt;0,"",Subgroup),"")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30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30"/>
      <c r="FS166" s="125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23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23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23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23"/>
      <c r="IB166" s="123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23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23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23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30"/>
      <c r="I167" s="125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23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23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23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30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30"/>
      <c r="BE167" s="125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23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23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23"/>
      <c r="CQ167" s="52" t="str">
        <f t="shared" si="582"/>
        <v/>
      </c>
      <c r="CX167" s="130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IF(AND(Sufficient_data="Yes",Subgroup&lt;&gt;""),IF(COUNTIFS(Input!J$2:J148,"="&amp;"Yes",Input!C$2:C148,"="&amp;"Yes",Input!K$2:K148,"="&amp;Subgroup)&gt;0,"",Subgroup),"")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30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30"/>
      <c r="FS167" s="125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23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23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23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23"/>
      <c r="IB167" s="123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23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23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23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30"/>
      <c r="I168" s="125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23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23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23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30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30"/>
      <c r="BE168" s="125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23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23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23"/>
      <c r="CQ168" s="52" t="str">
        <f t="shared" si="582"/>
        <v/>
      </c>
      <c r="CX168" s="130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IF(AND(Sufficient_data="Yes",Subgroup&lt;&gt;""),IF(COUNTIFS(Input!J$2:J149,"="&amp;"Yes",Input!C$2:C149,"="&amp;"Yes",Input!K$2:K149,"="&amp;Subgroup)&gt;0,"",Subgroup),"")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30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30"/>
      <c r="FS168" s="125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23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23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23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23"/>
      <c r="IB168" s="123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23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23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23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30"/>
      <c r="I169" s="125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23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23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23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30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30"/>
      <c r="BE169" s="125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23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23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23"/>
      <c r="CQ169" s="52" t="str">
        <f t="shared" si="582"/>
        <v/>
      </c>
      <c r="CX169" s="130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IF(AND(Sufficient_data="Yes",Subgroup&lt;&gt;""),IF(COUNTIFS(Input!J$2:J150,"="&amp;"Yes",Input!C$2:C150,"="&amp;"Yes",Input!K$2:K150,"="&amp;Subgroup)&gt;0,"",Subgroup),"")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30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30"/>
      <c r="FS169" s="125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23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23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23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23"/>
      <c r="IB169" s="123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23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23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23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30"/>
      <c r="I170" s="125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23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23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23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30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30"/>
      <c r="BE170" s="125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23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23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23"/>
      <c r="CQ170" s="52" t="str">
        <f t="shared" si="582"/>
        <v/>
      </c>
      <c r="CX170" s="130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IF(AND(Sufficient_data="Yes",Subgroup&lt;&gt;""),IF(COUNTIFS(Input!J$2:J151,"="&amp;"Yes",Input!C$2:C151,"="&amp;"Yes",Input!K$2:K151,"="&amp;Subgroup)&gt;0,"",Subgroup),"")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30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30"/>
      <c r="FS170" s="125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23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23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23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23"/>
      <c r="IB170" s="123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23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23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23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30"/>
      <c r="I171" s="125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23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23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23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30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30"/>
      <c r="BE171" s="125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23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23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23"/>
      <c r="CQ171" s="52" t="str">
        <f t="shared" si="582"/>
        <v/>
      </c>
      <c r="CX171" s="130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IF(AND(Sufficient_data="Yes",Subgroup&lt;&gt;""),IF(COUNTIFS(Input!J$2:J152,"="&amp;"Yes",Input!C$2:C152,"="&amp;"Yes",Input!K$2:K152,"="&amp;Subgroup)&gt;0,"",Subgroup),"")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30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30"/>
      <c r="FS171" s="125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23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23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23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23"/>
      <c r="IB171" s="123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23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23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23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30"/>
      <c r="I172" s="125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23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23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23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30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30"/>
      <c r="BE172" s="125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23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23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23"/>
      <c r="CQ172" s="52" t="str">
        <f t="shared" si="582"/>
        <v/>
      </c>
      <c r="CX172" s="130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IF(AND(Sufficient_data="Yes",Subgroup&lt;&gt;""),IF(COUNTIFS(Input!J$2:J153,"="&amp;"Yes",Input!C$2:C153,"="&amp;"Yes",Input!K$2:K153,"="&amp;Subgroup)&gt;0,"",Subgroup),"")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30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30"/>
      <c r="FS172" s="125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23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23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23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23"/>
      <c r="IB172" s="123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23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23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23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30"/>
      <c r="I173" s="125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23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23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23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30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30"/>
      <c r="BE173" s="125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23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23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23"/>
      <c r="CQ173" s="52" t="str">
        <f t="shared" si="582"/>
        <v/>
      </c>
      <c r="CX173" s="130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IF(AND(Sufficient_data="Yes",Subgroup&lt;&gt;""),IF(COUNTIFS(Input!J$2:J154,"="&amp;"Yes",Input!C$2:C154,"="&amp;"Yes",Input!K$2:K154,"="&amp;Subgroup)&gt;0,"",Subgroup),"")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30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30"/>
      <c r="FS173" s="125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23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23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23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23"/>
      <c r="IB173" s="123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23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23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23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30"/>
      <c r="I174" s="125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23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23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23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30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30"/>
      <c r="BE174" s="125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23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23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23"/>
      <c r="CQ174" s="52" t="str">
        <f t="shared" si="582"/>
        <v/>
      </c>
      <c r="CX174" s="130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IF(AND(Sufficient_data="Yes",Subgroup&lt;&gt;""),IF(COUNTIFS(Input!J$2:J155,"="&amp;"Yes",Input!C$2:C155,"="&amp;"Yes",Input!K$2:K155,"="&amp;Subgroup)&gt;0,"",Subgroup),"")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30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30"/>
      <c r="FS174" s="125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23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23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23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23"/>
      <c r="IB174" s="123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23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23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23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30"/>
      <c r="I175" s="125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23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23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23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30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30"/>
      <c r="BE175" s="125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23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23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23"/>
      <c r="CQ175" s="52" t="str">
        <f t="shared" si="582"/>
        <v/>
      </c>
      <c r="CX175" s="130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IF(AND(Sufficient_data="Yes",Subgroup&lt;&gt;""),IF(COUNTIFS(Input!J$2:J156,"="&amp;"Yes",Input!C$2:C156,"="&amp;"Yes",Input!K$2:K156,"="&amp;Subgroup)&gt;0,"",Subgroup),"")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30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30"/>
      <c r="FS175" s="125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23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23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23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23"/>
      <c r="IB175" s="123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23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23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23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30"/>
      <c r="I176" s="125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23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23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23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30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30"/>
      <c r="BE176" s="125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23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23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23"/>
      <c r="CQ176" s="52" t="str">
        <f t="shared" si="582"/>
        <v/>
      </c>
      <c r="CX176" s="130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IF(AND(Sufficient_data="Yes",Subgroup&lt;&gt;""),IF(COUNTIFS(Input!J$2:J157,"="&amp;"Yes",Input!C$2:C157,"="&amp;"Yes",Input!K$2:K157,"="&amp;Subgroup)&gt;0,"",Subgroup),"")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30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30"/>
      <c r="FS176" s="125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23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23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23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23"/>
      <c r="IB176" s="123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23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23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23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30"/>
      <c r="I177" s="125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23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23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23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30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30"/>
      <c r="BE177" s="125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23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23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23"/>
      <c r="CQ177" s="52" t="str">
        <f t="shared" si="582"/>
        <v/>
      </c>
      <c r="CX177" s="130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IF(AND(Sufficient_data="Yes",Subgroup&lt;&gt;""),IF(COUNTIFS(Input!J$2:J158,"="&amp;"Yes",Input!C$2:C158,"="&amp;"Yes",Input!K$2:K158,"="&amp;Subgroup)&gt;0,"",Subgroup),"")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30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30"/>
      <c r="FS177" s="125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23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23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23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23"/>
      <c r="IB177" s="123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23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23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23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30"/>
      <c r="I178" s="125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23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23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23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30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30"/>
      <c r="BE178" s="125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23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23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23"/>
      <c r="CQ178" s="52" t="str">
        <f t="shared" si="582"/>
        <v/>
      </c>
      <c r="CX178" s="130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IF(AND(Sufficient_data="Yes",Subgroup&lt;&gt;""),IF(COUNTIFS(Input!J$2:J159,"="&amp;"Yes",Input!C$2:C159,"="&amp;"Yes",Input!K$2:K159,"="&amp;Subgroup)&gt;0,"",Subgroup),"")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30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30"/>
      <c r="FS178" s="125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23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23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23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23"/>
      <c r="IB178" s="123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23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23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23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30"/>
      <c r="I179" s="125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23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23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23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30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30"/>
      <c r="BE179" s="125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23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23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23"/>
      <c r="CQ179" s="52" t="str">
        <f t="shared" si="582"/>
        <v/>
      </c>
      <c r="CX179" s="130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IF(AND(Sufficient_data="Yes",Subgroup&lt;&gt;""),IF(COUNTIFS(Input!J$2:J160,"="&amp;"Yes",Input!C$2:C160,"="&amp;"Yes",Input!K$2:K160,"="&amp;Subgroup)&gt;0,"",Subgroup),"")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30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30"/>
      <c r="FS179" s="125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23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23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23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23"/>
      <c r="IB179" s="123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23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23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23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30"/>
      <c r="I180" s="125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23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23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23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30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30"/>
      <c r="BE180" s="125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23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23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23"/>
      <c r="CQ180" s="52" t="str">
        <f t="shared" si="582"/>
        <v/>
      </c>
      <c r="CX180" s="130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IF(AND(Sufficient_data="Yes",Subgroup&lt;&gt;""),IF(COUNTIFS(Input!J$2:J161,"="&amp;"Yes",Input!C$2:C161,"="&amp;"Yes",Input!K$2:K161,"="&amp;Subgroup)&gt;0,"",Subgroup),"")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30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30"/>
      <c r="FS180" s="125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23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23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23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23"/>
      <c r="IB180" s="123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23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23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23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30"/>
      <c r="I181" s="125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23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23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23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30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30"/>
      <c r="BE181" s="125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23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23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23"/>
      <c r="CQ181" s="52" t="str">
        <f t="shared" si="582"/>
        <v/>
      </c>
      <c r="CX181" s="130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IF(AND(Sufficient_data="Yes",Subgroup&lt;&gt;""),IF(COUNTIFS(Input!J$2:J162,"="&amp;"Yes",Input!C$2:C162,"="&amp;"Yes",Input!K$2:K162,"="&amp;Subgroup)&gt;0,"",Subgroup),"")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30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30"/>
      <c r="FS181" s="125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23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23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23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23"/>
      <c r="IB181" s="123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23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23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23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30"/>
      <c r="I182" s="125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23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23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23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30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30"/>
      <c r="BE182" s="125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23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23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23"/>
      <c r="CQ182" s="52" t="str">
        <f t="shared" si="582"/>
        <v/>
      </c>
      <c r="CX182" s="130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IF(AND(Sufficient_data="Yes",Subgroup&lt;&gt;""),IF(COUNTIFS(Input!J$2:J163,"="&amp;"Yes",Input!C$2:C163,"="&amp;"Yes",Input!K$2:K163,"="&amp;Subgroup)&gt;0,"",Subgroup),"")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30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30"/>
      <c r="FS182" s="125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23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23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23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23"/>
      <c r="IB182" s="123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23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23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23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30"/>
      <c r="I183" s="125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23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23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23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30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30"/>
      <c r="BE183" s="125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23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23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23"/>
      <c r="CQ183" s="52" t="str">
        <f t="shared" si="582"/>
        <v/>
      </c>
      <c r="CX183" s="130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IF(AND(Sufficient_data="Yes",Subgroup&lt;&gt;""),IF(COUNTIFS(Input!J$2:J164,"="&amp;"Yes",Input!C$2:C164,"="&amp;"Yes",Input!K$2:K164,"="&amp;Subgroup)&gt;0,"",Subgroup),"")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30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30"/>
      <c r="FS183" s="125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23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23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23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23"/>
      <c r="IB183" s="123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23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23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23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>
      <c r="A184" s="2">
        <f t="shared" si="533"/>
        <v>0</v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30"/>
      <c r="I184" s="125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23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23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23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30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>
        <f t="shared" si="462"/>
        <v>0</v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30"/>
      <c r="BE184" s="125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23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23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23"/>
      <c r="CQ184" s="52" t="str">
        <f t="shared" si="582"/>
        <v/>
      </c>
      <c r="CX184" s="130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IF(AND(Sufficient_data="Yes",Subgroup&lt;&gt;""),IF(COUNTIFS(Input!J$2:J165,"="&amp;"Yes",Input!C$2:C165,"="&amp;"Yes",Input!K$2:K165,"="&amp;Subgroup)&gt;0,"",Subgroup),"")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30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30"/>
      <c r="FS184" s="125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23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23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23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23"/>
      <c r="IB184" s="123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23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23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23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>
      <c r="A185" s="2">
        <f t="shared" si="533"/>
        <v>0</v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30"/>
      <c r="I185" s="125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23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23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23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30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>
        <f t="shared" si="462"/>
        <v>0</v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30"/>
      <c r="BE185" s="125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23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23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23"/>
      <c r="CQ185" s="52" t="str">
        <f t="shared" si="582"/>
        <v/>
      </c>
      <c r="CX185" s="130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IF(AND(Sufficient_data="Yes",Subgroup&lt;&gt;""),IF(COUNTIFS(Input!J$2:J166,"="&amp;"Yes",Input!C$2:C166,"="&amp;"Yes",Input!K$2:K166,"="&amp;Subgroup)&gt;0,"",Subgroup),"")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30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30"/>
      <c r="FS185" s="125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23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23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23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23"/>
      <c r="IB185" s="123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23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23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23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>
      <c r="A186" s="2">
        <f t="shared" si="533"/>
        <v>0</v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30"/>
      <c r="I186" s="125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23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23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23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30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>
        <f t="shared" si="462"/>
        <v>0</v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30"/>
      <c r="BE186" s="125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23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23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23"/>
      <c r="CQ186" s="52" t="str">
        <f t="shared" si="582"/>
        <v/>
      </c>
      <c r="CX186" s="130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IF(AND(Sufficient_data="Yes",Subgroup&lt;&gt;""),IF(COUNTIFS(Input!J$2:J167,"="&amp;"Yes",Input!C$2:C167,"="&amp;"Yes",Input!K$2:K167,"="&amp;Subgroup)&gt;0,"",Subgroup),"")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30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30"/>
      <c r="FS186" s="125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23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23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23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23"/>
      <c r="IB186" s="123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23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23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23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>
      <c r="A187" s="2">
        <f t="shared" si="533"/>
        <v>0</v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30"/>
      <c r="I187" s="125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23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23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23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30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>
        <f t="shared" si="462"/>
        <v>0</v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30"/>
      <c r="BE187" s="125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23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23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23"/>
      <c r="CQ187" s="52" t="str">
        <f t="shared" si="582"/>
        <v/>
      </c>
      <c r="CX187" s="130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IF(AND(Sufficient_data="Yes",Subgroup&lt;&gt;""),IF(COUNTIFS(Input!J$2:J168,"="&amp;"Yes",Input!C$2:C168,"="&amp;"Yes",Input!K$2:K168,"="&amp;Subgroup)&gt;0,"",Subgroup),"")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30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30"/>
      <c r="FS187" s="125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23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23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23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23"/>
      <c r="IB187" s="123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23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23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23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>
      <c r="A188" s="2">
        <f t="shared" si="533"/>
        <v>0</v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30"/>
      <c r="I188" s="125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23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23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23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30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>
        <f t="shared" si="462"/>
        <v>0</v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30"/>
      <c r="BE188" s="125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23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23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23"/>
      <c r="CQ188" s="52" t="str">
        <f t="shared" si="582"/>
        <v/>
      </c>
      <c r="CX188" s="130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IF(AND(Sufficient_data="Yes",Subgroup&lt;&gt;""),IF(COUNTIFS(Input!J$2:J169,"="&amp;"Yes",Input!C$2:C169,"="&amp;"Yes",Input!K$2:K169,"="&amp;Subgroup)&gt;0,"",Subgroup),"")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30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30"/>
      <c r="FS188" s="125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23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23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23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23"/>
      <c r="IB188" s="123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23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23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23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>
      <c r="A189" s="2">
        <f t="shared" si="533"/>
        <v>0</v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30"/>
      <c r="I189" s="125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23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23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23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30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>
        <f t="shared" si="462"/>
        <v>0</v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30"/>
      <c r="BE189" s="125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23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23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23"/>
      <c r="CQ189" s="52" t="str">
        <f t="shared" si="582"/>
        <v/>
      </c>
      <c r="CX189" s="130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IF(AND(Sufficient_data="Yes",Subgroup&lt;&gt;""),IF(COUNTIFS(Input!J$2:J170,"="&amp;"Yes",Input!C$2:C170,"="&amp;"Yes",Input!K$2:K170,"="&amp;Subgroup)&gt;0,"",Subgroup),"")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30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30"/>
      <c r="FS189" s="125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23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23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23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23"/>
      <c r="IB189" s="123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23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23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23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>
      <c r="A190" s="2">
        <f t="shared" si="533"/>
        <v>0</v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30"/>
      <c r="I190" s="125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23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23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23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30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>
        <f t="shared" si="462"/>
        <v>0</v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30"/>
      <c r="BE190" s="125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23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23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23"/>
      <c r="CQ190" s="52" t="str">
        <f t="shared" si="582"/>
        <v/>
      </c>
      <c r="CX190" s="130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IF(AND(Sufficient_data="Yes",Subgroup&lt;&gt;""),IF(COUNTIFS(Input!J$2:J171,"="&amp;"Yes",Input!C$2:C171,"="&amp;"Yes",Input!K$2:K171,"="&amp;Subgroup)&gt;0,"",Subgroup),"")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30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30"/>
      <c r="FS190" s="125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23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23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23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23"/>
      <c r="IB190" s="123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23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23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23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>
      <c r="A191" s="2">
        <f t="shared" si="533"/>
        <v>0</v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30"/>
      <c r="I191" s="125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23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23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23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30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>
        <f t="shared" si="462"/>
        <v>0</v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30"/>
      <c r="BE191" s="125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23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23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23"/>
      <c r="CQ191" s="52" t="str">
        <f t="shared" si="582"/>
        <v/>
      </c>
      <c r="CX191" s="130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IF(AND(Sufficient_data="Yes",Subgroup&lt;&gt;""),IF(COUNTIFS(Input!J$2:J172,"="&amp;"Yes",Input!C$2:C172,"="&amp;"Yes",Input!K$2:K172,"="&amp;Subgroup)&gt;0,"",Subgroup),"")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30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30"/>
      <c r="FS191" s="125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23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23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23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23"/>
      <c r="IB191" s="123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23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23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23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>
      <c r="A192" s="2">
        <f t="shared" si="533"/>
        <v>0</v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30"/>
      <c r="I192" s="125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23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23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23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30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>
        <f t="shared" si="462"/>
        <v>0</v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30"/>
      <c r="BE192" s="125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23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23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23"/>
      <c r="CQ192" s="52" t="str">
        <f t="shared" si="582"/>
        <v/>
      </c>
      <c r="CX192" s="130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IF(AND(Sufficient_data="Yes",Subgroup&lt;&gt;""),IF(COUNTIFS(Input!J$2:J173,"="&amp;"Yes",Input!C$2:C173,"="&amp;"Yes",Input!K$2:K173,"="&amp;Subgroup)&gt;0,"",Subgroup),"")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30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30"/>
      <c r="FS192" s="125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23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23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23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23"/>
      <c r="IB192" s="123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23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23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23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>
      <c r="A193" s="2">
        <f t="shared" si="533"/>
        <v>0</v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30"/>
      <c r="I193" s="125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23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23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23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30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>
        <f t="shared" si="462"/>
        <v>0</v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30"/>
      <c r="BE193" s="125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23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23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23"/>
      <c r="CQ193" s="52" t="str">
        <f t="shared" si="582"/>
        <v/>
      </c>
      <c r="CX193" s="130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IF(AND(Sufficient_data="Yes",Subgroup&lt;&gt;""),IF(COUNTIFS(Input!J$2:J174,"="&amp;"Yes",Input!C$2:C174,"="&amp;"Yes",Input!K$2:K174,"="&amp;Subgroup)&gt;0,"",Subgroup),"")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30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30"/>
      <c r="FS193" s="125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23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23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23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23"/>
      <c r="IB193" s="123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23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23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23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>
      <c r="A194" s="2">
        <f t="shared" si="533"/>
        <v>0</v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30"/>
      <c r="I194" s="125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23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23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23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30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>
        <f t="shared" ref="AL194:AL201" si="659">Entry_number</f>
        <v>0</v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30"/>
      <c r="BE194" s="125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23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23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23"/>
      <c r="CQ194" s="52" t="str">
        <f t="shared" si="582"/>
        <v/>
      </c>
      <c r="CX194" s="130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IF(AND(Sufficient_data="Yes",Subgroup&lt;&gt;""),IF(COUNTIFS(Input!J$2:J175,"="&amp;"Yes",Input!C$2:C175,"="&amp;"Yes",Input!K$2:K175,"="&amp;Subgroup)&gt;0,"",Subgroup),"")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30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30"/>
      <c r="FS194" s="125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23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23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23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23"/>
      <c r="IB194" s="123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23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23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23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>
      <c r="A195" s="2">
        <f t="shared" si="533"/>
        <v>0</v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30"/>
      <c r="I195" s="125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23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23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23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30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>
        <f t="shared" si="659"/>
        <v>0</v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30"/>
      <c r="BE195" s="125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23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23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23"/>
      <c r="CQ195" s="52" t="str">
        <f t="shared" si="582"/>
        <v/>
      </c>
      <c r="CX195" s="130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IF(AND(Sufficient_data="Yes",Subgroup&lt;&gt;""),IF(COUNTIFS(Input!J$2:J176,"="&amp;"Yes",Input!C$2:C176,"="&amp;"Yes",Input!K$2:K176,"="&amp;Subgroup)&gt;0,"",Subgroup),"")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30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30"/>
      <c r="FS195" s="125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23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23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23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23"/>
      <c r="IB195" s="123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23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23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23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>
      <c r="A196" s="2">
        <f t="shared" si="533"/>
        <v>0</v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30"/>
      <c r="I196" s="125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23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23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23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30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>
        <f t="shared" si="659"/>
        <v>0</v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30"/>
      <c r="BE196" s="125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23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23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23"/>
      <c r="CQ196" s="52" t="str">
        <f t="shared" si="582"/>
        <v/>
      </c>
      <c r="CX196" s="130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IF(AND(Sufficient_data="Yes",Subgroup&lt;&gt;""),IF(COUNTIFS(Input!J$2:J177,"="&amp;"Yes",Input!C$2:C177,"="&amp;"Yes",Input!K$2:K177,"="&amp;Subgroup)&gt;0,"",Subgroup),"")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30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30"/>
      <c r="FS196" s="125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23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23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23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23"/>
      <c r="IB196" s="123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23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23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23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>
      <c r="A197" s="2">
        <f t="shared" si="533"/>
        <v>0</v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30"/>
      <c r="I197" s="125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23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23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23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30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>
        <f t="shared" si="659"/>
        <v>0</v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30"/>
      <c r="BE197" s="125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23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23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23"/>
      <c r="CQ197" s="52" t="str">
        <f t="shared" si="582"/>
        <v/>
      </c>
      <c r="CX197" s="130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IF(AND(Sufficient_data="Yes",Subgroup&lt;&gt;""),IF(COUNTIFS(Input!J$2:J178,"="&amp;"Yes",Input!C$2:C178,"="&amp;"Yes",Input!K$2:K178,"="&amp;Subgroup)&gt;0,"",Subgroup),"")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30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30"/>
      <c r="FS197" s="125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23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23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23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23"/>
      <c r="IB197" s="123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23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23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23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>
      <c r="A198" s="2">
        <f t="shared" si="533"/>
        <v>0</v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30"/>
      <c r="I198" s="125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23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23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23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30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>
        <f t="shared" si="659"/>
        <v>0</v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30"/>
      <c r="BE198" s="125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23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23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23"/>
      <c r="CQ198" s="52" t="str">
        <f t="shared" si="582"/>
        <v/>
      </c>
      <c r="CX198" s="130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IF(AND(Sufficient_data="Yes",Subgroup&lt;&gt;""),IF(COUNTIFS(Input!J$2:J179,"="&amp;"Yes",Input!C$2:C179,"="&amp;"Yes",Input!K$2:K179,"="&amp;Subgroup)&gt;0,"",Subgroup),"")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30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30"/>
      <c r="FS198" s="125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23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23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23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23"/>
      <c r="IB198" s="123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23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23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23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>
      <c r="A199" s="2">
        <f t="shared" si="533"/>
        <v>0</v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30"/>
      <c r="I199" s="125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23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23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23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30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>
        <f t="shared" si="659"/>
        <v>0</v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30"/>
      <c r="BE199" s="125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23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23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23"/>
      <c r="CQ199" s="52" t="str">
        <f t="shared" si="582"/>
        <v/>
      </c>
      <c r="CX199" s="130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IF(AND(Sufficient_data="Yes",Subgroup&lt;&gt;""),IF(COUNTIFS(Input!J$2:J180,"="&amp;"Yes",Input!C$2:C180,"="&amp;"Yes",Input!K$2:K180,"="&amp;Subgroup)&gt;0,"",Subgroup),"")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30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30"/>
      <c r="FS199" s="125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23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23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23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23"/>
      <c r="IB199" s="123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23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23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23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>
      <c r="A200" s="2">
        <f t="shared" si="533"/>
        <v>0</v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30"/>
      <c r="I200" s="125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23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23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23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30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>
        <f t="shared" si="659"/>
        <v>0</v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30"/>
      <c r="BE200" s="125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23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23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23"/>
      <c r="CQ200" s="52" t="str">
        <f t="shared" si="582"/>
        <v/>
      </c>
      <c r="CX200" s="130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IF(AND(Sufficient_data="Yes",Subgroup&lt;&gt;""),IF(COUNTIFS(Input!J$2:J181,"="&amp;"Yes",Input!C$2:C181,"="&amp;"Yes",Input!K$2:K181,"="&amp;Subgroup)&gt;0,"",Subgroup),"")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30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30"/>
      <c r="FS200" s="125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23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23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23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23"/>
      <c r="IB200" s="123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23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23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23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>
      <c r="A201" s="38">
        <f t="shared" si="533"/>
        <v>0</v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31"/>
      <c r="I201" s="129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24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24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24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31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>
        <f t="shared" si="659"/>
        <v>0</v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31"/>
      <c r="BE201" s="129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24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24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24"/>
      <c r="CQ201" s="53" t="str">
        <f t="shared" si="582"/>
        <v/>
      </c>
      <c r="CX201" s="131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IF(AND(Sufficient_data="Yes",Subgroup&lt;&gt;""),IF(COUNTIFS(Input!J$2:J182,"="&amp;"Yes",Input!C$2:C182,"="&amp;"Yes",Input!K$2:K182,"="&amp;Subgroup)&gt;0,"",Subgroup),"")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31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31"/>
      <c r="FS201" s="129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24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24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24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24"/>
      <c r="IB201" s="124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24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24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24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EX41:EY41"/>
    <mergeCell ref="EX33:EY33"/>
    <mergeCell ref="EX37:EY37"/>
    <mergeCell ref="EX16:EY16"/>
    <mergeCell ref="EX23:EY23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2023-07-26T12:41:57Z</dcterms:modified>
  <cp:category/>
  <cp:contentStatus/>
</cp:coreProperties>
</file>