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2F2E831FA4247CC0C00F1960A30469F5678BEAA3" xr6:coauthVersionLast="47" xr6:coauthVersionMax="47" xr10:uidLastSave="{00000000-0000-0000-0000-000000000000}"/>
  <bookViews>
    <workbookView xWindow="-110" yWindow="-110" windowWidth="19420" windowHeight="10300" tabRatio="807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  <sheet name="Sheet2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</workbook>
</file>

<file path=xl/calcChain.xml><?xml version="1.0" encoding="utf-8"?>
<calcChain xmlns="http://schemas.openxmlformats.org/spreadsheetml/2006/main">
  <c r="J5" i="12" l="1"/>
  <c r="J6" i="12"/>
  <c r="J7" i="12"/>
  <c r="J8" i="12"/>
  <c r="J9" i="12"/>
  <c r="J10" i="12"/>
  <c r="J11" i="12"/>
  <c r="J12" i="12"/>
  <c r="J13" i="12"/>
  <c r="J14" i="12"/>
  <c r="J4" i="12"/>
  <c r="B4" i="8" l="1"/>
  <c r="J2" i="1"/>
  <c r="A2" i="1" s="1"/>
  <c r="J3" i="1"/>
  <c r="B3" i="2" s="1"/>
  <c r="J4" i="1"/>
  <c r="B4" i="2" s="1"/>
  <c r="J5" i="1"/>
  <c r="B5" i="2" s="1"/>
  <c r="J6" i="1"/>
  <c r="FB6" i="2" s="1"/>
  <c r="J7" i="1"/>
  <c r="AM7" i="2" s="1"/>
  <c r="BE7" i="8" s="1"/>
  <c r="J8" i="1"/>
  <c r="J9" i="1"/>
  <c r="AM9" i="2" s="1"/>
  <c r="CZ9" i="2" s="1"/>
  <c r="J10" i="1"/>
  <c r="B10" i="2" s="1"/>
  <c r="J11" i="1"/>
  <c r="C11" i="2" s="1"/>
  <c r="J12" i="1"/>
  <c r="J13" i="1"/>
  <c r="B13" i="2" s="1"/>
  <c r="J14" i="1"/>
  <c r="J15" i="1"/>
  <c r="FJ15" i="2" s="1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GC194" i="2" l="1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D5" i="8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CJ148" i="2" l="1"/>
  <c r="IV72" i="2"/>
  <c r="IW72" i="2" s="1"/>
  <c r="IV188" i="2"/>
  <c r="IW188" i="2" s="1"/>
  <c r="CJ40" i="2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AC11" i="2" l="1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7" i="1" s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S7" i="2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FT14" i="2" l="1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I9" i="2" l="1"/>
  <c r="DN9" i="2" s="1"/>
  <c r="DL9" i="2"/>
  <c r="AV12" i="8"/>
  <c r="IL12" i="2" s="1"/>
  <c r="JH12" i="2"/>
  <c r="JI12" i="2" s="1"/>
  <c r="JJ12" i="2" s="1"/>
  <c r="DT154" i="2"/>
  <c r="EH154" i="2" s="1"/>
  <c r="DT30" i="2"/>
  <c r="DT36" i="2"/>
  <c r="DT48" i="2"/>
  <c r="DT107" i="2"/>
  <c r="EM107" i="2" s="1"/>
  <c r="DT145" i="2"/>
  <c r="EH145" i="2" s="1"/>
  <c r="DT108" i="2"/>
  <c r="EL108" i="2" s="1"/>
  <c r="DT161" i="2"/>
  <c r="EH161" i="2" s="1"/>
  <c r="DT94" i="2"/>
  <c r="DT72" i="2"/>
  <c r="DT21" i="2"/>
  <c r="EJ21" i="2" s="1"/>
  <c r="DT50" i="2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DT183" i="2"/>
  <c r="DT35" i="2"/>
  <c r="DT155" i="2"/>
  <c r="DT197" i="2"/>
  <c r="DX197" i="2" s="1"/>
  <c r="DY197" i="2" s="1"/>
  <c r="DT163" i="2"/>
  <c r="EG163" i="2" s="1"/>
  <c r="DT62" i="2"/>
  <c r="EH62" i="2" s="1"/>
  <c r="DT152" i="2"/>
  <c r="EO152" i="2" s="1"/>
  <c r="DT73" i="2"/>
  <c r="DT164" i="2"/>
  <c r="DT9" i="2"/>
  <c r="DT186" i="2"/>
  <c r="DT173" i="2"/>
  <c r="EA173" i="2" s="1"/>
  <c r="ET173" i="2" s="1"/>
  <c r="DT76" i="2"/>
  <c r="ER76" i="2" s="1"/>
  <c r="DT14" i="2"/>
  <c r="EH14" i="2" s="1"/>
  <c r="DT25" i="2"/>
  <c r="ES25" i="2" s="1"/>
  <c r="EU25" i="2" s="1"/>
  <c r="DT84" i="2"/>
  <c r="DT77" i="2"/>
  <c r="DT43" i="2"/>
  <c r="DT22" i="2"/>
  <c r="EI22" i="2" s="1"/>
  <c r="DT192" i="2"/>
  <c r="EM192" i="2" s="1"/>
  <c r="DT116" i="2"/>
  <c r="DW116" i="2" s="1"/>
  <c r="DT136" i="2"/>
  <c r="EM136" i="2" s="1"/>
  <c r="DT162" i="2"/>
  <c r="EQ162" i="2" s="1"/>
  <c r="DT67" i="2"/>
  <c r="DT174" i="2"/>
  <c r="DT16" i="2"/>
  <c r="DT66" i="2"/>
  <c r="EN66" i="2" s="1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T60" i="2"/>
  <c r="DT85" i="2"/>
  <c r="EC85" i="2" s="1"/>
  <c r="DT127" i="2"/>
  <c r="EV127" i="2" s="1"/>
  <c r="DT49" i="2"/>
  <c r="EO49" i="2" s="1"/>
  <c r="DT141" i="2"/>
  <c r="DT89" i="2"/>
  <c r="DT135" i="2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G80" i="2" s="1"/>
  <c r="DT23" i="2"/>
  <c r="DT93" i="2"/>
  <c r="DT142" i="2"/>
  <c r="DT188" i="2"/>
  <c r="EE188" i="2" s="1"/>
  <c r="DT130" i="2"/>
  <c r="EV130" i="2" s="1"/>
  <c r="DT193" i="2"/>
  <c r="DV193" i="2" s="1"/>
  <c r="AV7" i="8"/>
  <c r="IL7" i="2" s="1"/>
  <c r="DT105" i="2"/>
  <c r="ES105" i="2" s="1"/>
  <c r="EU105" i="2" s="1"/>
  <c r="DT182" i="2"/>
  <c r="DT53" i="2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EV92" i="2" s="1"/>
  <c r="DT55" i="2"/>
  <c r="DT41" i="2"/>
  <c r="DT19" i="2"/>
  <c r="DT143" i="2"/>
  <c r="EK143" i="2" s="1"/>
  <c r="DT54" i="2"/>
  <c r="EV54" i="2" s="1"/>
  <c r="DT114" i="2"/>
  <c r="EI114" i="2" s="1"/>
  <c r="DT110" i="2"/>
  <c r="DU110" i="2" s="1"/>
  <c r="DT52" i="2"/>
  <c r="DW52" i="2" s="1"/>
  <c r="DT98" i="2"/>
  <c r="DT194" i="2"/>
  <c r="DT146" i="2"/>
  <c r="DT122" i="2"/>
  <c r="DT79" i="2"/>
  <c r="DU79" i="2" s="1"/>
  <c r="DT189" i="2"/>
  <c r="EA189" i="2" s="1"/>
  <c r="ET189" i="2" s="1"/>
  <c r="DT44" i="2"/>
  <c r="EN44" i="2" s="1"/>
  <c r="DT125" i="2"/>
  <c r="EG125" i="2" s="1"/>
  <c r="DT71" i="2"/>
  <c r="DT28" i="2"/>
  <c r="DT121" i="2"/>
  <c r="DT111" i="2"/>
  <c r="DT64" i="2"/>
  <c r="EQ64" i="2" s="1"/>
  <c r="DT82" i="2"/>
  <c r="ER82" i="2" s="1"/>
  <c r="DT31" i="2"/>
  <c r="EN31" i="2" s="1"/>
  <c r="DT29" i="2"/>
  <c r="EI29" i="2" s="1"/>
  <c r="DT168" i="2"/>
  <c r="DT157" i="2"/>
  <c r="DT47" i="2"/>
  <c r="DT74" i="2"/>
  <c r="DU74" i="2" s="1"/>
  <c r="DT58" i="2"/>
  <c r="ES58" i="2" s="1"/>
  <c r="EU58" i="2" s="1"/>
  <c r="DT88" i="2"/>
  <c r="EN88" i="2" s="1"/>
  <c r="DT201" i="2"/>
  <c r="DZ201" i="2" s="1"/>
  <c r="DT45" i="2"/>
  <c r="EH45" i="2" s="1"/>
  <c r="DT171" i="2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M39" i="2" s="1"/>
  <c r="DT34" i="2"/>
  <c r="DT149" i="2"/>
  <c r="DT90" i="2"/>
  <c r="DT83" i="2"/>
  <c r="EQ83" i="2" s="1"/>
  <c r="DT87" i="2"/>
  <c r="EV87" i="2" s="1"/>
  <c r="DT129" i="2"/>
  <c r="EQ129" i="2" s="1"/>
  <c r="DT51" i="2"/>
  <c r="EC51" i="2" s="1"/>
  <c r="DT120" i="2"/>
  <c r="EA120" i="2" s="1"/>
  <c r="ET120" i="2" s="1"/>
  <c r="DT195" i="2"/>
  <c r="DT151" i="2"/>
  <c r="ER151" i="2" s="1"/>
  <c r="DT150" i="2"/>
  <c r="DT91" i="2"/>
  <c r="ER91" i="2" s="1"/>
  <c r="DT32" i="2"/>
  <c r="EM32" i="2" s="1"/>
  <c r="DT177" i="2"/>
  <c r="EK177" i="2" s="1"/>
  <c r="DT12" i="2"/>
  <c r="DV12" i="2" s="1"/>
  <c r="DT4" i="2"/>
  <c r="DW4" i="2" s="1"/>
  <c r="DX4" i="2" s="1"/>
  <c r="DT63" i="2"/>
  <c r="DT153" i="2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DT18" i="2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DT99" i="2"/>
  <c r="DT196" i="2"/>
  <c r="DT169" i="2"/>
  <c r="EN169" i="2" s="1"/>
  <c r="DT191" i="2"/>
  <c r="EQ191" i="2" s="1"/>
  <c r="DT179" i="2"/>
  <c r="EH179" i="2" s="1"/>
  <c r="DT103" i="2"/>
  <c r="EN103" i="2" s="1"/>
  <c r="DT81" i="2"/>
  <c r="EE81" i="2" s="1"/>
  <c r="DT65" i="2"/>
  <c r="DT56" i="2"/>
  <c r="ES56" i="2" s="1"/>
  <c r="EU56" i="2" s="1"/>
  <c r="DT133" i="2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DT140" i="2"/>
  <c r="EH140" i="2" s="1"/>
  <c r="DT147" i="2"/>
  <c r="EP147" i="2" s="1"/>
  <c r="DT176" i="2"/>
  <c r="EC176" i="2" s="1"/>
  <c r="DT61" i="2"/>
  <c r="EE61" i="2" s="1"/>
  <c r="DT148" i="2"/>
  <c r="EM148" i="2" s="1"/>
  <c r="DT96" i="2"/>
  <c r="DT178" i="2"/>
  <c r="DT119" i="2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DT123" i="2"/>
  <c r="DT190" i="2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U142" i="2"/>
  <c r="ES183" i="2"/>
  <c r="EU183" i="2" s="1"/>
  <c r="EH183" i="2"/>
  <c r="EI30" i="2"/>
  <c r="EC30" i="2"/>
  <c r="DW35" i="2"/>
  <c r="EK182" i="2"/>
  <c r="EG182" i="2"/>
  <c r="EI182" i="2"/>
  <c r="EH182" i="2"/>
  <c r="EI193" i="2"/>
  <c r="EM129" i="2"/>
  <c r="DU129" i="2"/>
  <c r="ER129" i="2"/>
  <c r="EP169" i="2"/>
  <c r="DZ169" i="2"/>
  <c r="H173" i="9"/>
  <c r="DW155" i="2"/>
  <c r="EG197" i="2"/>
  <c r="EO197" i="2"/>
  <c r="ED197" i="2"/>
  <c r="DV124" i="2"/>
  <c r="DU124" i="2"/>
  <c r="EJ22" i="2"/>
  <c r="EK22" i="2"/>
  <c r="ED22" i="2"/>
  <c r="DU22" i="2"/>
  <c r="ES22" i="2"/>
  <c r="EU22" i="2" s="1"/>
  <c r="EO22" i="2"/>
  <c r="EV174" i="2"/>
  <c r="DU127" i="2"/>
  <c r="EI127" i="2"/>
  <c r="EA127" i="2"/>
  <c r="ET127" i="2" s="1"/>
  <c r="EC184" i="2"/>
  <c r="DV73" i="2"/>
  <c r="EB73" i="2"/>
  <c r="EH73" i="2"/>
  <c r="EM73" i="2"/>
  <c r="DZ25" i="2"/>
  <c r="EE25" i="2"/>
  <c r="DV25" i="2"/>
  <c r="EG141" i="2"/>
  <c r="EG92" i="2"/>
  <c r="DW92" i="2"/>
  <c r="EL92" i="2"/>
  <c r="EJ55" i="2"/>
  <c r="EI55" i="2"/>
  <c r="DZ55" i="2"/>
  <c r="DV55" i="2"/>
  <c r="EM122" i="2"/>
  <c r="ES70" i="2"/>
  <c r="EU70" i="2" s="1"/>
  <c r="EK70" i="2"/>
  <c r="ER164" i="2"/>
  <c r="EC9" i="2"/>
  <c r="DZ186" i="2"/>
  <c r="EB186" i="2"/>
  <c r="EJ186" i="2"/>
  <c r="DV186" i="2"/>
  <c r="EP186" i="2"/>
  <c r="EE60" i="2"/>
  <c r="EV189" i="2"/>
  <c r="EL125" i="2"/>
  <c r="EO125" i="2"/>
  <c r="EF125" i="2"/>
  <c r="DX125" i="2"/>
  <c r="DY125" i="2" s="1"/>
  <c r="ED71" i="2"/>
  <c r="DU71" i="2"/>
  <c r="EO71" i="2"/>
  <c r="DV71" i="2"/>
  <c r="EV121" i="2"/>
  <c r="ED111" i="2"/>
  <c r="EA179" i="2"/>
  <c r="ET179" i="2" s="1"/>
  <c r="EM179" i="2"/>
  <c r="EV179" i="2"/>
  <c r="EQ179" i="2"/>
  <c r="EM82" i="2"/>
  <c r="DW82" i="2"/>
  <c r="EV82" i="2"/>
  <c r="DZ82" i="2"/>
  <c r="ED100" i="2"/>
  <c r="EF18" i="2"/>
  <c r="EG18" i="2"/>
  <c r="EA119" i="2"/>
  <c r="ET119" i="2" s="1"/>
  <c r="EK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ES154" i="2"/>
  <c r="EU154" i="2" s="1"/>
  <c r="EN154" i="2"/>
  <c r="EQ154" i="2"/>
  <c r="EV154" i="2"/>
  <c r="DV154" i="2"/>
  <c r="EG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C132" i="2"/>
  <c r="EN132" i="2"/>
  <c r="EJ132" i="2"/>
  <c r="DZ132" i="2"/>
  <c r="EG67" i="2"/>
  <c r="DW67" i="2"/>
  <c r="EL67" i="2"/>
  <c r="EN67" i="2"/>
  <c r="EF67" i="2"/>
  <c r="EQ67" i="2"/>
  <c r="ED168" i="2"/>
  <c r="EN168" i="2"/>
  <c r="EQ47" i="2"/>
  <c r="EG47" i="2"/>
  <c r="EB74" i="2"/>
  <c r="EE58" i="2"/>
  <c r="EV88" i="2"/>
  <c r="EA88" i="2"/>
  <c r="ET88" i="2" s="1"/>
  <c r="EG88" i="2"/>
  <c r="EJ88" i="2"/>
  <c r="EG45" i="2"/>
  <c r="EA45" i="2"/>
  <c r="ET45" i="2" s="1"/>
  <c r="ED45" i="2"/>
  <c r="EM45" i="2"/>
  <c r="DZ45" i="2"/>
  <c r="EP45" i="2"/>
  <c r="ED171" i="2"/>
  <c r="DX171" i="2"/>
  <c r="DY171" i="2" s="1"/>
  <c r="EH91" i="2"/>
  <c r="EM181" i="2"/>
  <c r="EC68" i="2"/>
  <c r="EE68" i="2"/>
  <c r="EK68" i="2"/>
  <c r="DZ190" i="2"/>
  <c r="EB190" i="2"/>
  <c r="EK117" i="2"/>
  <c r="EI117" i="2"/>
  <c r="EQ167" i="2"/>
  <c r="EG84" i="2"/>
  <c r="EB84" i="2"/>
  <c r="EO84" i="2"/>
  <c r="EV84" i="2"/>
  <c r="EF84" i="2"/>
  <c r="DU84" i="2"/>
  <c r="DZ84" i="2"/>
  <c r="EH84" i="2"/>
  <c r="EM89" i="2"/>
  <c r="EJ89" i="2"/>
  <c r="DZ89" i="2"/>
  <c r="EB89" i="2"/>
  <c r="ER89" i="2"/>
  <c r="ES89" i="2"/>
  <c r="EU89" i="2" s="1"/>
  <c r="EG89" i="2"/>
  <c r="ED163" i="2"/>
  <c r="EJ112" i="2"/>
  <c r="EO112" i="2"/>
  <c r="EA112" i="2"/>
  <c r="ET112" i="2" s="1"/>
  <c r="DU112" i="2"/>
  <c r="ED112" i="2"/>
  <c r="EP112" i="2"/>
  <c r="EO76" i="2"/>
  <c r="EE76" i="2"/>
  <c r="EP76" i="2"/>
  <c r="ES38" i="2"/>
  <c r="EU38" i="2" s="1"/>
  <c r="EC39" i="2"/>
  <c r="EV39" i="2"/>
  <c r="EL39" i="2"/>
  <c r="EK39" i="2"/>
  <c r="EI39" i="2"/>
  <c r="EO39" i="2"/>
  <c r="EQ39" i="2"/>
  <c r="EN39" i="2"/>
  <c r="ES90" i="2"/>
  <c r="EU90" i="2" s="1"/>
  <c r="EJ90" i="2"/>
  <c r="EA83" i="2"/>
  <c r="ET83" i="2" s="1"/>
  <c r="DU15" i="2"/>
  <c r="EP15" i="2"/>
  <c r="EL15" i="2"/>
  <c r="EM126" i="2"/>
  <c r="EB126" i="2"/>
  <c r="EL143" i="2"/>
  <c r="DZ143" i="2"/>
  <c r="EJ29" i="2"/>
  <c r="DX29" i="2"/>
  <c r="DY29" i="2" s="1"/>
  <c r="DV29" i="2"/>
  <c r="EV29" i="2"/>
  <c r="EL29" i="2"/>
  <c r="ES29" i="2"/>
  <c r="EU29" i="2" s="1"/>
  <c r="EQ13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DX48" i="2"/>
  <c r="DY48" i="2" s="1"/>
  <c r="EK48" i="2"/>
  <c r="EE43" i="2"/>
  <c r="ES72" i="2"/>
  <c r="EU72" i="2" s="1"/>
  <c r="EO72" i="2"/>
  <c r="DW72" i="2"/>
  <c r="EI72" i="2"/>
  <c r="EM72" i="2"/>
  <c r="EA72" i="2"/>
  <c r="ET72" i="2" s="1"/>
  <c r="EK72" i="2"/>
  <c r="EP72" i="2"/>
  <c r="DV59" i="2"/>
  <c r="EL59" i="2"/>
  <c r="DX152" i="2"/>
  <c r="DY152" i="2" s="1"/>
  <c r="EF152" i="2"/>
  <c r="EJ152" i="2"/>
  <c r="EE152" i="2"/>
  <c r="EH152" i="2"/>
  <c r="DZ152" i="2"/>
  <c r="EV152" i="2"/>
  <c r="DX116" i="2"/>
  <c r="DY116" i="2" s="1"/>
  <c r="ES116" i="2"/>
  <c r="EU116" i="2" s="1"/>
  <c r="DZ98" i="2"/>
  <c r="EP98" i="2"/>
  <c r="EB98" i="2"/>
  <c r="DU98" i="2"/>
  <c r="EJ98" i="2"/>
  <c r="EI98" i="2"/>
  <c r="DV98" i="2"/>
  <c r="DW98" i="2"/>
  <c r="DZ145" i="2"/>
  <c r="EB145" i="2"/>
  <c r="EN145" i="2"/>
  <c r="DW145" i="2"/>
  <c r="EV194" i="2"/>
  <c r="EK66" i="2"/>
  <c r="EE66" i="2"/>
  <c r="EF66" i="2"/>
  <c r="DU66" i="2"/>
  <c r="EG66" i="2"/>
  <c r="EB66" i="2"/>
  <c r="ED105" i="2"/>
  <c r="EH105" i="2"/>
  <c r="EI105" i="2"/>
  <c r="EB105" i="2"/>
  <c r="EG105" i="2"/>
  <c r="EK105" i="2"/>
  <c r="EP87" i="2"/>
  <c r="EC65" i="2"/>
  <c r="EF65" i="2"/>
  <c r="EN65" i="2"/>
  <c r="EA196" i="2"/>
  <c r="ET196" i="2" s="1"/>
  <c r="EV196" i="2"/>
  <c r="EA133" i="2"/>
  <c r="ET133" i="2" s="1"/>
  <c r="EE133" i="2"/>
  <c r="EL101" i="2"/>
  <c r="EC101" i="2"/>
  <c r="DU177" i="2"/>
  <c r="DW177" i="2"/>
  <c r="EJ177" i="2"/>
  <c r="DZ54" i="2"/>
  <c r="EM75" i="2"/>
  <c r="EJ75" i="2"/>
  <c r="ED75" i="2"/>
  <c r="EV80" i="2"/>
  <c r="EL80" i="2"/>
  <c r="DU80" i="2"/>
  <c r="EF80" i="2"/>
  <c r="EO80" i="2"/>
  <c r="ER80" i="2"/>
  <c r="DV80" i="2"/>
  <c r="EC80" i="2"/>
  <c r="EA80" i="2"/>
  <c r="ET80" i="2" s="1"/>
  <c r="EI80" i="2"/>
  <c r="EL23" i="2"/>
  <c r="DW23" i="2"/>
  <c r="EO23" i="2"/>
  <c r="EJ23" i="2"/>
  <c r="EF23" i="2"/>
  <c r="EC23" i="2"/>
  <c r="ED23" i="2"/>
  <c r="DV23" i="2"/>
  <c r="EF93" i="2"/>
  <c r="ER50" i="2"/>
  <c r="EQ50" i="2"/>
  <c r="ED50" i="2"/>
  <c r="EE50" i="2"/>
  <c r="EE200" i="2"/>
  <c r="EO200" i="2"/>
  <c r="DU200" i="2"/>
  <c r="EJ200" i="2"/>
  <c r="ES200" i="2"/>
  <c r="EU200" i="2" s="1"/>
  <c r="EC200" i="2"/>
  <c r="EG200" i="2"/>
  <c r="DV200" i="2"/>
  <c r="EF188" i="2"/>
  <c r="EM16" i="2"/>
  <c r="EC16" i="2"/>
  <c r="DW36" i="2"/>
  <c r="EG36" i="2"/>
  <c r="EJ120" i="2"/>
  <c r="EM120" i="2"/>
  <c r="EV120" i="2"/>
  <c r="DU120" i="2"/>
  <c r="EB120" i="2"/>
  <c r="EN120" i="2"/>
  <c r="EE120" i="2"/>
  <c r="EK120" i="2"/>
  <c r="EI120" i="2"/>
  <c r="DW195" i="2"/>
  <c r="EE195" i="2"/>
  <c r="ES195" i="2"/>
  <c r="EU195" i="2" s="1"/>
  <c r="EH63" i="2"/>
  <c r="EP63" i="2"/>
  <c r="EV153" i="2"/>
  <c r="DU146" i="2"/>
  <c r="ES146" i="2"/>
  <c r="EU146" i="2" s="1"/>
  <c r="EI146" i="2"/>
  <c r="ED19" i="2"/>
  <c r="EF19" i="2"/>
  <c r="EN32" i="2"/>
  <c r="EM128" i="2"/>
  <c r="ER172" i="2"/>
  <c r="EC37" i="2"/>
  <c r="ES37" i="2"/>
  <c r="EU37" i="2" s="1"/>
  <c r="EP21" i="2"/>
  <c r="EC107" i="2"/>
  <c r="DZ107" i="2"/>
  <c r="EK107" i="2"/>
  <c r="DX107" i="2"/>
  <c r="DY107" i="2" s="1"/>
  <c r="ED107" i="2"/>
  <c r="EF107" i="2"/>
  <c r="EE107" i="2"/>
  <c r="DZ162" i="2"/>
  <c r="DV162" i="2"/>
  <c r="EK162" i="2"/>
  <c r="EE162" i="2"/>
  <c r="DU162" i="2"/>
  <c r="EJ162" i="2"/>
  <c r="ER162" i="2"/>
  <c r="EL162" i="2"/>
  <c r="ES162" i="2"/>
  <c r="EU162" i="2" s="1"/>
  <c r="EG162" i="2"/>
  <c r="EN162" i="2"/>
  <c r="EA162" i="2"/>
  <c r="ET162" i="2" s="1"/>
  <c r="EI162" i="2"/>
  <c r="DV173" i="2"/>
  <c r="ES173" i="2"/>
  <c r="EU173" i="2" s="1"/>
  <c r="EP173" i="2"/>
  <c r="EE137" i="2"/>
  <c r="EM137" i="2"/>
  <c r="EV192" i="2"/>
  <c r="EL192" i="2"/>
  <c r="DZ192" i="2"/>
  <c r="EJ104" i="2"/>
  <c r="EQ104" i="2"/>
  <c r="EE104" i="2"/>
  <c r="ES52" i="2"/>
  <c r="EU52" i="2" s="1"/>
  <c r="DU52" i="2"/>
  <c r="EV52" i="2"/>
  <c r="EL52" i="2"/>
  <c r="EQ52" i="2"/>
  <c r="EE52" i="2"/>
  <c r="EG52" i="2"/>
  <c r="EP52" i="2"/>
  <c r="ED52" i="2"/>
  <c r="EO52" i="2"/>
  <c r="EI52" i="2"/>
  <c r="EA52" i="2"/>
  <c r="ET52" i="2" s="1"/>
  <c r="ES27" i="2"/>
  <c r="EU27" i="2" s="1"/>
  <c r="DU27" i="2"/>
  <c r="EH27" i="2"/>
  <c r="EC27" i="2"/>
  <c r="EM46" i="2"/>
  <c r="EQ46" i="2"/>
  <c r="ES46" i="2"/>
  <c r="EU46" i="2" s="1"/>
  <c r="EK46" i="2"/>
  <c r="EE57" i="2"/>
  <c r="EM57" i="2"/>
  <c r="DX113" i="2"/>
  <c r="DY113" i="2" s="1"/>
  <c r="EV187" i="2"/>
  <c r="EA187" i="2"/>
  <c r="ET187" i="2" s="1"/>
  <c r="DW187" i="2"/>
  <c r="DZ187" i="2"/>
  <c r="EC33" i="2"/>
  <c r="EE33" i="2"/>
  <c r="EJ114" i="2"/>
  <c r="EV114" i="2"/>
  <c r="EI170" i="2"/>
  <c r="EC170" i="2"/>
  <c r="ES170" i="2"/>
  <c r="EU170" i="2" s="1"/>
  <c r="EP56" i="2"/>
  <c r="EN156" i="2"/>
  <c r="EQ140" i="2"/>
  <c r="EG118" i="2"/>
  <c r="EH118" i="2"/>
  <c r="DZ118" i="2"/>
  <c r="EF102" i="2"/>
  <c r="ED102" i="2"/>
  <c r="EC102" i="2"/>
  <c r="DX102" i="2"/>
  <c r="DY102" i="2" s="1"/>
  <c r="EH176" i="2"/>
  <c r="EK176" i="2"/>
  <c r="EL176" i="2"/>
  <c r="EF176" i="2"/>
  <c r="DT10" i="2"/>
  <c r="DX10" i="2" s="1"/>
  <c r="DY10" i="2" s="1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N190" i="2" l="1"/>
  <c r="EO190" i="2"/>
  <c r="EF190" i="2"/>
  <c r="EJ190" i="2"/>
  <c r="EQ190" i="2"/>
  <c r="EL119" i="2"/>
  <c r="DW119" i="2"/>
  <c r="EM119" i="2"/>
  <c r="EB119" i="2"/>
  <c r="DX119" i="2"/>
  <c r="DY119" i="2" s="1"/>
  <c r="EI119" i="2"/>
  <c r="EE37" i="2"/>
  <c r="DU37" i="2"/>
  <c r="EH37" i="2"/>
  <c r="EK37" i="2"/>
  <c r="DZ37" i="2"/>
  <c r="EV133" i="2"/>
  <c r="EJ133" i="2"/>
  <c r="DV133" i="2"/>
  <c r="EB133" i="2"/>
  <c r="DU133" i="2"/>
  <c r="EC196" i="2"/>
  <c r="EQ196" i="2"/>
  <c r="EO196" i="2"/>
  <c r="EH18" i="2"/>
  <c r="EI18" i="2"/>
  <c r="ED18" i="2"/>
  <c r="EA18" i="2"/>
  <c r="ET18" i="2" s="1"/>
  <c r="DZ18" i="2"/>
  <c r="EE18" i="2"/>
  <c r="DX18" i="2"/>
  <c r="DY18" i="2" s="1"/>
  <c r="ED150" i="2"/>
  <c r="EL150" i="2"/>
  <c r="EC150" i="2"/>
  <c r="EN150" i="2"/>
  <c r="EA90" i="2"/>
  <c r="ET90" i="2" s="1"/>
  <c r="EI90" i="2"/>
  <c r="EG90" i="2"/>
  <c r="DX90" i="2"/>
  <c r="DY90" i="2" s="1"/>
  <c r="EQ90" i="2"/>
  <c r="DU47" i="2"/>
  <c r="ES47" i="2"/>
  <c r="EU47" i="2" s="1"/>
  <c r="DX47" i="2"/>
  <c r="DY47" i="2" s="1"/>
  <c r="EK47" i="2"/>
  <c r="DW47" i="2"/>
  <c r="EL47" i="2"/>
  <c r="DZ47" i="2"/>
  <c r="EO121" i="2"/>
  <c r="EF121" i="2"/>
  <c r="ER121" i="2"/>
  <c r="DU121" i="2"/>
  <c r="EM121" i="2"/>
  <c r="EK121" i="2"/>
  <c r="EG121" i="2"/>
  <c r="DV121" i="2"/>
  <c r="EK146" i="2"/>
  <c r="EG146" i="2"/>
  <c r="EH146" i="2"/>
  <c r="EM19" i="2"/>
  <c r="EN19" i="2"/>
  <c r="EV19" i="2"/>
  <c r="DZ19" i="2"/>
  <c r="EO19" i="2"/>
  <c r="DV142" i="2"/>
  <c r="EL142" i="2"/>
  <c r="EK142" i="2"/>
  <c r="EH142" i="2"/>
  <c r="DZ142" i="2"/>
  <c r="DW124" i="2"/>
  <c r="EO124" i="2"/>
  <c r="EL124" i="2"/>
  <c r="DX124" i="2"/>
  <c r="DY124" i="2" s="1"/>
  <c r="EQ124" i="2"/>
  <c r="EK124" i="2"/>
  <c r="EA124" i="2"/>
  <c r="ET124" i="2" s="1"/>
  <c r="DU16" i="2"/>
  <c r="EV16" i="2"/>
  <c r="EI16" i="2"/>
  <c r="DU43" i="2"/>
  <c r="ES43" i="2"/>
  <c r="EU43" i="2" s="1"/>
  <c r="EV43" i="2"/>
  <c r="DV43" i="2"/>
  <c r="EN43" i="2"/>
  <c r="EC43" i="2"/>
  <c r="DZ43" i="2"/>
  <c r="EJ43" i="2"/>
  <c r="DX9" i="2"/>
  <c r="DY9" i="2" s="1"/>
  <c r="EH9" i="2"/>
  <c r="EB9" i="2"/>
  <c r="EN9" i="2"/>
  <c r="EO9" i="2"/>
  <c r="ED9" i="2"/>
  <c r="EV9" i="2"/>
  <c r="EI9" i="2"/>
  <c r="DZ9" i="2"/>
  <c r="ER9" i="2"/>
  <c r="EA35" i="2"/>
  <c r="ET35" i="2" s="1"/>
  <c r="ES35" i="2"/>
  <c r="EU35" i="2" s="1"/>
  <c r="EJ35" i="2"/>
  <c r="DU35" i="2"/>
  <c r="EG35" i="2"/>
  <c r="EA50" i="2"/>
  <c r="ET50" i="2" s="1"/>
  <c r="EG50" i="2"/>
  <c r="EF50" i="2"/>
  <c r="EL48" i="2"/>
  <c r="EE48" i="2"/>
  <c r="DU48" i="2"/>
  <c r="ER48" i="2"/>
  <c r="EG48" i="2"/>
  <c r="EE170" i="2"/>
  <c r="DZ170" i="2"/>
  <c r="EH33" i="2"/>
  <c r="EQ27" i="2"/>
  <c r="ER27" i="2"/>
  <c r="EC137" i="2"/>
  <c r="EF37" i="2"/>
  <c r="DW19" i="2"/>
  <c r="EA146" i="2"/>
  <c r="ET146" i="2" s="1"/>
  <c r="EF146" i="2"/>
  <c r="ED16" i="2"/>
  <c r="EJ50" i="2"/>
  <c r="EO50" i="2"/>
  <c r="EN133" i="2"/>
  <c r="DW196" i="2"/>
  <c r="EF43" i="2"/>
  <c r="EB48" i="2"/>
  <c r="EH90" i="2"/>
  <c r="EG190" i="2"/>
  <c r="EE47" i="2"/>
  <c r="DU119" i="2"/>
  <c r="DV18" i="2"/>
  <c r="EH124" i="2"/>
  <c r="EF35" i="2"/>
  <c r="ER123" i="2"/>
  <c r="EP123" i="2"/>
  <c r="EB123" i="2"/>
  <c r="ES95" i="2"/>
  <c r="EU95" i="2" s="1"/>
  <c r="EB95" i="2"/>
  <c r="EM153" i="2"/>
  <c r="ES153" i="2"/>
  <c r="EU153" i="2" s="1"/>
  <c r="EH149" i="2"/>
  <c r="DZ149" i="2"/>
  <c r="EE149" i="2"/>
  <c r="EN28" i="2"/>
  <c r="EP28" i="2"/>
  <c r="EF194" i="2"/>
  <c r="EL194" i="2"/>
  <c r="ED53" i="2"/>
  <c r="EV53" i="2"/>
  <c r="EL93" i="2"/>
  <c r="DU93" i="2"/>
  <c r="EV93" i="2"/>
  <c r="EQ135" i="2"/>
  <c r="EO135" i="2"/>
  <c r="ES174" i="2"/>
  <c r="EU174" i="2" s="1"/>
  <c r="EC174" i="2"/>
  <c r="DV174" i="2"/>
  <c r="DZ174" i="2"/>
  <c r="EJ164" i="2"/>
  <c r="EA164" i="2"/>
  <c r="ET164" i="2" s="1"/>
  <c r="EG183" i="2"/>
  <c r="EE183" i="2"/>
  <c r="EM183" i="2"/>
  <c r="DX36" i="2"/>
  <c r="DY36" i="2" s="1"/>
  <c r="EM36" i="2"/>
  <c r="DZ36" i="2"/>
  <c r="EP68" i="2"/>
  <c r="DU68" i="2"/>
  <c r="EJ68" i="2"/>
  <c r="EO96" i="2"/>
  <c r="EB96" i="2"/>
  <c r="EV96" i="2"/>
  <c r="EQ96" i="2"/>
  <c r="EA65" i="2"/>
  <c r="ET65" i="2" s="1"/>
  <c r="EE65" i="2"/>
  <c r="EK65" i="2"/>
  <c r="EV100" i="2"/>
  <c r="EQ100" i="2"/>
  <c r="EK100" i="2"/>
  <c r="EH100" i="2"/>
  <c r="ES100" i="2"/>
  <c r="EU100" i="2" s="1"/>
  <c r="EI63" i="2"/>
  <c r="DV63" i="2"/>
  <c r="ED195" i="2"/>
  <c r="DV195" i="2"/>
  <c r="EB195" i="2"/>
  <c r="EV34" i="2"/>
  <c r="DZ34" i="2"/>
  <c r="ES34" i="2"/>
  <c r="EU34" i="2" s="1"/>
  <c r="EO171" i="2"/>
  <c r="EQ171" i="2"/>
  <c r="EK171" i="2"/>
  <c r="EC171" i="2"/>
  <c r="DV168" i="2"/>
  <c r="EB168" i="2"/>
  <c r="DU168" i="2"/>
  <c r="EG98" i="2"/>
  <c r="EC98" i="2"/>
  <c r="EF98" i="2"/>
  <c r="EK98" i="2"/>
  <c r="EO98" i="2"/>
  <c r="ER98" i="2"/>
  <c r="DX98" i="2"/>
  <c r="DY98" i="2" s="1"/>
  <c r="ED98" i="2"/>
  <c r="EV98" i="2"/>
  <c r="EE98" i="2"/>
  <c r="EB55" i="2"/>
  <c r="EA55" i="2"/>
  <c r="ET55" i="2" s="1"/>
  <c r="EO55" i="2"/>
  <c r="ES55" i="2"/>
  <c r="EU55" i="2" s="1"/>
  <c r="ED55" i="2"/>
  <c r="EH55" i="2"/>
  <c r="EP55" i="2"/>
  <c r="EF55" i="2"/>
  <c r="DU55" i="2"/>
  <c r="EL55" i="2"/>
  <c r="EE55" i="2"/>
  <c r="DX55" i="2"/>
  <c r="DY55" i="2" s="1"/>
  <c r="EV55" i="2"/>
  <c r="EK55" i="2"/>
  <c r="EQ55" i="2"/>
  <c r="ER55" i="2"/>
  <c r="EG55" i="2"/>
  <c r="EP182" i="2"/>
  <c r="EL182" i="2"/>
  <c r="EB182" i="2"/>
  <c r="EV182" i="2"/>
  <c r="EM182" i="2"/>
  <c r="EC182" i="2"/>
  <c r="DX182" i="2"/>
  <c r="DY182" i="2" s="1"/>
  <c r="EO182" i="2"/>
  <c r="ES182" i="2"/>
  <c r="EU182" i="2" s="1"/>
  <c r="DU182" i="2"/>
  <c r="EN182" i="2"/>
  <c r="DU23" i="2"/>
  <c r="DX23" i="2"/>
  <c r="DY23" i="2" s="1"/>
  <c r="ES23" i="2"/>
  <c r="EU23" i="2" s="1"/>
  <c r="EK23" i="2"/>
  <c r="EB23" i="2"/>
  <c r="EI23" i="2"/>
  <c r="EQ89" i="2"/>
  <c r="EN89" i="2"/>
  <c r="DU89" i="2"/>
  <c r="DV89" i="2"/>
  <c r="DW89" i="2"/>
  <c r="ED89" i="2"/>
  <c r="EH89" i="2"/>
  <c r="EE89" i="2"/>
  <c r="EK89" i="2"/>
  <c r="EF89" i="2"/>
  <c r="ED200" i="2"/>
  <c r="EK200" i="2"/>
  <c r="EQ200" i="2"/>
  <c r="DZ200" i="2"/>
  <c r="EN200" i="2"/>
  <c r="EH200" i="2"/>
  <c r="EL200" i="2"/>
  <c r="DU67" i="2"/>
  <c r="EE67" i="2"/>
  <c r="EP67" i="2"/>
  <c r="ER67" i="2"/>
  <c r="ES67" i="2"/>
  <c r="EU67" i="2" s="1"/>
  <c r="EO67" i="2"/>
  <c r="EK67" i="2"/>
  <c r="EC67" i="2"/>
  <c r="DV67" i="2"/>
  <c r="ED67" i="2"/>
  <c r="EJ67" i="2"/>
  <c r="EA67" i="2"/>
  <c r="ET67" i="2" s="1"/>
  <c r="DW84" i="2"/>
  <c r="EE84" i="2"/>
  <c r="EC84" i="2"/>
  <c r="EP84" i="2"/>
  <c r="EM84" i="2"/>
  <c r="ES84" i="2"/>
  <c r="EU84" i="2" s="1"/>
  <c r="EN84" i="2"/>
  <c r="ED84" i="2"/>
  <c r="DV84" i="2"/>
  <c r="EK84" i="2"/>
  <c r="EL84" i="2"/>
  <c r="EA84" i="2"/>
  <c r="ET84" i="2" s="1"/>
  <c r="DX84" i="2"/>
  <c r="DY84" i="2" s="1"/>
  <c r="DU73" i="2"/>
  <c r="EE73" i="2"/>
  <c r="EO73" i="2"/>
  <c r="EI73" i="2"/>
  <c r="EV73" i="2"/>
  <c r="ES73" i="2"/>
  <c r="EU73" i="2" s="1"/>
  <c r="EN73" i="2"/>
  <c r="EA73" i="2"/>
  <c r="ET73" i="2" s="1"/>
  <c r="EQ73" i="2"/>
  <c r="EG73" i="2"/>
  <c r="EL165" i="2"/>
  <c r="EA165" i="2"/>
  <c r="ET165" i="2" s="1"/>
  <c r="DW165" i="2"/>
  <c r="EV165" i="2"/>
  <c r="DV165" i="2"/>
  <c r="ED72" i="2"/>
  <c r="EF72" i="2"/>
  <c r="DX72" i="2"/>
  <c r="DY72" i="2" s="1"/>
  <c r="EB72" i="2"/>
  <c r="EQ72" i="2"/>
  <c r="EE72" i="2"/>
  <c r="EH72" i="2"/>
  <c r="DV72" i="2"/>
  <c r="DZ72" i="2"/>
  <c r="EV72" i="2"/>
  <c r="EH30" i="2"/>
  <c r="EN30" i="2"/>
  <c r="EG30" i="2"/>
  <c r="EJ30" i="2"/>
  <c r="ES30" i="2"/>
  <c r="EU30" i="2" s="1"/>
  <c r="EO30" i="2"/>
  <c r="EQ30" i="2"/>
  <c r="EV30" i="2"/>
  <c r="DV30" i="2"/>
  <c r="ER30" i="2"/>
  <c r="DX30" i="2"/>
  <c r="DY30" i="2" s="1"/>
  <c r="EP30" i="2"/>
  <c r="EJ170" i="2"/>
  <c r="DW33" i="2"/>
  <c r="EP27" i="2"/>
  <c r="EO27" i="2"/>
  <c r="DV137" i="2"/>
  <c r="EA137" i="2"/>
  <c r="ET137" i="2" s="1"/>
  <c r="EI37" i="2"/>
  <c r="EG19" i="2"/>
  <c r="EL146" i="2"/>
  <c r="ER16" i="2"/>
  <c r="ES16" i="2"/>
  <c r="EU16" i="2" s="1"/>
  <c r="DW50" i="2"/>
  <c r="EM133" i="2"/>
  <c r="EO133" i="2"/>
  <c r="DZ196" i="2"/>
  <c r="EP48" i="2"/>
  <c r="EO90" i="2"/>
  <c r="EK190" i="2"/>
  <c r="EO47" i="2"/>
  <c r="EH119" i="2"/>
  <c r="ER18" i="2"/>
  <c r="EA121" i="2"/>
  <c r="ET121" i="2" s="1"/>
  <c r="EV150" i="2"/>
  <c r="ED124" i="2"/>
  <c r="EA142" i="2"/>
  <c r="ET142" i="2" s="1"/>
  <c r="EO102" i="2"/>
  <c r="ED56" i="2"/>
  <c r="DU170" i="2"/>
  <c r="EK33" i="2"/>
  <c r="ER33" i="2"/>
  <c r="EI187" i="2"/>
  <c r="ED27" i="2"/>
  <c r="EB52" i="2"/>
  <c r="EN52" i="2"/>
  <c r="EF52" i="2"/>
  <c r="DV52" i="2"/>
  <c r="EQ137" i="2"/>
  <c r="EJ137" i="2"/>
  <c r="EO162" i="2"/>
  <c r="EH162" i="2"/>
  <c r="EV162" i="2"/>
  <c r="EV37" i="2"/>
  <c r="EJ19" i="2"/>
  <c r="EP146" i="2"/>
  <c r="EM63" i="2"/>
  <c r="EO195" i="2"/>
  <c r="ED120" i="2"/>
  <c r="EG120" i="2"/>
  <c r="EF16" i="2"/>
  <c r="EL16" i="2"/>
  <c r="ER200" i="2"/>
  <c r="EI200" i="2"/>
  <c r="EM50" i="2"/>
  <c r="EG23" i="2"/>
  <c r="EE23" i="2"/>
  <c r="EP23" i="2"/>
  <c r="DX80" i="2"/>
  <c r="DY80" i="2" s="1"/>
  <c r="EJ80" i="2"/>
  <c r="EL133" i="2"/>
  <c r="EL196" i="2"/>
  <c r="EH196" i="2"/>
  <c r="DZ105" i="2"/>
  <c r="DX105" i="2"/>
  <c r="DY105" i="2" s="1"/>
  <c r="ES98" i="2"/>
  <c r="EU98" i="2" s="1"/>
  <c r="DV152" i="2"/>
  <c r="EL72" i="2"/>
  <c r="EP43" i="2"/>
  <c r="EN48" i="2"/>
  <c r="EK29" i="2"/>
  <c r="DZ90" i="2"/>
  <c r="EB34" i="2"/>
  <c r="ES39" i="2"/>
  <c r="EU39" i="2" s="1"/>
  <c r="EF39" i="2"/>
  <c r="EN112" i="2"/>
  <c r="EH112" i="2"/>
  <c r="EA89" i="2"/>
  <c r="ET89" i="2" s="1"/>
  <c r="EC89" i="2"/>
  <c r="ER84" i="2"/>
  <c r="EE190" i="2"/>
  <c r="EI45" i="2"/>
  <c r="EL45" i="2"/>
  <c r="EC47" i="2"/>
  <c r="DX67" i="2"/>
  <c r="DY67" i="2" s="1"/>
  <c r="EH67" i="2"/>
  <c r="DW132" i="2"/>
  <c r="ED154" i="2"/>
  <c r="EF96" i="2"/>
  <c r="DW18" i="2"/>
  <c r="EB121" i="2"/>
  <c r="EK125" i="2"/>
  <c r="EC125" i="2"/>
  <c r="DW55" i="2"/>
  <c r="EF150" i="2"/>
  <c r="EG25" i="2"/>
  <c r="EF124" i="2"/>
  <c r="EA182" i="2"/>
  <c r="ET182" i="2" s="1"/>
  <c r="EE30" i="2"/>
  <c r="EQ142" i="2"/>
  <c r="EA102" i="2"/>
  <c r="ET102" i="2" s="1"/>
  <c r="EQ170" i="2"/>
  <c r="EL170" i="2"/>
  <c r="ES33" i="2"/>
  <c r="EU33" i="2" s="1"/>
  <c r="EA33" i="2"/>
  <c r="ET33" i="2" s="1"/>
  <c r="EG187" i="2"/>
  <c r="EL27" i="2"/>
  <c r="EM52" i="2"/>
  <c r="EK52" i="2"/>
  <c r="EC52" i="2"/>
  <c r="EL137" i="2"/>
  <c r="EV137" i="2"/>
  <c r="EM162" i="2"/>
  <c r="EC162" i="2"/>
  <c r="DX162" i="2"/>
  <c r="DY162" i="2" s="1"/>
  <c r="DV37" i="2"/>
  <c r="EH19" i="2"/>
  <c r="EQ146" i="2"/>
  <c r="EB63" i="2"/>
  <c r="EA195" i="2"/>
  <c r="ET195" i="2" s="1"/>
  <c r="EQ120" i="2"/>
  <c r="EJ16" i="2"/>
  <c r="DW200" i="2"/>
  <c r="EB200" i="2"/>
  <c r="DV50" i="2"/>
  <c r="EQ23" i="2"/>
  <c r="ER23" i="2"/>
  <c r="EV23" i="2"/>
  <c r="EN80" i="2"/>
  <c r="EK133" i="2"/>
  <c r="EF196" i="2"/>
  <c r="EI196" i="2"/>
  <c r="EQ105" i="2"/>
  <c r="EA98" i="2"/>
  <c r="ET98" i="2" s="1"/>
  <c r="EL98" i="2"/>
  <c r="EJ72" i="2"/>
  <c r="EN72" i="2"/>
  <c r="DX43" i="2"/>
  <c r="DY43" i="2" s="1"/>
  <c r="EH48" i="2"/>
  <c r="DZ29" i="2"/>
  <c r="DV90" i="2"/>
  <c r="EH34" i="2"/>
  <c r="DW39" i="2"/>
  <c r="EL112" i="2"/>
  <c r="EL89" i="2"/>
  <c r="EI89" i="2"/>
  <c r="EQ84" i="2"/>
  <c r="ES190" i="2"/>
  <c r="EU190" i="2" s="1"/>
  <c r="DU53" i="2"/>
  <c r="DX45" i="2"/>
  <c r="DY45" i="2" s="1"/>
  <c r="DZ168" i="2"/>
  <c r="DZ67" i="2"/>
  <c r="EB67" i="2"/>
  <c r="EP154" i="2"/>
  <c r="DV119" i="2"/>
  <c r="EC96" i="2"/>
  <c r="EC18" i="2"/>
  <c r="EP121" i="2"/>
  <c r="DV125" i="2"/>
  <c r="EG9" i="2"/>
  <c r="EM55" i="2"/>
  <c r="EP150" i="2"/>
  <c r="DV182" i="2"/>
  <c r="EB30" i="2"/>
  <c r="ED142" i="2"/>
  <c r="EC120" i="2"/>
  <c r="DV120" i="2"/>
  <c r="ES120" i="2"/>
  <c r="EU120" i="2" s="1"/>
  <c r="EF120" i="2"/>
  <c r="EL120" i="2"/>
  <c r="DZ120" i="2"/>
  <c r="EE39" i="2"/>
  <c r="DU39" i="2"/>
  <c r="DZ39" i="2"/>
  <c r="DX39" i="2"/>
  <c r="DY39" i="2" s="1"/>
  <c r="ED39" i="2"/>
  <c r="EB39" i="2"/>
  <c r="EP39" i="2"/>
  <c r="EA39" i="2"/>
  <c r="ET39" i="2" s="1"/>
  <c r="ER39" i="2"/>
  <c r="EH39" i="2"/>
  <c r="EG39" i="2"/>
  <c r="EQ45" i="2"/>
  <c r="DW45" i="2"/>
  <c r="EF45" i="2"/>
  <c r="EK45" i="2"/>
  <c r="EJ45" i="2"/>
  <c r="ER45" i="2"/>
  <c r="EN45" i="2"/>
  <c r="ES45" i="2"/>
  <c r="EU45" i="2" s="1"/>
  <c r="EV45" i="2"/>
  <c r="EE45" i="2"/>
  <c r="DU45" i="2"/>
  <c r="ER29" i="2"/>
  <c r="EA29" i="2"/>
  <c r="ET29" i="2" s="1"/>
  <c r="EB29" i="2"/>
  <c r="EP29" i="2"/>
  <c r="DU29" i="2"/>
  <c r="EQ29" i="2"/>
  <c r="EF29" i="2"/>
  <c r="DW29" i="2"/>
  <c r="EO29" i="2"/>
  <c r="EG29" i="2"/>
  <c r="ED29" i="2"/>
  <c r="EM29" i="2"/>
  <c r="EM125" i="2"/>
  <c r="DZ125" i="2"/>
  <c r="EJ125" i="2"/>
  <c r="EH125" i="2"/>
  <c r="DU125" i="2"/>
  <c r="ER125" i="2"/>
  <c r="EB125" i="2"/>
  <c r="EQ125" i="2"/>
  <c r="EP125" i="2"/>
  <c r="EV125" i="2"/>
  <c r="ES125" i="2"/>
  <c r="EU125" i="2" s="1"/>
  <c r="DW125" i="2"/>
  <c r="EN125" i="2"/>
  <c r="EA125" i="2"/>
  <c r="ET125" i="2" s="1"/>
  <c r="EI125" i="2"/>
  <c r="EB92" i="2"/>
  <c r="EA92" i="2"/>
  <c r="ET92" i="2" s="1"/>
  <c r="EJ92" i="2"/>
  <c r="EI92" i="2"/>
  <c r="EO92" i="2"/>
  <c r="EP92" i="2"/>
  <c r="DV92" i="2"/>
  <c r="EE92" i="2"/>
  <c r="EN105" i="2"/>
  <c r="DW105" i="2"/>
  <c r="EP105" i="2"/>
  <c r="ER105" i="2"/>
  <c r="EM105" i="2"/>
  <c r="EF105" i="2"/>
  <c r="DU105" i="2"/>
  <c r="EO105" i="2"/>
  <c r="DV105" i="2"/>
  <c r="EV105" i="2"/>
  <c r="EJ105" i="2"/>
  <c r="EP80" i="2"/>
  <c r="ED80" i="2"/>
  <c r="EQ80" i="2"/>
  <c r="EK80" i="2"/>
  <c r="DW80" i="2"/>
  <c r="DZ80" i="2"/>
  <c r="EM141" i="2"/>
  <c r="EH141" i="2"/>
  <c r="EO141" i="2"/>
  <c r="EP141" i="2"/>
  <c r="ER141" i="2"/>
  <c r="EF141" i="2"/>
  <c r="DW141" i="2"/>
  <c r="DV141" i="2"/>
  <c r="DV112" i="2"/>
  <c r="EI112" i="2"/>
  <c r="EG112" i="2"/>
  <c r="EF112" i="2"/>
  <c r="EQ112" i="2"/>
  <c r="EK112" i="2"/>
  <c r="EE112" i="2"/>
  <c r="ER112" i="2"/>
  <c r="DZ112" i="2"/>
  <c r="ES112" i="2"/>
  <c r="EU112" i="2" s="1"/>
  <c r="DW112" i="2"/>
  <c r="EK25" i="2"/>
  <c r="ED25" i="2"/>
  <c r="DU25" i="2"/>
  <c r="ER25" i="2"/>
  <c r="EI25" i="2"/>
  <c r="EH25" i="2"/>
  <c r="EK152" i="2"/>
  <c r="EA152" i="2"/>
  <c r="ET152" i="2" s="1"/>
  <c r="EC152" i="2"/>
  <c r="ER152" i="2"/>
  <c r="EB152" i="2"/>
  <c r="ED152" i="2"/>
  <c r="EQ152" i="2"/>
  <c r="DW152" i="2"/>
  <c r="ES152" i="2"/>
  <c r="EU152" i="2" s="1"/>
  <c r="EM152" i="2"/>
  <c r="DU152" i="2"/>
  <c r="EG152" i="2"/>
  <c r="EF132" i="2"/>
  <c r="ER132" i="2"/>
  <c r="EL132" i="2"/>
  <c r="EP132" i="2"/>
  <c r="EV132" i="2"/>
  <c r="ED132" i="2"/>
  <c r="EM94" i="2"/>
  <c r="DU94" i="2"/>
  <c r="EN94" i="2"/>
  <c r="EC94" i="2"/>
  <c r="DU154" i="2"/>
  <c r="EF154" i="2"/>
  <c r="EO154" i="2"/>
  <c r="EL154" i="2"/>
  <c r="EK154" i="2"/>
  <c r="EA154" i="2"/>
  <c r="ET154" i="2" s="1"/>
  <c r="DW154" i="2"/>
  <c r="EC154" i="2"/>
  <c r="EE154" i="2"/>
  <c r="ER154" i="2"/>
  <c r="EN170" i="2"/>
  <c r="EF170" i="2"/>
  <c r="DX33" i="2"/>
  <c r="DY33" i="2" s="1"/>
  <c r="DV33" i="2"/>
  <c r="EJ187" i="2"/>
  <c r="EG27" i="2"/>
  <c r="ER52" i="2"/>
  <c r="EJ52" i="2"/>
  <c r="EH52" i="2"/>
  <c r="DW137" i="2"/>
  <c r="ED137" i="2"/>
  <c r="ED162" i="2"/>
  <c r="EP162" i="2"/>
  <c r="EF162" i="2"/>
  <c r="EP37" i="2"/>
  <c r="EA19" i="2"/>
  <c r="ET19" i="2" s="1"/>
  <c r="DW146" i="2"/>
  <c r="ED63" i="2"/>
  <c r="EH120" i="2"/>
  <c r="DX120" i="2"/>
  <c r="DY120" i="2" s="1"/>
  <c r="EO120" i="2"/>
  <c r="DV16" i="2"/>
  <c r="EA200" i="2"/>
  <c r="ET200" i="2" s="1"/>
  <c r="EV200" i="2"/>
  <c r="EF200" i="2"/>
  <c r="EK50" i="2"/>
  <c r="EH23" i="2"/>
  <c r="DZ23" i="2"/>
  <c r="EA23" i="2"/>
  <c r="ET23" i="2" s="1"/>
  <c r="EB80" i="2"/>
  <c r="EE80" i="2"/>
  <c r="ES133" i="2"/>
  <c r="EU133" i="2" s="1"/>
  <c r="ES196" i="2"/>
  <c r="EU196" i="2" s="1"/>
  <c r="EB196" i="2"/>
  <c r="EC105" i="2"/>
  <c r="EL105" i="2"/>
  <c r="EH98" i="2"/>
  <c r="EN98" i="2"/>
  <c r="EP152" i="2"/>
  <c r="EL152" i="2"/>
  <c r="EG72" i="2"/>
  <c r="DU72" i="2"/>
  <c r="EQ43" i="2"/>
  <c r="EI48" i="2"/>
  <c r="EE29" i="2"/>
  <c r="EC29" i="2"/>
  <c r="EL81" i="2"/>
  <c r="EL90" i="2"/>
  <c r="EE34" i="2"/>
  <c r="EJ39" i="2"/>
  <c r="EM112" i="2"/>
  <c r="DX112" i="2"/>
  <c r="DY112" i="2" s="1"/>
  <c r="EV89" i="2"/>
  <c r="EO89" i="2"/>
  <c r="EJ84" i="2"/>
  <c r="EA190" i="2"/>
  <c r="ET190" i="2" s="1"/>
  <c r="DW171" i="2"/>
  <c r="EO45" i="2"/>
  <c r="EB45" i="2"/>
  <c r="EP47" i="2"/>
  <c r="EE168" i="2"/>
  <c r="EV67" i="2"/>
  <c r="EI67" i="2"/>
  <c r="EG132" i="2"/>
  <c r="EI154" i="2"/>
  <c r="DX154" i="2"/>
  <c r="DY154" i="2" s="1"/>
  <c r="EC119" i="2"/>
  <c r="EH96" i="2"/>
  <c r="EV18" i="2"/>
  <c r="EE121" i="2"/>
  <c r="EE125" i="2"/>
  <c r="EK9" i="2"/>
  <c r="EN55" i="2"/>
  <c r="DU92" i="2"/>
  <c r="ED141" i="2"/>
  <c r="DZ73" i="2"/>
  <c r="ED35" i="2"/>
  <c r="DU30" i="2"/>
  <c r="DZ94" i="2"/>
  <c r="DZ102" i="2"/>
  <c r="DV170" i="2"/>
  <c r="EH170" i="2"/>
  <c r="EO33" i="2"/>
  <c r="EF33" i="2"/>
  <c r="EK113" i="2"/>
  <c r="EV27" i="2"/>
  <c r="EK27" i="2"/>
  <c r="DZ52" i="2"/>
  <c r="DX52" i="2"/>
  <c r="DY52" i="2" s="1"/>
  <c r="EH137" i="2"/>
  <c r="EK137" i="2"/>
  <c r="EB162" i="2"/>
  <c r="DW162" i="2"/>
  <c r="EQ37" i="2"/>
  <c r="EQ19" i="2"/>
  <c r="EE146" i="2"/>
  <c r="EO63" i="2"/>
  <c r="EP120" i="2"/>
  <c r="DW120" i="2"/>
  <c r="ER120" i="2"/>
  <c r="EQ16" i="2"/>
  <c r="EP200" i="2"/>
  <c r="EM200" i="2"/>
  <c r="DX200" i="2"/>
  <c r="DY200" i="2" s="1"/>
  <c r="DZ50" i="2"/>
  <c r="EN23" i="2"/>
  <c r="EM23" i="2"/>
  <c r="ES80" i="2"/>
  <c r="EU80" i="2" s="1"/>
  <c r="EM80" i="2"/>
  <c r="EH80" i="2"/>
  <c r="EF133" i="2"/>
  <c r="EE196" i="2"/>
  <c r="ED65" i="2"/>
  <c r="EE105" i="2"/>
  <c r="EA105" i="2"/>
  <c r="ET105" i="2" s="1"/>
  <c r="EQ98" i="2"/>
  <c r="EM98" i="2"/>
  <c r="EI152" i="2"/>
  <c r="EN152" i="2"/>
  <c r="ER72" i="2"/>
  <c r="EC72" i="2"/>
  <c r="EK43" i="2"/>
  <c r="DV48" i="2"/>
  <c r="EN29" i="2"/>
  <c r="EH29" i="2"/>
  <c r="EL144" i="2"/>
  <c r="EB90" i="2"/>
  <c r="EG34" i="2"/>
  <c r="DV39" i="2"/>
  <c r="EV112" i="2"/>
  <c r="EC112" i="2"/>
  <c r="DX89" i="2"/>
  <c r="DY89" i="2" s="1"/>
  <c r="EP89" i="2"/>
  <c r="EI84" i="2"/>
  <c r="ER190" i="2"/>
  <c r="EQ68" i="2"/>
  <c r="EN171" i="2"/>
  <c r="EC45" i="2"/>
  <c r="DV45" i="2"/>
  <c r="EV47" i="2"/>
  <c r="EO168" i="2"/>
  <c r="EM67" i="2"/>
  <c r="DU132" i="2"/>
  <c r="ES132" i="2"/>
  <c r="EU132" i="2" s="1"/>
  <c r="EM154" i="2"/>
  <c r="EB154" i="2"/>
  <c r="EG119" i="2"/>
  <c r="EL148" i="2"/>
  <c r="DZ100" i="2"/>
  <c r="ES121" i="2"/>
  <c r="EU121" i="2" s="1"/>
  <c r="ED125" i="2"/>
  <c r="DV9" i="2"/>
  <c r="EC55" i="2"/>
  <c r="EN92" i="2"/>
  <c r="EK141" i="2"/>
  <c r="EJ73" i="2"/>
  <c r="ES124" i="2"/>
  <c r="EU124" i="2" s="1"/>
  <c r="EK35" i="2"/>
  <c r="EK30" i="2"/>
  <c r="EH94" i="2"/>
  <c r="DU156" i="2"/>
  <c r="EI104" i="2"/>
  <c r="DW104" i="2"/>
  <c r="ED192" i="2"/>
  <c r="EH173" i="2"/>
  <c r="EJ173" i="2"/>
  <c r="EN75" i="2"/>
  <c r="EO54" i="2"/>
  <c r="EK87" i="2"/>
  <c r="EI145" i="2"/>
  <c r="ES130" i="2"/>
  <c r="EU130" i="2" s="1"/>
  <c r="DW85" i="2"/>
  <c r="EA191" i="2"/>
  <c r="ET191" i="2" s="1"/>
  <c r="EK38" i="2"/>
  <c r="ES181" i="2"/>
  <c r="EU181" i="2" s="1"/>
  <c r="EK64" i="2"/>
  <c r="ES79" i="2"/>
  <c r="EU79" i="2" s="1"/>
  <c r="EN197" i="2"/>
  <c r="EM156" i="2"/>
  <c r="EA104" i="2"/>
  <c r="ET104" i="2" s="1"/>
  <c r="EN104" i="2"/>
  <c r="EC192" i="2"/>
  <c r="EM173" i="2"/>
  <c r="DW32" i="2"/>
  <c r="DW75" i="2"/>
  <c r="DZ75" i="2"/>
  <c r="EP145" i="2"/>
  <c r="EE130" i="2"/>
  <c r="EL85" i="2"/>
  <c r="EN191" i="2"/>
  <c r="EM38" i="2"/>
  <c r="EK181" i="2"/>
  <c r="EF64" i="2"/>
  <c r="ER79" i="2"/>
  <c r="ER147" i="2"/>
  <c r="EV197" i="2"/>
  <c r="EH197" i="2"/>
  <c r="EC185" i="2"/>
  <c r="EV104" i="2"/>
  <c r="EH104" i="2"/>
  <c r="DV192" i="2"/>
  <c r="EE173" i="2"/>
  <c r="EF32" i="2"/>
  <c r="ER75" i="2"/>
  <c r="EB75" i="2"/>
  <c r="DV145" i="2"/>
  <c r="EV145" i="2"/>
  <c r="EF139" i="2"/>
  <c r="EG58" i="2"/>
  <c r="EF197" i="2"/>
  <c r="EC197" i="2"/>
  <c r="EJ185" i="2"/>
  <c r="EO104" i="2"/>
  <c r="EQ192" i="2"/>
  <c r="EO192" i="2"/>
  <c r="DU173" i="2"/>
  <c r="EV75" i="2"/>
  <c r="EK75" i="2"/>
  <c r="EG145" i="2"/>
  <c r="ED145" i="2"/>
  <c r="EK139" i="2"/>
  <c r="EL58" i="2"/>
  <c r="EM197" i="2"/>
  <c r="DU197" i="2"/>
  <c r="DX185" i="2"/>
  <c r="DY185" i="2" s="1"/>
  <c r="EF104" i="2"/>
  <c r="DX192" i="2"/>
  <c r="DY192" i="2" s="1"/>
  <c r="EI192" i="2"/>
  <c r="EK173" i="2"/>
  <c r="EL173" i="2"/>
  <c r="DV75" i="2"/>
  <c r="DX75" i="2"/>
  <c r="DY75" i="2" s="1"/>
  <c r="DU145" i="2"/>
  <c r="EA145" i="2"/>
  <c r="ET145" i="2" s="1"/>
  <c r="DW139" i="2"/>
  <c r="DW197" i="2"/>
  <c r="EP197" i="2"/>
  <c r="ED104" i="2"/>
  <c r="EA192" i="2"/>
  <c r="ET192" i="2" s="1"/>
  <c r="DU192" i="2"/>
  <c r="EN173" i="2"/>
  <c r="EB173" i="2"/>
  <c r="EG75" i="2"/>
  <c r="EJ54" i="2"/>
  <c r="EC87" i="2"/>
  <c r="DX145" i="2"/>
  <c r="DY145" i="2" s="1"/>
  <c r="EQ85" i="2"/>
  <c r="ED191" i="2"/>
  <c r="EV38" i="2"/>
  <c r="EG64" i="2"/>
  <c r="EG79" i="2"/>
  <c r="EK184" i="2"/>
  <c r="EK197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11" i="9" l="1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5" i="9" l="1"/>
  <c r="P44" i="9"/>
  <c r="P34" i="9"/>
  <c r="P45" i="9"/>
  <c r="DZ11" i="2"/>
  <c r="EA11" i="2"/>
  <c r="EP11" i="2"/>
  <c r="A12" i="1"/>
  <c r="A13" i="1" s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1" i="2" l="1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4" i="1"/>
  <c r="A15" i="1" s="1"/>
  <c r="A16" i="1" s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6" i="2" s="1"/>
  <c r="ES6" i="2" s="1"/>
  <c r="DJ9" i="2"/>
  <c r="B19" i="9"/>
  <c r="AL12" i="2"/>
  <c r="A12" i="2"/>
  <c r="EE6" i="2"/>
  <c r="EE2" i="2"/>
  <c r="CN3" i="2"/>
  <c r="CN4" i="2" s="1"/>
  <c r="D24" i="9"/>
  <c r="ED6" i="2" l="1"/>
  <c r="EG6" i="2" s="1"/>
  <c r="EJ6" i="2"/>
  <c r="EL6" i="2" s="1"/>
  <c r="Q3" i="9" s="1"/>
  <c r="EK6" i="2"/>
  <c r="EM6" i="2" s="1"/>
  <c r="EO6" i="2" s="1"/>
  <c r="EC6" i="2"/>
  <c r="EF6" i="2" s="1"/>
  <c r="EA3" i="2"/>
  <c r="ED3" i="2" s="1"/>
  <c r="EG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EK3" i="2"/>
  <c r="EM3" i="2" s="1"/>
  <c r="EO3" i="2" s="1"/>
  <c r="ES3" i="2"/>
  <c r="EC3" i="2"/>
  <c r="EF3" i="2" s="1"/>
  <c r="EH3" i="2" s="1"/>
  <c r="EJ3" i="2"/>
  <c r="EL3" i="2" s="1"/>
  <c r="EN3" i="2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I3" i="2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C5" i="2" l="1"/>
  <c r="EF5" i="2" s="1"/>
  <c r="EH5" i="2" s="1"/>
  <c r="EJ5" i="2"/>
  <c r="EL5" i="2" s="1"/>
  <c r="EN5" i="2" s="1"/>
  <c r="ED5" i="2"/>
  <c r="EG5" i="2" s="1"/>
  <c r="EI5" i="2" s="1"/>
  <c r="ES5" i="2"/>
  <c r="EK5" i="2"/>
  <c r="EM5" i="2" s="1"/>
  <c r="EO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ES2" i="2"/>
  <c r="EK2" i="2"/>
  <c r="EM2" i="2" s="1"/>
  <c r="R44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EV7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5" i="2" l="1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T6" i="2" s="1"/>
  <c r="Q7" i="9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R19" i="9"/>
  <c r="Q19" i="9"/>
  <c r="GB2" i="2"/>
  <c r="CU14" i="2"/>
  <c r="CU6" i="2"/>
  <c r="CT21" i="2"/>
  <c r="CT22" i="2"/>
  <c r="AA35" i="8"/>
  <c r="CT14" i="2"/>
  <c r="CT6" i="2"/>
  <c r="B19" i="5" s="1"/>
  <c r="BB6" i="2" s="1"/>
  <c r="ET3" i="2" l="1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T4" i="2"/>
  <c r="ER4" i="2" s="1"/>
  <c r="R7" i="9"/>
  <c r="A20" i="2"/>
  <c r="AL20" i="2"/>
  <c r="A21" i="1"/>
  <c r="AA36" i="8"/>
  <c r="AA37" i="8" s="1"/>
  <c r="ER11" i="2" l="1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U5" i="2" l="1"/>
  <c r="EU6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C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5" i="2" l="1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EY24" i="2"/>
  <c r="B11" i="9"/>
  <c r="EY5" i="2"/>
  <c r="EY12" i="2" s="1"/>
  <c r="J45" i="9" s="1"/>
  <c r="EY6" i="2"/>
  <c r="EY13" i="2" s="1"/>
  <c r="A24" i="1"/>
  <c r="A23" i="2"/>
  <c r="AL23" i="2"/>
  <c r="Q8" i="9" l="1"/>
  <c r="Q6" i="9"/>
  <c r="R8" i="9"/>
  <c r="R6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H120" i="5"/>
  <c r="G70" i="5"/>
  <c r="J118" i="5"/>
  <c r="H39" i="5"/>
  <c r="E152" i="5"/>
  <c r="E106" i="5"/>
  <c r="E134" i="5"/>
  <c r="AJ22" i="2"/>
  <c r="H123" i="5"/>
  <c r="E122" i="5"/>
  <c r="F158" i="5"/>
  <c r="F45" i="5"/>
  <c r="J37" i="5"/>
  <c r="J188" i="5"/>
  <c r="J165" i="5"/>
  <c r="J120" i="5"/>
  <c r="E82" i="5"/>
  <c r="CY20" i="2"/>
  <c r="E187" i="5"/>
  <c r="F40" i="5"/>
  <c r="J136" i="5"/>
  <c r="J127" i="5"/>
  <c r="CY22" i="2"/>
  <c r="J54" i="5"/>
  <c r="AJ2" i="2"/>
  <c r="E42" i="5"/>
  <c r="G168" i="5"/>
  <c r="I63" i="5"/>
  <c r="J32" i="5"/>
  <c r="F159" i="5"/>
  <c r="CY8" i="2"/>
  <c r="I113" i="5"/>
  <c r="F153" i="5"/>
  <c r="H110" i="5"/>
  <c r="I83" i="5"/>
  <c r="I190" i="5"/>
  <c r="J119" i="5"/>
  <c r="J138" i="5"/>
  <c r="I56" i="5"/>
  <c r="G194" i="5"/>
  <c r="AJ20" i="2"/>
  <c r="I200" i="5"/>
  <c r="E84" i="5"/>
  <c r="G165" i="5"/>
  <c r="J97" i="5"/>
  <c r="J31" i="5"/>
  <c r="F30" i="5"/>
  <c r="G127" i="5"/>
  <c r="J14" i="5"/>
  <c r="F89" i="5"/>
  <c r="H145" i="5"/>
  <c r="G94" i="5"/>
  <c r="J65" i="5"/>
  <c r="I151" i="5"/>
  <c r="F156" i="5"/>
  <c r="E175" i="5"/>
  <c r="CY11" i="2"/>
  <c r="F164" i="5"/>
  <c r="F36" i="5"/>
  <c r="AJ14" i="2"/>
  <c r="F186" i="5"/>
  <c r="E33" i="5"/>
  <c r="H40" i="5"/>
  <c r="H50" i="5"/>
  <c r="H179" i="5"/>
  <c r="F117" i="5"/>
  <c r="J6" i="5"/>
  <c r="F101" i="5"/>
  <c r="CY24" i="2"/>
  <c r="I192" i="5"/>
  <c r="H62" i="5"/>
  <c r="J53" i="5"/>
  <c r="I82" i="5"/>
  <c r="G153" i="5"/>
  <c r="F200" i="5"/>
  <c r="J142" i="5"/>
  <c r="I147" i="5"/>
  <c r="E143" i="5"/>
  <c r="I95" i="5"/>
  <c r="F152" i="5"/>
  <c r="G48" i="5"/>
  <c r="F71" i="5"/>
  <c r="H95" i="5"/>
  <c r="H72" i="5"/>
  <c r="J180" i="5"/>
  <c r="F52" i="5"/>
  <c r="E132" i="5"/>
  <c r="G197" i="5"/>
  <c r="F88" i="5"/>
  <c r="I174" i="5"/>
  <c r="H164" i="5"/>
  <c r="J33" i="5"/>
  <c r="I104" i="5"/>
  <c r="E73" i="5"/>
  <c r="F118" i="5"/>
  <c r="G155" i="5"/>
  <c r="J35" i="5"/>
  <c r="F112" i="5"/>
  <c r="I38" i="5"/>
  <c r="H33" i="5"/>
  <c r="J39" i="5"/>
  <c r="F147" i="5"/>
  <c r="E99" i="5"/>
  <c r="H184" i="5"/>
  <c r="I107" i="5"/>
  <c r="F176" i="5"/>
  <c r="I122" i="5"/>
  <c r="I165" i="5"/>
  <c r="E177" i="5"/>
  <c r="G157" i="5"/>
  <c r="G132" i="5"/>
  <c r="J71" i="5"/>
  <c r="H118" i="5"/>
  <c r="F188" i="5"/>
  <c r="I109" i="5"/>
  <c r="E146" i="5"/>
  <c r="H200" i="5"/>
  <c r="G108" i="5"/>
  <c r="E139" i="5"/>
  <c r="J109" i="5"/>
  <c r="J186" i="5"/>
  <c r="CY13" i="2"/>
  <c r="G96" i="5"/>
  <c r="H158" i="5"/>
  <c r="F141" i="5"/>
  <c r="F54" i="5"/>
  <c r="I88" i="5"/>
  <c r="G142" i="5"/>
  <c r="J154" i="5"/>
  <c r="H65" i="5"/>
  <c r="E109" i="5"/>
  <c r="F111" i="5"/>
  <c r="F180" i="5"/>
  <c r="F98" i="5"/>
  <c r="G44" i="5"/>
  <c r="H91" i="5"/>
  <c r="F29" i="5"/>
  <c r="I137" i="5"/>
  <c r="G110" i="5"/>
  <c r="G101" i="5"/>
  <c r="I101" i="5"/>
  <c r="G71" i="5"/>
  <c r="H96" i="5"/>
  <c r="H125" i="5"/>
  <c r="F116" i="5"/>
  <c r="G176" i="5"/>
  <c r="G179" i="5"/>
  <c r="I129" i="5"/>
  <c r="E59" i="5"/>
  <c r="E70" i="5"/>
  <c r="J10" i="5"/>
  <c r="CY3" i="2"/>
  <c r="J133" i="5"/>
  <c r="E101" i="5"/>
  <c r="E94" i="5"/>
  <c r="F196" i="5"/>
  <c r="E128" i="5"/>
  <c r="G183" i="5"/>
  <c r="I111" i="5"/>
  <c r="E173" i="5"/>
  <c r="G198" i="5"/>
  <c r="I198" i="5"/>
  <c r="E193" i="5"/>
  <c r="J59" i="5"/>
  <c r="H157" i="5"/>
  <c r="J41" i="5"/>
  <c r="G146" i="5"/>
  <c r="H131" i="5"/>
  <c r="I142" i="5"/>
  <c r="F97" i="5"/>
  <c r="F50" i="5"/>
  <c r="E111" i="5"/>
  <c r="H36" i="5"/>
  <c r="F182" i="5"/>
  <c r="H55" i="5"/>
  <c r="I64" i="5"/>
  <c r="H189" i="5"/>
  <c r="H46" i="5"/>
  <c r="G139" i="5"/>
  <c r="I103" i="5"/>
  <c r="J20" i="5"/>
  <c r="F142" i="5"/>
  <c r="I185" i="5"/>
  <c r="G62" i="5"/>
  <c r="J194" i="5"/>
  <c r="J177" i="5"/>
  <c r="E69" i="5"/>
  <c r="J135" i="5"/>
  <c r="F132" i="5"/>
  <c r="H169" i="5"/>
  <c r="F119" i="5"/>
  <c r="F92" i="5"/>
  <c r="J168" i="5"/>
  <c r="J52" i="5"/>
  <c r="I166" i="5"/>
  <c r="H193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E124" i="5" l="1"/>
  <c r="I127" i="5"/>
  <c r="J42" i="5"/>
  <c r="E144" i="5"/>
  <c r="I114" i="5"/>
  <c r="F185" i="5"/>
  <c r="G117" i="5"/>
  <c r="E151" i="5"/>
  <c r="G119" i="5"/>
  <c r="H178" i="5"/>
  <c r="J144" i="5"/>
  <c r="H87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F198" i="5"/>
  <c r="H190" i="5"/>
  <c r="J100" i="5"/>
  <c r="I187" i="5"/>
  <c r="E90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E5" i="2"/>
  <c r="HE6" i="2"/>
  <c r="HE8" i="2"/>
  <c r="HD3" i="2" l="1"/>
  <c r="HD7" i="2"/>
  <c r="L33" i="8"/>
  <c r="HD2" i="2"/>
  <c r="I37" i="8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<sst xmlns="http://schemas.openxmlformats.org/spreadsheetml/2006/main" count="883" uniqueCount="352">
  <si>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</si>
  <si>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</si>
  <si>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</si>
  <si>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</si>
  <si>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</si>
  <si>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</si>
  <si>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</si>
  <si>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</si>
  <si>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</si>
  <si>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</si>
  <si>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</si>
  <si>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</si>
  <si>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No</t>
  </si>
  <si>
    <t>Indonasian</t>
  </si>
  <si>
    <t>Outcome 1</t>
  </si>
  <si>
    <t>Outcome 2</t>
  </si>
  <si>
    <t>Total</t>
  </si>
  <si>
    <t>English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</si>
  <si>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</si>
  <si>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</si>
  <si>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</si>
  <si>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</si>
  <si>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Hazarika et al. (A)</t>
  </si>
  <si>
    <t>Yes</t>
  </si>
  <si>
    <t>Fan et al.</t>
  </si>
  <si>
    <t>Zou et al.</t>
  </si>
  <si>
    <t>Quan et al.</t>
  </si>
  <si>
    <t>Lu et al.</t>
  </si>
  <si>
    <t>Chinese</t>
  </si>
  <si>
    <t>Seo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</si>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</sst>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5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0" fillId="9" borderId="0" xfId="0" applyFill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14" fillId="9" borderId="0" xfId="10" applyNumberFormat="1" applyFont="1">
      <protection locked="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0.32258517046400015</c:v>
                </c:pt>
                <c:pt idx="1">
                  <c:v>0.33366145532447161</c:v>
                </c:pt>
                <c:pt idx="2">
                  <c:v>0.34375337421152818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0.3649334881605355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0.36466201074807825</c:v>
                  </c:pt>
                  <c:pt idx="8">
                    <c:v>0.36406187428160419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0.26084204365626851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0.26207342247923782</c:v>
                  </c:pt>
                  <c:pt idx="8">
                    <c:v>0.2629234413266992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0.91448434886983176</c:v>
                </c:pt>
                <c:pt idx="5">
                  <c:v>#N/A</c:v>
                </c:pt>
                <c:pt idx="6">
                  <c:v>#N/A</c:v>
                </c:pt>
                <c:pt idx="7">
                  <c:v>0.93156775834039651</c:v>
                </c:pt>
                <c:pt idx="8">
                  <c:v>0.94642954261162782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0.32258517046400015</c:v>
                </c:pt>
                <c:pt idx="5">
                  <c:v>0</c:v>
                </c:pt>
                <c:pt idx="6">
                  <c:v>0</c:v>
                </c:pt>
                <c:pt idx="7">
                  <c:v>0.33366145532447161</c:v>
                </c:pt>
                <c:pt idx="8">
                  <c:v>0.34375337421152818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4.0550984761176578E-2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3.885858099451267E-2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0.34375337421152818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4.0550984761176578E-2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3.885858099451267E-2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0.34375337421152818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0.3649334881605355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0.36466201074807825</c:v>
                  </c:pt>
                  <c:pt idx="8">
                    <c:v>0.36406187428160419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0.26084204365626851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0.26207342247923782</c:v>
                  </c:pt>
                  <c:pt idx="8">
                    <c:v>0.2629234413266992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0.91448434886983176</c:v>
                </c:pt>
                <c:pt idx="5">
                  <c:v>#N/A</c:v>
                </c:pt>
                <c:pt idx="6">
                  <c:v>#N/A</c:v>
                </c:pt>
                <c:pt idx="7">
                  <c:v>0.93156775834039651</c:v>
                </c:pt>
                <c:pt idx="8">
                  <c:v>0.94642954261162782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0.32258517046400015</c:v>
                </c:pt>
                <c:pt idx="5">
                  <c:v>0</c:v>
                </c:pt>
                <c:pt idx="6">
                  <c:v>0</c:v>
                </c:pt>
                <c:pt idx="7">
                  <c:v>0.33366145532447161</c:v>
                </c:pt>
                <c:pt idx="8">
                  <c:v>0.34375337421152818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4.0550984761176578E-2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3.885858099451267E-2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0.34375337421152818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4.0550984761176578E-2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3.885858099451267E-2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0.34375337421152818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0.36493348385819346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0.36466187691774121</c:v>
                  </c:pt>
                  <c:pt idx="8">
                    <c:v>0.36406174097971755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0.2608420414582433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0.26207335335672277</c:v>
                  </c:pt>
                  <c:pt idx="8">
                    <c:v>0.26292337180112968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0.91448434886983176</c:v>
                </c:pt>
                <c:pt idx="5">
                  <c:v>#N/A</c:v>
                </c:pt>
                <c:pt idx="6">
                  <c:v>#N/A</c:v>
                </c:pt>
                <c:pt idx="7">
                  <c:v>0.93156775834039651</c:v>
                </c:pt>
                <c:pt idx="8">
                  <c:v>0.94642954261162782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#N/A</c:v>
                </c:pt>
                <c:pt idx="6">
                  <c:v>#N/A</c:v>
                </c:pt>
                <c:pt idx="7">
                  <c:v>3</c:v>
                </c:pt>
                <c:pt idx="8">
                  <c:v>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0.32258517046400015</c:v>
                </c:pt>
                <c:pt idx="5">
                  <c:v>0</c:v>
                </c:pt>
                <c:pt idx="6">
                  <c:v>0</c:v>
                </c:pt>
                <c:pt idx="7">
                  <c:v>0.33366145532447161</c:v>
                </c:pt>
                <c:pt idx="8">
                  <c:v>0.34375337421152818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0.36493348385819346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0.36466187691774121</c:v>
                  </c:pt>
                  <c:pt idx="8">
                    <c:v>0.36406174097971755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0.2608420414582433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0.26207335335672277</c:v>
                  </c:pt>
                  <c:pt idx="8">
                    <c:v>0.26292337180112968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0.91448434886983176</c:v>
                </c:pt>
                <c:pt idx="5">
                  <c:v>#N/A</c:v>
                </c:pt>
                <c:pt idx="6">
                  <c:v>#N/A</c:v>
                </c:pt>
                <c:pt idx="7">
                  <c:v>0.93156775834039651</c:v>
                </c:pt>
                <c:pt idx="8">
                  <c:v>0.94642954261162782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#N/A</c:v>
                </c:pt>
                <c:pt idx="6">
                  <c:v>#N/A</c:v>
                </c:pt>
                <c:pt idx="7">
                  <c:v>3</c:v>
                </c:pt>
                <c:pt idx="8">
                  <c:v>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0.32258517046400015</c:v>
                </c:pt>
                <c:pt idx="5">
                  <c:v>0</c:v>
                </c:pt>
                <c:pt idx="6">
                  <c:v>0</c:v>
                </c:pt>
                <c:pt idx="7">
                  <c:v>0.33366145532447161</c:v>
                </c:pt>
                <c:pt idx="8">
                  <c:v>0.34375337421152818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4.0550984761176578E-2</c:v>
                  </c:pt>
                  <c:pt idx="4">
                    <c:v>4.0550984761176578E-2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3.885858099451267E-2</c:v>
                  </c:pt>
                  <c:pt idx="4">
                    <c:v>3.885858099451267E-2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0.9310743433617068</c:v>
                </c:pt>
                <c:pt idx="4">
                  <c:v>0.9310743433617068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0.9310743433617068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1.3132048017460896E-2</c:v>
                </c:pt>
                <c:pt idx="5">
                  <c:v>#N/A</c:v>
                </c:pt>
                <c:pt idx="6">
                  <c:v>#N/A</c:v>
                </c:pt>
                <c:pt idx="7">
                  <c:v>8.0203045685279181E-2</c:v>
                </c:pt>
                <c:pt idx="8">
                  <c:v>8.223350253807106E-2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1.2022553655874863E-2</c:v>
                </c:pt>
                <c:pt idx="5">
                  <c:v>#N/A</c:v>
                </c:pt>
                <c:pt idx="6">
                  <c:v>#N/A</c:v>
                </c:pt>
                <c:pt idx="7">
                  <c:v>7.5126903553299498E-2</c:v>
                </c:pt>
                <c:pt idx="8">
                  <c:v>7.8172588832487316E-2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34.074556226536743</c:v>
                </c:pt>
                <c:pt idx="5">
                  <c:v>0</c:v>
                </c:pt>
                <c:pt idx="6">
                  <c:v>0</c:v>
                </c:pt>
                <c:pt idx="7">
                  <c:v>35.244540236391877</c:v>
                </c:pt>
                <c:pt idx="8">
                  <c:v>36.310546020402441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8.223350253807106E-2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7.6920853514996029E-2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-0.43034110815544252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-4.7329938379049041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6.0258232649491505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3.8723116215940192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5.8373415375954094</c:v>
                </c:pt>
                <c:pt idx="5">
                  <c:v>#N/A</c:v>
                </c:pt>
                <c:pt idx="6">
                  <c:v>#N/A</c:v>
                </c:pt>
                <c:pt idx="7">
                  <c:v>5.9367112306724064</c:v>
                </c:pt>
                <c:pt idx="8">
                  <c:v>6.0258232649491505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-0.5218287130978283</c:v>
                </c:pt>
                <c:pt idx="5">
                  <c:v>#N/A</c:v>
                </c:pt>
                <c:pt idx="6">
                  <c:v>#N/A</c:v>
                </c:pt>
                <c:pt idx="7">
                  <c:v>-0.42083179299499174</c:v>
                </c:pt>
                <c:pt idx="8">
                  <c:v>-0.33177430288279208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-8.9394925710100992E-2</c:v>
                </c:pt>
                <c:pt idx="5">
                  <c:v>#N/A</c:v>
                </c:pt>
                <c:pt idx="6">
                  <c:v>#N/A</c:v>
                </c:pt>
                <c:pt idx="7">
                  <c:v>-7.0886350479830787E-2</c:v>
                </c:pt>
                <c:pt idx="8">
                  <c:v>-5.5058751027871673E-2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0.17131086018515415</c:v>
                </c:pt>
                <c:pt idx="5">
                  <c:v>#N/A</c:v>
                </c:pt>
                <c:pt idx="6">
                  <c:v>#N/A</c:v>
                </c:pt>
                <c:pt idx="7">
                  <c:v>0.16844342955969202</c:v>
                </c:pt>
                <c:pt idx="8">
                  <c:v>0.16595242774821717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-0.9559255199119121</c:v>
                </c:pt>
                <c:pt idx="1">
                  <c:v>-7.1416151658253782E-2</c:v>
                </c:pt>
                <c:pt idx="2">
                  <c:v>0.81309321659540457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0.20557303222218498</c:v>
                </c:pt>
                <c:pt idx="1">
                  <c:v>0</c:v>
                </c:pt>
                <c:pt idx="2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-7.1416151658253782E-2</c:v>
                </c:pt>
                <c:pt idx="1">
                  <c:v>-7.1416151658253782E-2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0.18844194620366958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0.18844194620366958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-0.84162123357291452</c:v>
                </c:pt>
                <c:pt idx="5">
                  <c:v>#N/A</c:v>
                </c:pt>
                <c:pt idx="6">
                  <c:v>#N/A</c:v>
                </c:pt>
                <c:pt idx="7">
                  <c:v>0</c:v>
                </c:pt>
                <c:pt idx="8">
                  <c:v>0.84162123357291341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-0.5218287130978283</c:v>
                </c:pt>
                <c:pt idx="5">
                  <c:v>#N/A</c:v>
                </c:pt>
                <c:pt idx="6">
                  <c:v>#N/A</c:v>
                </c:pt>
                <c:pt idx="7">
                  <c:v>-0.42083179299499174</c:v>
                </c:pt>
                <c:pt idx="8">
                  <c:v>-0.33177430288279208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-0.51983880809938887</c:v>
                </c:pt>
                <c:pt idx="1">
                  <c:v>-0.3297843978843526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-0.42481160299187065</c:v>
                </c:pt>
                <c:pt idx="1">
                  <c:v>-0.42481160299187065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0</c:v>
                </c:pt>
                <c:pt idx="2">
                  <c:v>0; 0</c:v>
                </c:pt>
                <c:pt idx="3">
                  <c:v>0; 0</c:v>
                </c:pt>
                <c:pt idx="4">
                  <c:v>0; 0</c:v>
                </c:pt>
                <c:pt idx="5">
                  <c:v>0; 0</c:v>
                </c:pt>
                <c:pt idx="6">
                  <c:v>0; 0</c:v>
                </c:pt>
                <c:pt idx="7">
                  <c:v>0; 0</c:v>
                </c:pt>
                <c:pt idx="8">
                  <c:v>0; 0</c:v>
                </c:pt>
                <c:pt idx="9">
                  <c:v>0;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0</c:v>
                </c:pt>
                <c:pt idx="2">
                  <c:v>0; 0</c:v>
                </c:pt>
                <c:pt idx="3">
                  <c:v>0; 0</c:v>
                </c:pt>
                <c:pt idx="4">
                  <c:v>0; 0</c:v>
                </c:pt>
                <c:pt idx="5">
                  <c:v>0; 0</c:v>
                </c:pt>
                <c:pt idx="6">
                  <c:v>0; 0</c:v>
                </c:pt>
                <c:pt idx="7">
                  <c:v>0; 0</c:v>
                </c:pt>
                <c:pt idx="8">
                  <c:v>0; 0</c:v>
                </c:pt>
                <c:pt idx="9">
                  <c:v>0;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-8.9394925710100992E-2</c:v>
                </c:pt>
                <c:pt idx="5">
                  <c:v>#N/A</c:v>
                </c:pt>
                <c:pt idx="6">
                  <c:v>#N/A</c:v>
                </c:pt>
                <c:pt idx="7">
                  <c:v>-7.0886350479830787E-2</c:v>
                </c:pt>
                <c:pt idx="8">
                  <c:v>-5.5058751027871673E-2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0.17131086018515415</c:v>
                </c:pt>
                <c:pt idx="5">
                  <c:v>#N/A</c:v>
                </c:pt>
                <c:pt idx="6">
                  <c:v>#N/A</c:v>
                </c:pt>
                <c:pt idx="7">
                  <c:v>0.16844342955969202</c:v>
                </c:pt>
                <c:pt idx="8">
                  <c:v>0.16595242774821717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3-4ED6-9B6C-6606D34FC660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-0.9559255199119121</c:v>
                </c:pt>
                <c:pt idx="1">
                  <c:v>-7.1416151658253782E-2</c:v>
                </c:pt>
                <c:pt idx="2">
                  <c:v>0.81309321659540457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0.20557303222218498</c:v>
                </c:pt>
                <c:pt idx="1">
                  <c:v>0</c:v>
                </c:pt>
                <c:pt idx="2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3-4ED6-9B6C-6606D34FC660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-7.1416151658253782E-2</c:v>
                </c:pt>
                <c:pt idx="1">
                  <c:v>-7.1416151658253782E-2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C3-4ED6-9B6C-6606D34FC660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0.18844194620366958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3-4ED6-9B6C-6606D34FC660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0.18844194620366958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C3-4ED6-9B6C-6606D34FC660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C3-4ED6-9B6C-6606D34FC660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0.41864257242159136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-7.1416151658253782E-2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0.20557303222218498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C3-4ED6-9B6C-6606D34F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0</xdr:row>
      <xdr:rowOff>0</xdr:rowOff>
    </xdr:from>
    <xdr:to>
      <xdr:col>13</xdr:col>
      <xdr:colOff>47625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22</xdr:row>
      <xdr:rowOff>57150</xdr:rowOff>
    </xdr:from>
    <xdr:to>
      <xdr:col>12</xdr:col>
      <xdr:colOff>9525</xdr:colOff>
      <xdr:row>50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400A6-BA44-4024-9D03-823FA77821D6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C9" sqref="C9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 t="str">
        <f>IF(AND(Sufficient_data="Yes",Include_study?="Yes"),1,"")</f>
        <v/>
      </c>
      <c r="B2" s="12"/>
      <c r="C2" s="5" t="s">
        <v>12</v>
      </c>
      <c r="D2" s="27"/>
      <c r="E2" s="27"/>
      <c r="F2" s="27"/>
      <c r="G2" s="27"/>
      <c r="H2" s="27"/>
      <c r="I2" s="27"/>
      <c r="J2" s="3" t="str">
        <f t="shared" ref="J2:J33" si="0">IF(AND(OR(AND(a_&lt;&gt;"",b_&lt;&gt;""),AND(OR(a_&lt;&gt;"",b_&lt;&gt;""),n1_&lt;&gt;"")),OR(AND(c_&lt;&gt;"",d_&lt;&gt;""),AND(OR(c_&lt;&gt;"",d_&lt;&gt;""),n2_&lt;&gt;""))),"Yes","No")</f>
        <v>No</v>
      </c>
      <c r="K2" s="5" t="s">
        <v>13</v>
      </c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2.95">
      <c r="A3" s="6" t="str">
        <f>IF(AND(Sufficient_data="Yes",Include_study?="Yes"),COUNT(A$2:A2)+1,"")</f>
        <v/>
      </c>
      <c r="B3" s="12"/>
      <c r="C3" s="5" t="s">
        <v>12</v>
      </c>
      <c r="D3" s="27"/>
      <c r="E3" s="27"/>
      <c r="F3" s="27"/>
      <c r="G3" s="27"/>
      <c r="H3" s="27"/>
      <c r="I3" s="27"/>
      <c r="J3" s="3" t="str">
        <f t="shared" si="0"/>
        <v>No</v>
      </c>
      <c r="K3" s="5" t="s">
        <v>17</v>
      </c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2.95">
      <c r="A4" s="6" t="str">
        <f>IF(AND(Sufficient_data="Yes",Include_study?="Yes"),COUNT(A$2:A3)+1,"")</f>
        <v/>
      </c>
      <c r="B4" s="12"/>
      <c r="C4" s="5" t="s">
        <v>12</v>
      </c>
      <c r="D4" s="27"/>
      <c r="E4" s="27"/>
      <c r="F4" s="27"/>
      <c r="G4" s="27"/>
      <c r="H4" s="27"/>
      <c r="I4" s="27"/>
      <c r="J4" s="3" t="str">
        <f t="shared" si="0"/>
        <v>No</v>
      </c>
      <c r="K4" s="5" t="s">
        <v>17</v>
      </c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>
      <c r="A5" s="6" t="str">
        <f>IF(AND(Sufficient_data="Yes",Include_study?="Yes"),COUNT(A$2:A4)+1,"")</f>
        <v/>
      </c>
      <c r="B5" s="111" t="s">
        <v>22</v>
      </c>
      <c r="C5" s="5" t="s">
        <v>12</v>
      </c>
      <c r="D5" s="27">
        <v>75</v>
      </c>
      <c r="E5" s="27"/>
      <c r="F5" s="27">
        <v>84</v>
      </c>
      <c r="G5" s="27"/>
      <c r="H5" s="27">
        <v>3311</v>
      </c>
      <c r="I5" s="27">
        <v>2187</v>
      </c>
      <c r="J5" s="3" t="str">
        <f t="shared" si="0"/>
        <v>Yes</v>
      </c>
      <c r="K5" s="5" t="s">
        <v>17</v>
      </c>
      <c r="L5" s="27"/>
      <c r="S5" s="92"/>
      <c r="T5" s="92"/>
    </row>
    <row r="6" spans="1:20">
      <c r="A6" s="6">
        <f>IF(AND(Sufficient_data="Yes",Include_study?="Yes"),COUNT(A$2:A5)+1,"")</f>
        <v>1</v>
      </c>
      <c r="B6" s="12" t="s">
        <v>22</v>
      </c>
      <c r="C6" s="5" t="s">
        <v>23</v>
      </c>
      <c r="D6" s="27">
        <v>66.099999999999994</v>
      </c>
      <c r="E6" s="27"/>
      <c r="F6" s="27">
        <v>72.2</v>
      </c>
      <c r="G6" s="27"/>
      <c r="H6" s="27">
        <v>5498</v>
      </c>
      <c r="I6" s="27">
        <v>5498</v>
      </c>
      <c r="J6" s="3" t="str">
        <f t="shared" si="0"/>
        <v>Yes</v>
      </c>
      <c r="K6" s="5" t="s">
        <v>17</v>
      </c>
      <c r="L6" s="27"/>
      <c r="S6" s="92"/>
      <c r="T6" s="92"/>
    </row>
    <row r="7" spans="1:20">
      <c r="A7" s="6" t="str">
        <f>IF(AND(Sufficient_data="Yes",Include_study?="Yes"),COUNT(A$2:A6)+1,"")</f>
        <v/>
      </c>
      <c r="B7" s="12" t="s">
        <v>24</v>
      </c>
      <c r="C7" s="5" t="s">
        <v>12</v>
      </c>
      <c r="D7" s="27">
        <v>52</v>
      </c>
      <c r="E7" s="27"/>
      <c r="F7" s="27">
        <v>78</v>
      </c>
      <c r="G7" s="27"/>
      <c r="H7" s="103">
        <v>2303</v>
      </c>
      <c r="I7" s="103">
        <v>2187</v>
      </c>
      <c r="J7" s="3" t="str">
        <f t="shared" si="0"/>
        <v>Yes</v>
      </c>
      <c r="K7" s="5" t="s">
        <v>17</v>
      </c>
      <c r="L7" s="27"/>
      <c r="S7" s="92"/>
      <c r="T7" s="92"/>
    </row>
    <row r="8" spans="1:20">
      <c r="A8" s="6" t="str">
        <f>IF(AND(Sufficient_data="Yes",Include_study?="Yes"),COUNT(A$2:A7)+1,"")</f>
        <v/>
      </c>
      <c r="B8" s="12" t="s">
        <v>25</v>
      </c>
      <c r="C8" s="5" t="s">
        <v>12</v>
      </c>
      <c r="D8" s="27">
        <v>61</v>
      </c>
      <c r="E8" s="27"/>
      <c r="F8" s="27">
        <v>71</v>
      </c>
      <c r="G8" s="27"/>
      <c r="H8" s="103">
        <v>3397</v>
      </c>
      <c r="I8" s="103">
        <v>4036</v>
      </c>
      <c r="J8" s="3" t="str">
        <f t="shared" si="0"/>
        <v>Yes</v>
      </c>
      <c r="K8" s="5" t="s">
        <v>17</v>
      </c>
      <c r="L8" s="27"/>
      <c r="S8" s="92"/>
      <c r="T8" s="92"/>
    </row>
    <row r="9" spans="1:20">
      <c r="A9" s="6">
        <f>IF(AND(Sufficient_data="Yes",Include_study?="Yes"),COUNT(A$2:A8)+1,"")</f>
        <v>2</v>
      </c>
      <c r="B9" s="12" t="s">
        <v>26</v>
      </c>
      <c r="C9" s="5" t="s">
        <v>23</v>
      </c>
      <c r="D9" s="27">
        <v>74</v>
      </c>
      <c r="E9" s="27"/>
      <c r="F9" s="27">
        <v>79</v>
      </c>
      <c r="G9" s="27"/>
      <c r="H9" s="27">
        <v>985</v>
      </c>
      <c r="I9" s="27">
        <v>985</v>
      </c>
      <c r="J9" s="3" t="str">
        <f t="shared" si="0"/>
        <v>Yes</v>
      </c>
      <c r="K9" s="5" t="s">
        <v>17</v>
      </c>
      <c r="L9" s="27"/>
      <c r="S9" s="92"/>
      <c r="T9" s="92"/>
    </row>
    <row r="10" spans="1:20">
      <c r="A10" s="6">
        <f>IF(AND(Sufficient_data="Yes",Include_study?="Yes"),COUNT(A$2:A9)+1,"")</f>
        <v>3</v>
      </c>
      <c r="B10" s="12" t="s">
        <v>26</v>
      </c>
      <c r="C10" s="5" t="s">
        <v>23</v>
      </c>
      <c r="D10" s="27">
        <v>77</v>
      </c>
      <c r="E10" s="27"/>
      <c r="F10" s="27">
        <v>81</v>
      </c>
      <c r="G10" s="27"/>
      <c r="H10" s="27">
        <v>985</v>
      </c>
      <c r="I10" s="27">
        <v>985</v>
      </c>
      <c r="J10" s="3" t="str">
        <f t="shared" si="0"/>
        <v>Yes</v>
      </c>
      <c r="K10" s="5" t="s">
        <v>17</v>
      </c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 t="s">
        <v>27</v>
      </c>
      <c r="C11" s="5" t="s">
        <v>12</v>
      </c>
      <c r="D11" s="27">
        <v>65</v>
      </c>
      <c r="E11" s="27"/>
      <c r="F11" s="27">
        <v>53</v>
      </c>
      <c r="G11" s="27"/>
      <c r="H11" s="27">
        <v>4021</v>
      </c>
      <c r="I11" s="27">
        <v>4021</v>
      </c>
      <c r="J11" s="3" t="str">
        <f t="shared" si="0"/>
        <v>Yes</v>
      </c>
      <c r="K11" s="5" t="s">
        <v>28</v>
      </c>
      <c r="L11" s="27"/>
      <c r="S11" s="92"/>
      <c r="T11" s="92"/>
    </row>
    <row r="12" spans="1:20">
      <c r="A12" s="6" t="str">
        <f>IF(AND(Sufficient_data="Yes",Include_study?="Yes"),COUNT(A$2:A11)+1,"")</f>
        <v/>
      </c>
      <c r="B12" s="12" t="s">
        <v>29</v>
      </c>
      <c r="C12" s="5" t="s">
        <v>12</v>
      </c>
      <c r="D12" s="27">
        <v>70</v>
      </c>
      <c r="E12" s="27"/>
      <c r="F12" s="27">
        <v>60.8</v>
      </c>
      <c r="G12" s="27"/>
      <c r="H12" s="27">
        <v>5538</v>
      </c>
      <c r="I12" s="27">
        <v>5538</v>
      </c>
      <c r="J12" s="3" t="str">
        <f t="shared" si="0"/>
        <v>Yes</v>
      </c>
      <c r="K12" s="5" t="s">
        <v>17</v>
      </c>
      <c r="L12" s="27"/>
      <c r="S12" s="92"/>
      <c r="T12" s="92"/>
    </row>
    <row r="13" spans="1:20">
      <c r="A13" s="6" t="str">
        <f>IF(AND(Sufficient_data="Yes",Include_study?="Yes"),COUNT(A$2:A12)+1,"")</f>
        <v/>
      </c>
      <c r="B13" s="93" t="s">
        <v>26</v>
      </c>
      <c r="C13" s="5" t="s">
        <v>12</v>
      </c>
      <c r="D13" s="27">
        <v>53</v>
      </c>
      <c r="E13" s="27"/>
      <c r="F13" s="27">
        <v>54.8</v>
      </c>
      <c r="G13" s="27"/>
      <c r="H13" s="27">
        <v>985</v>
      </c>
      <c r="I13" s="27">
        <v>985</v>
      </c>
      <c r="J13" s="3" t="str">
        <f t="shared" si="0"/>
        <v>Yes</v>
      </c>
      <c r="K13" s="5" t="s">
        <v>17</v>
      </c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12" t="s">
        <v>26</v>
      </c>
      <c r="C14" s="5" t="s">
        <v>12</v>
      </c>
      <c r="D14" s="27">
        <v>74</v>
      </c>
      <c r="E14" s="27"/>
      <c r="F14" s="27">
        <v>79</v>
      </c>
      <c r="G14" s="27"/>
      <c r="H14" s="27">
        <v>985</v>
      </c>
      <c r="I14" s="27">
        <v>985</v>
      </c>
      <c r="J14" s="3" t="str">
        <f t="shared" si="0"/>
        <v>Yes</v>
      </c>
      <c r="K14" s="5" t="s">
        <v>17</v>
      </c>
      <c r="L14" s="27"/>
    </row>
    <row r="15" spans="1:20">
      <c r="A15" s="6" t="str">
        <f>IF(AND(Sufficient_data="Yes",Include_study?="Yes"),COUNT(A$2:A14)+1,"")</f>
        <v/>
      </c>
      <c r="B15" s="12" t="s">
        <v>26</v>
      </c>
      <c r="C15" s="5" t="s">
        <v>12</v>
      </c>
      <c r="D15" s="27">
        <v>77</v>
      </c>
      <c r="E15" s="27"/>
      <c r="F15" s="27">
        <v>81</v>
      </c>
      <c r="G15" s="27"/>
      <c r="H15" s="27">
        <v>985</v>
      </c>
      <c r="I15" s="27">
        <v>985</v>
      </c>
      <c r="J15" s="3" t="str">
        <f>IF(AND(OR(AND(a_&lt;&gt;"",b_&lt;&gt;""),AND(OR(a_&lt;&gt;"",b_&lt;&gt;""),n1_&lt;&gt;"")),OR(AND(c_&lt;&gt;"",d_&lt;&gt;""),AND(OR(c_&lt;&gt;"",d_&lt;&gt;""),n2_&lt;&gt;""))),"Yes","No")</f>
        <v>Yes</v>
      </c>
      <c r="K15" s="5" t="s">
        <v>17</v>
      </c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12</v>
      </c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12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12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12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12</v>
      </c>
      <c r="D34" s="27"/>
      <c r="E34" s="27"/>
      <c r="F34" s="27"/>
      <c r="G34" s="27"/>
      <c r="H34" s="5"/>
      <c r="I34" s="5"/>
      <c r="J34" s="3" t="str">
        <f t="shared" ref="J34:J65" si="1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12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12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12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12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12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12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12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12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12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12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12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12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12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12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12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12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12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12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12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12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12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12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12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12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12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12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12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12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12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12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12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12</v>
      </c>
      <c r="D66" s="5"/>
      <c r="E66" s="5"/>
      <c r="F66" s="5"/>
      <c r="G66" s="5"/>
      <c r="H66" s="5"/>
      <c r="I66" s="5"/>
      <c r="J66" s="3" t="str">
        <f t="shared" ref="J66:J97" si="2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12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12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12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12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12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12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12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12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12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12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12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12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12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12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12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12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12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12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12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12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12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12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12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12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12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12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12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12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12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12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12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12</v>
      </c>
      <c r="D98" s="5"/>
      <c r="E98" s="5"/>
      <c r="F98" s="5"/>
      <c r="G98" s="5"/>
      <c r="H98" s="5"/>
      <c r="I98" s="5"/>
      <c r="J98" s="3" t="str">
        <f t="shared" ref="J98:J129" si="3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12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12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12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12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12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12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12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12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12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12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12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12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12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12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12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12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12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12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12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12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12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12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12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12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12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12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12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12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12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12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12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12</v>
      </c>
      <c r="D130" s="5"/>
      <c r="E130" s="5"/>
      <c r="F130" s="5"/>
      <c r="G130" s="5"/>
      <c r="H130" s="5"/>
      <c r="I130" s="5"/>
      <c r="J130" s="3" t="str">
        <f t="shared" ref="J130:J161" si="4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12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12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12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23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23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23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23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23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23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23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23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23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23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23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23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23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23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23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23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23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23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23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23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23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23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23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23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23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23</v>
      </c>
      <c r="D162" s="5"/>
      <c r="E162" s="5"/>
      <c r="F162" s="5"/>
      <c r="G162" s="5"/>
      <c r="H162" s="5"/>
      <c r="I162" s="5"/>
      <c r="J162" s="3" t="str">
        <f t="shared" ref="J162:J193" si="5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23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23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23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23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23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23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23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23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23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23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23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23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23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23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23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23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23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23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23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23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23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23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23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23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23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23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23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23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23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23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23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23</v>
      </c>
      <c r="D194" s="5"/>
      <c r="E194" s="5"/>
      <c r="F194" s="5"/>
      <c r="G194" s="5"/>
      <c r="H194" s="5"/>
      <c r="I194" s="5"/>
      <c r="J194" s="3" t="str">
        <f t="shared" ref="J194:J201" si="6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23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23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23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23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23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23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23</v>
      </c>
      <c r="D201" s="73"/>
      <c r="E201" s="73"/>
      <c r="F201" s="73"/>
      <c r="G201" s="73"/>
      <c r="H201" s="73"/>
      <c r="I201" s="73"/>
      <c r="J201" s="3" t="str">
        <f t="shared" si="6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4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2" t="s">
        <v>30</v>
      </c>
      <c r="B1" s="112"/>
      <c r="D1" s="1" t="s">
        <v>31</v>
      </c>
      <c r="E1" s="94" t="s">
        <v>1</v>
      </c>
      <c r="F1" s="94" t="str">
        <f>IF(Present_Effect_size_measure&lt;&gt;"",Present_Effect_size_measure,"")</f>
        <v>Odds Ratio</v>
      </c>
      <c r="G1" s="94" t="s">
        <v>32</v>
      </c>
      <c r="H1" s="94" t="s">
        <v>33</v>
      </c>
      <c r="I1" s="94" t="s">
        <v>34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35</v>
      </c>
      <c r="B2" s="5" t="s">
        <v>36</v>
      </c>
      <c r="D2" s="47">
        <v>1</v>
      </c>
      <c r="E2" s="95" t="str">
        <f>IF(Number&lt;=COUNT(Entry_number),INDEX(Lookup_table,MATCH(Number,Calculations!AK:AK,0),3),"")</f>
        <v>Hazarika et al. (A)</v>
      </c>
      <c r="F2" s="96">
        <f>IF(Ranked_number&lt;=COUNT(Entry_number),INDEX(Lookup_table,MATCH(Number,Calculations!AK:AK,0),5),"")</f>
        <v>0.91448434886983176</v>
      </c>
      <c r="G2" s="96">
        <f>IF(Ranked_number&lt;=COUNT(Entry_number),INDEX(Lookup_table,MATCH(Number,Calculations!AK:AK,0),9),"")</f>
        <v>0.65364230521356326</v>
      </c>
      <c r="H2" s="96">
        <f>IF(Ranked_number&lt;=COUNT(Entry_number),INDEX(Lookup_table,MATCH(Number,Calculations!AK:AK,0),10),"")</f>
        <v>1.2794178370303673</v>
      </c>
      <c r="I2" s="97">
        <f>IF(D2&lt;=COUNT(Entry_number),INDEX(Lookup_table,MATCH(Number,Calculations!AK:AK,0),11),"")</f>
        <v>0.32258517046400015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37</v>
      </c>
      <c r="M2" s="125" t="s">
        <v>38</v>
      </c>
      <c r="O2" s="126" t="s">
        <v>39</v>
      </c>
    </row>
    <row r="3" spans="1:15">
      <c r="A3" s="3" t="s">
        <v>40</v>
      </c>
      <c r="B3" s="29">
        <v>0.95</v>
      </c>
      <c r="D3" s="48">
        <v>2</v>
      </c>
      <c r="E3" s="95" t="str">
        <f>IF(Number&lt;=COUNT(Entry_number),INDEX(Lookup_table,MATCH(Number,Calculations!AK:AK,0),3),"")</f>
        <v>Quan et al.</v>
      </c>
      <c r="F3" s="96">
        <f>IF(Ranked_number&lt;=COUNT(Entry_number),INDEX(Lookup_table,MATCH(Number,Calculations!AK:AK,0),5),"")</f>
        <v>0.93156775834039651</v>
      </c>
      <c r="G3" s="96">
        <f>IF(Ranked_number&lt;=COUNT(Entry_number),INDEX(Lookup_table,MATCH(Number,Calculations!AK:AK,0),9),"")</f>
        <v>0.6694943358611587</v>
      </c>
      <c r="H3" s="96">
        <f>IF(Ranked_number&lt;=COUNT(Entry_number),INDEX(Lookup_table,MATCH(Number,Calculations!AK:AK,0),10),"")</f>
        <v>1.2962297690884748</v>
      </c>
      <c r="I3" s="97">
        <f>IF(D3&lt;=COUNT(Entry_number),INDEX(Lookup_table,MATCH(Number,Calculations!AK:AK,0),11),"")</f>
        <v>0.33366145532447161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5"/>
      <c r="O3" s="126"/>
    </row>
    <row r="4" spans="1:15">
      <c r="D4" s="48">
        <v>3</v>
      </c>
      <c r="E4" s="95" t="str">
        <f>IF(Number&lt;=COUNT(Entry_number),INDEX(Lookup_table,MATCH(Number,Calculations!AK:AK,0),3),"")</f>
        <v>Quan et al.</v>
      </c>
      <c r="F4" s="96">
        <f>IF(Ranked_number&lt;=COUNT(Entry_number),INDEX(Lookup_table,MATCH(Number,Calculations!AK:AK,0),5),"")</f>
        <v>0.94642954261162782</v>
      </c>
      <c r="G4" s="96">
        <f>IF(Ranked_number&lt;=COUNT(Entry_number),INDEX(Lookup_table,MATCH(Number,Calculations!AK:AK,0),9),"")</f>
        <v>0.68350610128492861</v>
      </c>
      <c r="H4" s="96">
        <f>IF(Ranked_number&lt;=COUNT(Entry_number),INDEX(Lookup_table,MATCH(Number,Calculations!AK:AK,0),10),"")</f>
        <v>1.310491416893232</v>
      </c>
      <c r="I4" s="97">
        <f>IF(D4&lt;=COUNT(Entry_number),INDEX(Lookup_table,MATCH(Number,Calculations!AK:AK,0),11),"")</f>
        <v>0.34375337421152818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41</v>
      </c>
      <c r="M4" s="125"/>
      <c r="O4" s="126"/>
    </row>
    <row r="5" spans="1:15">
      <c r="A5" s="112" t="s">
        <v>42</v>
      </c>
      <c r="B5" s="112"/>
      <c r="D5" s="48">
        <v>4</v>
      </c>
      <c r="E5" s="95" t="str">
        <f>IF(Number&lt;=COUNT(Entry_number),INDEX(Lookup_table,MATCH(Number,Calculations!AK:AK,0),3),"")</f>
        <v/>
      </c>
      <c r="F5" s="96" t="str">
        <f>IF(Ranked_number&lt;=COUNT(Entry_number),INDEX(Lookup_table,MATCH(Number,Calculations!AK:AK,0),5),"")</f>
        <v/>
      </c>
      <c r="G5" s="96" t="str">
        <f>IF(Ranked_number&lt;=COUNT(Entry_number),INDEX(Lookup_table,MATCH(Number,Calculations!AK:AK,0),9),"")</f>
        <v/>
      </c>
      <c r="H5" s="96" t="str">
        <f>IF(Ranked_number&lt;=COUNT(Entry_number),INDEX(Lookup_table,MATCH(Number,Calculations!AK:AK,0),10),"")</f>
        <v/>
      </c>
      <c r="I5" s="97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5"/>
      <c r="O5" s="126"/>
    </row>
    <row r="6" spans="1:15">
      <c r="A6" s="3" t="s">
        <v>43</v>
      </c>
      <c r="B6" s="5" t="s">
        <v>44</v>
      </c>
      <c r="D6" s="48">
        <v>5</v>
      </c>
      <c r="E6" s="95" t="str">
        <f>IF(Number&lt;=COUNT(Entry_number),INDEX(Lookup_table,MATCH(Number,Calculations!AK:AK,0),3),"")</f>
        <v/>
      </c>
      <c r="F6" s="96" t="str">
        <f>IF(Ranked_number&lt;=COUNT(Entry_number),INDEX(Lookup_table,MATCH(Number,Calculations!AK:AK,0),5),"")</f>
        <v/>
      </c>
      <c r="G6" s="96" t="str">
        <f>IF(Ranked_number&lt;=COUNT(Entry_number),INDEX(Lookup_table,MATCH(Number,Calculations!AK:AK,0),9),"")</f>
        <v/>
      </c>
      <c r="H6" s="96" t="str">
        <f>IF(Ranked_number&lt;=COUNT(Entry_number),INDEX(Lookup_table,MATCH(Number,Calculations!AK:AK,0),10),"")</f>
        <v/>
      </c>
      <c r="I6" s="97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45</v>
      </c>
      <c r="M6" s="125"/>
      <c r="O6" s="126"/>
    </row>
    <row r="7" spans="1:15">
      <c r="A7" s="3" t="s">
        <v>46</v>
      </c>
      <c r="B7" s="5" t="s">
        <v>47</v>
      </c>
      <c r="D7" s="48">
        <v>6</v>
      </c>
      <c r="E7" s="95" t="str">
        <f>IF(Number&lt;=COUNT(Entry_number),INDEX(Lookup_table,MATCH(Number,Calculations!AK:AK,0),3),"")</f>
        <v/>
      </c>
      <c r="F7" s="96" t="str">
        <f>IF(Ranked_number&lt;=COUNT(Entry_number),INDEX(Lookup_table,MATCH(Number,Calculations!AK:AK,0),5),"")</f>
        <v/>
      </c>
      <c r="G7" s="96" t="str">
        <f>IF(Ranked_number&lt;=COUNT(Entry_number),INDEX(Lookup_table,MATCH(Number,Calculations!AK:AK,0),9),"")</f>
        <v/>
      </c>
      <c r="H7" s="96" t="str">
        <f>IF(Ranked_number&lt;=COUNT(Entry_number),INDEX(Lookup_table,MATCH(Number,Calculations!AK:AK,0),10),"")</f>
        <v/>
      </c>
      <c r="I7" s="97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48</v>
      </c>
      <c r="M7" s="125"/>
      <c r="O7" s="126"/>
    </row>
    <row r="8" spans="1:15">
      <c r="A8" s="3" t="s">
        <v>49</v>
      </c>
      <c r="B8" s="5" t="s">
        <v>47</v>
      </c>
      <c r="D8" s="48">
        <v>7</v>
      </c>
      <c r="E8" s="95" t="str">
        <f>IF(Number&lt;=COUNT(Entry_number),INDEX(Lookup_table,MATCH(Number,Calculations!AK:AK,0),3),"")</f>
        <v/>
      </c>
      <c r="F8" s="96" t="str">
        <f>IF(Ranked_number&lt;=COUNT(Entry_number),INDEX(Lookup_table,MATCH(Number,Calculations!AK:AK,0),5),"")</f>
        <v/>
      </c>
      <c r="G8" s="96" t="str">
        <f>IF(Ranked_number&lt;=COUNT(Entry_number),INDEX(Lookup_table,MATCH(Number,Calculations!AK:AK,0),9),"")</f>
        <v/>
      </c>
      <c r="H8" s="96" t="str">
        <f>IF(Ranked_number&lt;=COUNT(Entry_number),INDEX(Lookup_table,MATCH(Number,Calculations!AK:AK,0),10),"")</f>
        <v/>
      </c>
      <c r="I8" s="97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5"/>
      <c r="O8" s="126"/>
    </row>
    <row r="9" spans="1:15">
      <c r="A9" s="3" t="s">
        <v>50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/>
      </c>
      <c r="F9" s="96" t="str">
        <f>IF(Ranked_number&lt;=COUNT(Entry_number),INDEX(Lookup_table,MATCH(Number,Calculations!AK:AK,0),5),"")</f>
        <v/>
      </c>
      <c r="G9" s="96" t="str">
        <f>IF(Ranked_number&lt;=COUNT(Entry_number),INDEX(Lookup_table,MATCH(Number,Calculations!AK:AK,0),9),"")</f>
        <v/>
      </c>
      <c r="H9" s="96" t="str">
        <f>IF(Ranked_number&lt;=COUNT(Entry_number),INDEX(Lookup_table,MATCH(Number,Calculations!AK:AK,0),10),"")</f>
        <v/>
      </c>
      <c r="I9" s="97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5"/>
      <c r="O9" s="126"/>
    </row>
    <row r="10" spans="1:15">
      <c r="D10" s="48">
        <v>9</v>
      </c>
      <c r="E10" s="95" t="str">
        <f>IF(Number&lt;=COUNT(Entry_number),INDEX(Lookup_table,MATCH(Number,Calculations!AK:AK,0),3),"")</f>
        <v/>
      </c>
      <c r="F10" s="96" t="str">
        <f>IF(Ranked_number&lt;=COUNT(Entry_number),INDEX(Lookup_table,MATCH(Number,Calculations!AK:AK,0),5),"")</f>
        <v/>
      </c>
      <c r="G10" s="96" t="str">
        <f>IF(Ranked_number&lt;=COUNT(Entry_number),INDEX(Lookup_table,MATCH(Number,Calculations!AK:AK,0),9),"")</f>
        <v/>
      </c>
      <c r="H10" s="96" t="str">
        <f>IF(Ranked_number&lt;=COUNT(Entry_number),INDEX(Lookup_table,MATCH(Number,Calculations!AK:AK,0),10),"")</f>
        <v/>
      </c>
      <c r="I10" s="97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5"/>
      <c r="O10" s="126"/>
    </row>
    <row r="11" spans="1:15">
      <c r="A11" s="112" t="s">
        <v>51</v>
      </c>
      <c r="B11" s="112"/>
      <c r="D11" s="48">
        <v>10</v>
      </c>
      <c r="E11" s="95" t="str">
        <f>IF(Number&lt;=COUNT(Entry_number),INDEX(Lookup_table,MATCH(Number,Calculations!AK:AK,0),3),"")</f>
        <v/>
      </c>
      <c r="F11" s="96" t="str">
        <f>IF(Ranked_number&lt;=COUNT(Entry_number),INDEX(Lookup_table,MATCH(Number,Calculations!AK:AK,0),5),"")</f>
        <v/>
      </c>
      <c r="G11" s="96" t="str">
        <f>IF(Ranked_number&lt;=COUNT(Entry_number),INDEX(Lookup_table,MATCH(Number,Calculations!AK:AK,0),9),"")</f>
        <v/>
      </c>
      <c r="H11" s="96" t="str">
        <f>IF(Ranked_number&lt;=COUNT(Entry_number),INDEX(Lookup_table,MATCH(Number,Calculations!AK:AK,0),10),"")</f>
        <v/>
      </c>
      <c r="I11" s="97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5"/>
      <c r="O11" s="126"/>
    </row>
    <row r="12" spans="1:15">
      <c r="A12" s="3" t="s">
        <v>52</v>
      </c>
      <c r="B12" s="5" t="s">
        <v>37</v>
      </c>
      <c r="D12" s="48">
        <v>11</v>
      </c>
      <c r="E12" s="95" t="str">
        <f>IF(Number&lt;=COUNT(Entry_number),INDEX(Lookup_table,MATCH(Number,Calculations!AK:AK,0),3),"")</f>
        <v/>
      </c>
      <c r="F12" s="96" t="str">
        <f>IF(Ranked_number&lt;=COUNT(Entry_number),INDEX(Lookup_table,MATCH(Number,Calculations!AK:AK,0),5),"")</f>
        <v/>
      </c>
      <c r="G12" s="96" t="str">
        <f>IF(Ranked_number&lt;=COUNT(Entry_number),INDEX(Lookup_table,MATCH(Number,Calculations!AK:AK,0),9),"")</f>
        <v/>
      </c>
      <c r="H12" s="96" t="str">
        <f>IF(Ranked_number&lt;=COUNT(Entry_number),INDEX(Lookup_table,MATCH(Number,Calculations!AK:AK,0),10),"")</f>
        <v/>
      </c>
      <c r="I12" s="97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5"/>
      <c r="O12" s="126"/>
    </row>
    <row r="13" spans="1:15">
      <c r="A13" s="3" t="s">
        <v>53</v>
      </c>
      <c r="B13" s="5" t="s">
        <v>54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5"/>
      <c r="O13" s="126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5"/>
      <c r="O14" s="126"/>
    </row>
    <row r="15" spans="1:15">
      <c r="A15" s="112" t="s">
        <v>55</v>
      </c>
      <c r="B15" s="11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5"/>
      <c r="O15" s="126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0.9310743433617068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5"/>
      <c r="O16" s="126"/>
    </row>
    <row r="17" spans="1:15">
      <c r="A17" s="3" t="s">
        <v>32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0.89221576236719413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5"/>
      <c r="O17" s="126"/>
    </row>
    <row r="18" spans="1:15">
      <c r="A18" s="3" t="s">
        <v>33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0.97162532812288338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5"/>
      <c r="O18" s="126"/>
    </row>
    <row r="19" spans="1:15">
      <c r="A19" s="3" t="s">
        <v>56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0.89221576236719413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5"/>
      <c r="O19" s="126"/>
    </row>
    <row r="20" spans="1:15">
      <c r="A20" s="3" t="s">
        <v>57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0.97162532812288338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5"/>
      <c r="O20" s="126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5"/>
      <c r="O21" s="126"/>
    </row>
    <row r="22" spans="1:15">
      <c r="A22" s="3" t="s">
        <v>58</v>
      </c>
      <c r="B22" s="4">
        <f>IF(B16&lt;&gt;"",IF(Weighting_method="Inverse variance",Z_value,IF(Weighting_method="Mantel-Haenszel",Z_value_MH,IF(Weighting_method="Peto",Z_value_Peto,""))),"")</f>
        <v>-7.2078512277289724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5"/>
      <c r="O22" s="126"/>
    </row>
    <row r="23" spans="1:15">
      <c r="A23" s="3" t="s">
        <v>59</v>
      </c>
      <c r="B23" s="26">
        <f>IF(Valid_options="Yes",IF(B22&lt;&gt;"",1-NORMSDIST(ABS(B22)),""),"")</f>
        <v>2.8421709430404007E-13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5"/>
      <c r="O23" s="126"/>
    </row>
    <row r="24" spans="1:15">
      <c r="A24" s="3" t="s">
        <v>60</v>
      </c>
      <c r="B24" s="26">
        <f>IF(Valid_options="Yes",IF(B22&lt;&gt;"",2*(1-NORMSDIST(ABS(B22))),""),"")</f>
        <v>5.6843418860808015E-13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5"/>
      <c r="O24" s="126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5"/>
      <c r="O25" s="126"/>
    </row>
    <row r="26" spans="1:15" ht="12" customHeight="1">
      <c r="A26" s="3" t="s">
        <v>61</v>
      </c>
      <c r="B26" s="7">
        <f>SUMIF(Sufficient_data,"Yes",Number_of_subjects)</f>
        <v>14936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5"/>
      <c r="O26" s="126"/>
    </row>
    <row r="27" spans="1:15">
      <c r="A27" s="3" t="s">
        <v>62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5"/>
      <c r="O27" s="126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5"/>
      <c r="O28" s="126"/>
    </row>
    <row r="29" spans="1:15">
      <c r="A29" s="112" t="s">
        <v>63</v>
      </c>
      <c r="B29" s="11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5"/>
      <c r="O29" s="126"/>
    </row>
    <row r="30" spans="1:15">
      <c r="A30" s="3" t="s">
        <v>64</v>
      </c>
      <c r="B30" s="4">
        <f>IF(Valid_options="Yes",IF(Weighting_method="Inverse variance",Q_,IF(Weighting_method="Mantel-Haenszel",Q_MH,IF(Weighting_method="Peto",Q_Peto,""))),NA())</f>
        <v>2.0739441904466416E-2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5"/>
      <c r="O30" s="126"/>
    </row>
    <row r="31" spans="1:15" ht="12.95">
      <c r="A31" s="3" t="s">
        <v>65</v>
      </c>
      <c r="B31" s="26">
        <f>IF(Valid_options="Yes",IF(B30&lt;&gt;"",CHIDIST(B30,k_-1),""),"")</f>
        <v>0.98968385924026681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5"/>
      <c r="O31" s="126"/>
    </row>
    <row r="32" spans="1:15" ht="13.5">
      <c r="A32" s="3" t="s">
        <v>66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5"/>
      <c r="O32" s="126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5"/>
      <c r="O33" s="126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5"/>
      <c r="O34" s="126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5"/>
      <c r="O35" s="126"/>
    </row>
    <row r="36" spans="1:15">
      <c r="A36" s="112" t="s">
        <v>67</v>
      </c>
      <c r="B36" s="11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5"/>
      <c r="O36" s="126"/>
    </row>
    <row r="37" spans="1:15">
      <c r="A37" s="114" t="s">
        <v>44</v>
      </c>
      <c r="B37" s="114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5"/>
      <c r="O37" s="126"/>
    </row>
    <row r="38" spans="1:15">
      <c r="A38" s="115" t="s">
        <v>68</v>
      </c>
      <c r="B38" s="11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5"/>
      <c r="O38" s="126"/>
    </row>
    <row r="39" spans="1:15">
      <c r="A39" s="115" t="s">
        <v>69</v>
      </c>
      <c r="B39" s="11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5"/>
      <c r="O39" s="126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5"/>
      <c r="O40" s="126"/>
    </row>
    <row r="41" spans="1:15">
      <c r="A41" s="112" t="s">
        <v>70</v>
      </c>
      <c r="B41" s="11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5"/>
      <c r="O41" s="126"/>
    </row>
    <row r="42" spans="1:15">
      <c r="A42" s="114" t="str">
        <f>IF(Weighting_method="Peto","Peto Odds Ratio","Odds Ratio")</f>
        <v>Odds Ratio</v>
      </c>
      <c r="B42" s="114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5"/>
      <c r="O42" s="126"/>
    </row>
    <row r="43" spans="1:15">
      <c r="A43" s="115" t="str">
        <f>IF(Weighting_method="Inverse variance","Risk Ratio","")</f>
        <v>Risk Ratio</v>
      </c>
      <c r="B43" s="11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5"/>
      <c r="O43" s="126"/>
    </row>
    <row r="44" spans="1:15">
      <c r="A44" s="115" t="str">
        <f>IF(Weighting_method="Inverse variance","Risk Difference","")</f>
        <v>Risk Difference</v>
      </c>
      <c r="B44" s="11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5"/>
      <c r="O44" s="126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5"/>
      <c r="O45" s="126"/>
    </row>
    <row r="46" spans="1:15">
      <c r="A46" s="112" t="s">
        <v>71</v>
      </c>
      <c r="B46" s="11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5"/>
      <c r="O46" s="126"/>
    </row>
    <row r="47" spans="1:15">
      <c r="A47" s="114" t="str">
        <f>IF(Model_effect_size_measure&lt;&gt;"",Model_effect_size_measure,"")</f>
        <v>Odds Ratio</v>
      </c>
      <c r="B47" s="114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5"/>
      <c r="O47" s="126"/>
    </row>
    <row r="48" spans="1:15">
      <c r="A48" s="115" t="str">
        <f>IF(OR(Model_effect_size_measure="Odds Ratio",Model_effect_size_measure="Peto Odds Ratio"),"Risk Ratio",IF(Model_effect_size_measure="Risk Ratio","Risk Difference",""))</f>
        <v>Risk Ratio</v>
      </c>
      <c r="B48" s="11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5"/>
      <c r="O48" s="126"/>
    </row>
    <row r="49" spans="1:15">
      <c r="A49" s="115" t="str">
        <f>IF(OR(Model_effect_size_measure="Odds Ratio",Model_effect_size_measure="Peto Odds Ratio"),"Risk Difference","")</f>
        <v>Risk Difference</v>
      </c>
      <c r="B49" s="11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5"/>
      <c r="O49" s="126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5"/>
      <c r="O50" s="126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5"/>
      <c r="O51" s="126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5"/>
      <c r="O52" s="126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5"/>
      <c r="O53" s="126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5"/>
      <c r="O54" s="126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5"/>
      <c r="O55" s="126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5"/>
      <c r="O56" s="126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5"/>
      <c r="O57" s="126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5"/>
      <c r="O58" s="126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5"/>
      <c r="O59" s="126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5"/>
      <c r="O60" s="126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5"/>
      <c r="O61" s="126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5"/>
      <c r="O62" s="126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5"/>
      <c r="O63" s="126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5"/>
      <c r="O64" s="126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5"/>
      <c r="O65" s="126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5"/>
      <c r="O66" s="126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5"/>
      <c r="O67" s="126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5"/>
      <c r="O68" s="126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5"/>
      <c r="O69" s="126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5"/>
      <c r="O70" s="126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5"/>
      <c r="O71" s="126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5"/>
      <c r="O72" s="126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5"/>
      <c r="O73" s="126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5"/>
      <c r="O74" s="126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5"/>
      <c r="O75" s="126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5"/>
      <c r="O76" s="126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5"/>
      <c r="O77" s="126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5"/>
      <c r="O78" s="126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5"/>
      <c r="O79" s="126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5"/>
      <c r="O80" s="126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5"/>
      <c r="O81" s="126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5"/>
      <c r="O82" s="126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5"/>
      <c r="O83" s="126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5"/>
      <c r="O84" s="126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5"/>
      <c r="O85" s="126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5"/>
      <c r="O86" s="126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5"/>
      <c r="O87" s="126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5"/>
      <c r="O88" s="126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5"/>
      <c r="O89" s="126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5"/>
      <c r="O90" s="126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5"/>
      <c r="O91" s="126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5"/>
      <c r="O92" s="126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5"/>
      <c r="O93" s="126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5"/>
      <c r="O94" s="126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5"/>
      <c r="O95" s="126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5"/>
      <c r="O96" s="126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5"/>
      <c r="O97" s="126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5"/>
      <c r="O98" s="126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5"/>
      <c r="O99" s="126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5"/>
      <c r="O100" s="126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5"/>
      <c r="O101" s="126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5"/>
      <c r="O102" s="126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5"/>
      <c r="O103" s="126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5"/>
      <c r="O104" s="126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5"/>
      <c r="O105" s="126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5"/>
      <c r="O106" s="126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5"/>
      <c r="O107" s="126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5"/>
      <c r="O108" s="126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5"/>
      <c r="O109" s="126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5"/>
      <c r="O110" s="126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5"/>
      <c r="O111" s="126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5"/>
      <c r="O112" s="126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5"/>
      <c r="O113" s="126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5"/>
      <c r="O114" s="126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5"/>
      <c r="O115" s="126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5"/>
      <c r="O116" s="126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5"/>
      <c r="O117" s="126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5"/>
      <c r="O118" s="126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5"/>
      <c r="O119" s="126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5"/>
      <c r="O120" s="126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5"/>
      <c r="O121" s="126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5"/>
      <c r="O122" s="126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5"/>
      <c r="O123" s="126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5"/>
      <c r="O124" s="126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5"/>
      <c r="O125" s="126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5"/>
      <c r="O126" s="126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5"/>
      <c r="O127" s="126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5"/>
      <c r="O128" s="126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5"/>
      <c r="O129" s="126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5"/>
      <c r="O130" s="126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5"/>
      <c r="O131" s="126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5"/>
      <c r="O132" s="126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5"/>
      <c r="O133" s="126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5"/>
      <c r="O134" s="126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5"/>
      <c r="O135" s="126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5"/>
      <c r="O136" s="126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5"/>
      <c r="O137" s="126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5"/>
      <c r="O138" s="126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5"/>
      <c r="O139" s="126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5"/>
      <c r="O140" s="126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5"/>
      <c r="O141" s="126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5"/>
      <c r="O142" s="126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5"/>
      <c r="O143" s="126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5"/>
      <c r="O144" s="126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5"/>
      <c r="O145" s="126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5"/>
      <c r="O146" s="126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5"/>
      <c r="O147" s="126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5"/>
      <c r="O148" s="126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5"/>
      <c r="O149" s="126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5"/>
      <c r="O150" s="126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5"/>
      <c r="O151" s="126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5"/>
      <c r="O152" s="126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5"/>
      <c r="O153" s="126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5"/>
      <c r="O154" s="126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5"/>
      <c r="O155" s="126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5"/>
      <c r="O156" s="126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5"/>
      <c r="O157" s="126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5"/>
      <c r="O158" s="126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5"/>
      <c r="O159" s="126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5"/>
      <c r="O160" s="126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5"/>
      <c r="O161" s="126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5"/>
      <c r="O162" s="126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5"/>
      <c r="O163" s="126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5"/>
      <c r="O164" s="126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5"/>
      <c r="O165" s="126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5"/>
      <c r="O166" s="126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5"/>
      <c r="O167" s="126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5"/>
      <c r="O168" s="126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5"/>
      <c r="O169" s="126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5"/>
      <c r="O170" s="126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5"/>
      <c r="O171" s="126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5"/>
      <c r="O172" s="126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5"/>
      <c r="O173" s="126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5"/>
      <c r="O174" s="126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5"/>
      <c r="O175" s="126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5"/>
      <c r="O176" s="126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5"/>
      <c r="O177" s="126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5"/>
      <c r="O178" s="126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5"/>
      <c r="O179" s="126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5"/>
      <c r="O180" s="126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5"/>
      <c r="O181" s="126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5"/>
      <c r="O182" s="126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5"/>
      <c r="O183" s="126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5"/>
      <c r="O184" s="126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5"/>
      <c r="O185" s="126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5"/>
      <c r="O186" s="126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5"/>
      <c r="O187" s="126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5"/>
      <c r="O188" s="126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5"/>
      <c r="O189" s="126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5"/>
      <c r="O190" s="126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5"/>
      <c r="O191" s="126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5"/>
      <c r="O192" s="126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5"/>
      <c r="O193" s="126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5"/>
      <c r="O194" s="126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5"/>
      <c r="O195" s="126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5"/>
      <c r="O196" s="126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5"/>
      <c r="O197" s="126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5"/>
      <c r="O198" s="126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5"/>
      <c r="O199" s="126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5"/>
      <c r="O200" s="126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5"/>
      <c r="O201" s="12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C1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2" t="s">
        <v>30</v>
      </c>
      <c r="B1" s="112"/>
      <c r="C1" s="112"/>
      <c r="D1" s="112"/>
      <c r="F1" s="1" t="s">
        <v>31</v>
      </c>
      <c r="G1" s="1" t="s">
        <v>72</v>
      </c>
      <c r="H1" s="1" t="str">
        <f>Subgroup_effect_size_measure</f>
        <v>Odds Ratio</v>
      </c>
      <c r="I1" s="1" t="s">
        <v>32</v>
      </c>
      <c r="J1" s="1" t="s">
        <v>33</v>
      </c>
      <c r="K1" s="1" t="s">
        <v>34</v>
      </c>
      <c r="L1" s="1" t="s">
        <v>64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56</v>
      </c>
      <c r="R1" s="1" t="s">
        <v>57</v>
      </c>
      <c r="S1" s="86"/>
      <c r="U1" s="85"/>
      <c r="W1" s="85"/>
      <c r="Y1" s="85"/>
      <c r="AA1" s="85"/>
    </row>
    <row r="2" spans="1:27">
      <c r="A2" s="3" t="s">
        <v>77</v>
      </c>
      <c r="B2" s="116" t="s">
        <v>78</v>
      </c>
      <c r="C2" s="116"/>
      <c r="D2" s="116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Chinese</v>
      </c>
      <c r="H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8" t="s">
        <v>79</v>
      </c>
      <c r="U2" s="126" t="s">
        <v>80</v>
      </c>
      <c r="W2" s="126" t="s">
        <v>81</v>
      </c>
      <c r="Y2" s="126" t="s">
        <v>82</v>
      </c>
      <c r="AA2" s="126" t="s">
        <v>83</v>
      </c>
    </row>
    <row r="3" spans="1:27">
      <c r="A3" s="3" t="s">
        <v>84</v>
      </c>
      <c r="B3" s="117" t="s">
        <v>47</v>
      </c>
      <c r="C3" s="117"/>
      <c r="D3" s="117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0.91448434886983176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0.65364230741158846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1.2794178327280252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0.32258517046400015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8"/>
      <c r="U3" s="126"/>
      <c r="W3" s="126"/>
      <c r="Y3" s="126"/>
      <c r="AA3" s="126"/>
    </row>
    <row r="4" spans="1:27" ht="11.25" customHeight="1">
      <c r="A4" s="3" t="s">
        <v>50</v>
      </c>
      <c r="B4" s="11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8"/>
      <c r="D4" s="118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0.33366145532447161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8"/>
      <c r="U4" s="126"/>
      <c r="W4" s="126"/>
      <c r="Y4" s="126"/>
      <c r="AA4" s="126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0.94642954261162782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0.68350617081049814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1.3104912835913454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0.34375337421152818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8"/>
      <c r="U5" s="126"/>
      <c r="W5" s="126"/>
      <c r="Y5" s="126"/>
      <c r="AA5" s="126"/>
    </row>
    <row r="6" spans="1:27">
      <c r="A6" s="3" t="s">
        <v>85</v>
      </c>
      <c r="B6" s="117" t="s">
        <v>86</v>
      </c>
      <c r="C6" s="117"/>
      <c r="D6" s="11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0.9310743433617068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0.9310743433617068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0.9310743433617068</v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>
        <f>IF(COUNTIF(Calculations!DP:DP,Subgroup_number)=1,INDEX(Calculations!DP:EU,MATCH(Subgroup_number,Calculations!DP:DP,0),5),IF(Subgroup_number=Calculations!EY$25,Calculations!EY$17,""))</f>
        <v>2.0739441904466416E-2</v>
      </c>
      <c r="M6" s="26">
        <f>IF(COUNTIF(Calculations!DP:DP,Subgroup_number)=1,INDEX(Calculations!DP:EU,MATCH(Subgroup_number,Calculations!DP:DP,0),6),IF(Subgroup_number=Calculations!EY$25,Calculations!EY$18,""))</f>
        <v>0.98968385924026681</v>
      </c>
      <c r="N6" s="8">
        <f>IF(COUNTIF(Calculations!DP:DP,Subgroup_number)=1,INDEX(Calculations!DP:EU,MATCH(Subgroup_number,Calculations!DP:DP,0),7),IF(Subgroup_number=Calculations!EY$25,Calculations!EY$19,""))</f>
        <v>0</v>
      </c>
      <c r="O6" s="4">
        <f>IF(COUNTIF(Calculations!DP:DP,Subgroup_number)=1,INDEX(Calculations!DP:EU,MATCH(Subgroup_number,Calculations!DP:DP,0),9),IF(Subgroup_number=Calculations!EY$25,Calculations!EY$20,""))</f>
        <v>0</v>
      </c>
      <c r="P6" s="4">
        <f>IF(COUNTIF(Calculations!DP:DP,Subgroup_number)=1,INDEX(Calculations!DP:EU,MATCH(Subgroup_number,Calculations!DP:DP,0),10),IF(Subgroup_number=Calculations!EY$25,Calculations!EY$21,""))</f>
        <v>0</v>
      </c>
      <c r="Q6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0.9310743433617068</v>
      </c>
      <c r="R6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0.9310743433617068</v>
      </c>
      <c r="S6" s="128"/>
      <c r="U6" s="126"/>
      <c r="W6" s="126"/>
      <c r="Y6" s="126"/>
      <c r="AA6" s="126"/>
    </row>
    <row r="7" spans="1:27">
      <c r="A7" s="3" t="s">
        <v>87</v>
      </c>
      <c r="B7" s="117" t="s">
        <v>88</v>
      </c>
      <c r="C7" s="117"/>
      <c r="D7" s="11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8"/>
      <c r="U7" s="126"/>
      <c r="W7" s="126"/>
      <c r="Y7" s="126"/>
      <c r="AA7" s="126"/>
    </row>
    <row r="8" spans="1:27">
      <c r="A8" s="3" t="s">
        <v>40</v>
      </c>
      <c r="B8" s="119">
        <v>0.95</v>
      </c>
      <c r="C8" s="119"/>
      <c r="D8" s="11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8"/>
      <c r="U8" s="126"/>
      <c r="W8" s="126"/>
      <c r="Y8" s="126"/>
      <c r="AA8" s="126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8"/>
      <c r="U9" s="126"/>
      <c r="W9" s="126"/>
      <c r="Y9" s="126"/>
      <c r="AA9" s="126"/>
    </row>
    <row r="10" spans="1:27">
      <c r="A10" s="112" t="s">
        <v>55</v>
      </c>
      <c r="B10" s="112"/>
      <c r="C10" s="112"/>
      <c r="D10" s="11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8"/>
      <c r="U10" s="126"/>
      <c r="W10" s="126"/>
      <c r="Y10" s="126"/>
      <c r="AA10" s="126"/>
    </row>
    <row r="11" spans="1:27">
      <c r="A11" s="3" t="str">
        <f>Subgroup_effect_size_measure</f>
        <v>Odds Ratio</v>
      </c>
      <c r="B11" s="129">
        <f>Calculations!EY9</f>
        <v>0.9310743433617068</v>
      </c>
      <c r="C11" s="129"/>
      <c r="D11" s="129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8"/>
      <c r="U11" s="126"/>
      <c r="W11" s="126"/>
      <c r="Y11" s="126"/>
      <c r="AA11" s="126"/>
    </row>
    <row r="12" spans="1:27">
      <c r="A12" s="3" t="s">
        <v>32</v>
      </c>
      <c r="B12" s="130">
        <f>Calculations!EY11</f>
        <v>0.9310743433617068</v>
      </c>
      <c r="C12" s="130"/>
      <c r="D12" s="130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8"/>
      <c r="U12" s="126"/>
      <c r="W12" s="126"/>
      <c r="Y12" s="126"/>
      <c r="AA12" s="126"/>
    </row>
    <row r="13" spans="1:27">
      <c r="A13" s="3" t="s">
        <v>33</v>
      </c>
      <c r="B13" s="130">
        <f>Calculations!EY12</f>
        <v>0.9310743433617068</v>
      </c>
      <c r="C13" s="130"/>
      <c r="D13" s="130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8"/>
      <c r="U13" s="126"/>
      <c r="W13" s="126"/>
      <c r="Y13" s="126"/>
      <c r="AA13" s="126"/>
    </row>
    <row r="14" spans="1:27">
      <c r="A14" s="3" t="s">
        <v>56</v>
      </c>
      <c r="B14" s="130">
        <f>Calculations!EY13</f>
        <v>0.9310743433617068</v>
      </c>
      <c r="C14" s="130"/>
      <c r="D14" s="130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8"/>
      <c r="U14" s="126"/>
      <c r="W14" s="126"/>
      <c r="Y14" s="126"/>
      <c r="AA14" s="126"/>
    </row>
    <row r="15" spans="1:27">
      <c r="A15" s="3" t="s">
        <v>57</v>
      </c>
      <c r="B15" s="130">
        <f>Calculations!EY14</f>
        <v>0.9310743433617068</v>
      </c>
      <c r="C15" s="130"/>
      <c r="D15" s="130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8"/>
      <c r="U15" s="126"/>
      <c r="W15" s="126"/>
      <c r="Y15" s="126"/>
      <c r="AA15" s="126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8"/>
      <c r="U16" s="126"/>
      <c r="W16" s="126"/>
      <c r="Y16" s="126"/>
      <c r="AA16" s="126"/>
    </row>
    <row r="17" spans="1:27">
      <c r="A17" s="3" t="s">
        <v>61</v>
      </c>
      <c r="B17" s="131">
        <f>SUMIF(Sufficient_data,"Yes",Number_of_subjects)</f>
        <v>14936</v>
      </c>
      <c r="C17" s="131"/>
      <c r="D17" s="131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8"/>
      <c r="U17" s="126"/>
      <c r="W17" s="126"/>
      <c r="Y17" s="126"/>
      <c r="AA17" s="126"/>
    </row>
    <row r="18" spans="1:27">
      <c r="A18" s="3" t="s">
        <v>62</v>
      </c>
      <c r="B18" s="131">
        <f>COUNT(Subgroup_weightf)</f>
        <v>3</v>
      </c>
      <c r="C18" s="131"/>
      <c r="D18" s="131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8"/>
      <c r="U18" s="126"/>
      <c r="W18" s="126"/>
      <c r="Y18" s="126"/>
      <c r="AA18" s="126"/>
    </row>
    <row r="19" spans="1:27">
      <c r="A19" s="3" t="s">
        <v>89</v>
      </c>
      <c r="B19" s="131">
        <f>COUNT(Calculations!DZ:DZ)</f>
        <v>2</v>
      </c>
      <c r="C19" s="131"/>
      <c r="D19" s="131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8"/>
      <c r="U19" s="126"/>
      <c r="W19" s="126"/>
      <c r="Y19" s="126"/>
      <c r="AA19" s="126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8"/>
      <c r="U20" s="126"/>
      <c r="W20" s="126"/>
      <c r="Y20" s="126"/>
      <c r="AA20" s="126"/>
    </row>
    <row r="21" spans="1:27">
      <c r="A21" s="1" t="s">
        <v>90</v>
      </c>
      <c r="B21" s="1" t="str">
        <f>IF(Within_subgroup_weighting=Calculations!EX42,"Sum of squares (Q)","Sum of squares (Q*)")</f>
        <v>Sum of squares (Q*)</v>
      </c>
      <c r="C21" s="1" t="s">
        <v>91</v>
      </c>
      <c r="D21" s="1" t="s">
        <v>92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8"/>
      <c r="U21" s="126"/>
      <c r="W21" s="126"/>
      <c r="Y21" s="126"/>
      <c r="AA21" s="126"/>
    </row>
    <row r="22" spans="1:27">
      <c r="A22" s="3" t="s">
        <v>93</v>
      </c>
      <c r="B22" s="4">
        <f>B24-B23</f>
        <v>-2.0739441904466416E-2</v>
      </c>
      <c r="C22" s="7">
        <f>Number_of_subgroups-1</f>
        <v>1</v>
      </c>
      <c r="D22" s="26" t="e">
        <f>CHIDIST(B22,C22)</f>
        <v>#NUM!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8"/>
      <c r="U22" s="126"/>
      <c r="W22" s="126"/>
      <c r="Y22" s="126"/>
      <c r="AA22" s="126"/>
    </row>
    <row r="23" spans="1:27">
      <c r="A23" s="3" t="s">
        <v>94</v>
      </c>
      <c r="B23" s="4">
        <f>SUM(Calculations!EP:EP)</f>
        <v>4.1478883808932832E-2</v>
      </c>
      <c r="C23" s="7">
        <f>Subgroup_k-Number_of_subgroups</f>
        <v>1</v>
      </c>
      <c r="D23" s="26">
        <f>CHIDIST(B23,C23)</f>
        <v>0.83861634704609711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8"/>
      <c r="U23" s="126"/>
      <c r="W23" s="126"/>
      <c r="Y23" s="126"/>
      <c r="AA23" s="126"/>
    </row>
    <row r="24" spans="1:27">
      <c r="A24" s="3" t="s">
        <v>16</v>
      </c>
      <c r="B24" s="4">
        <f>SUMPRODUCT(Calculations!DE:DE,Subgroup_effect_size,Subgroup_effect_size)-SUMPRODUCT(Calculations!DE:DE,Subgroup_effect_size)^2/SUM(Calculations!DE:DE)</f>
        <v>2.0739441904466416E-2</v>
      </c>
      <c r="C24" s="7">
        <f>Subgroup_k-1</f>
        <v>2</v>
      </c>
      <c r="D24" s="26">
        <f t="shared" ref="D24" si="0">CHIDIST(B24,C24)</f>
        <v>0.98968385924026681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8"/>
      <c r="U24" s="126"/>
      <c r="W24" s="126"/>
      <c r="Y24" s="126"/>
      <c r="AA24" s="126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8"/>
      <c r="U25" s="126"/>
      <c r="W25" s="126"/>
      <c r="Y25" s="126"/>
      <c r="AA25" s="126"/>
    </row>
    <row r="26" spans="1:27" ht="13.5">
      <c r="A26" s="3" t="s">
        <v>95</v>
      </c>
      <c r="B26" s="8">
        <f>B22/B24</f>
        <v>-1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8"/>
      <c r="U26" s="126"/>
      <c r="W26" s="126"/>
      <c r="Y26" s="126"/>
      <c r="AA26" s="126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8"/>
      <c r="U27" s="126"/>
      <c r="W27" s="126"/>
      <c r="Y27" s="126"/>
      <c r="AA27" s="126"/>
    </row>
    <row r="28" spans="1:27">
      <c r="A28" s="112" t="s">
        <v>67</v>
      </c>
      <c r="B28" s="112"/>
      <c r="C28" s="112"/>
      <c r="D28" s="11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8"/>
      <c r="U28" s="126"/>
      <c r="W28" s="126"/>
      <c r="Y28" s="126"/>
      <c r="AA28" s="126"/>
    </row>
    <row r="29" spans="1:27">
      <c r="A29" s="114" t="s">
        <v>78</v>
      </c>
      <c r="B29" s="114"/>
      <c r="C29" s="114"/>
      <c r="D29" s="114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8"/>
      <c r="U29" s="126"/>
      <c r="W29" s="126"/>
      <c r="Y29" s="126"/>
      <c r="AA29" s="126"/>
    </row>
    <row r="30" spans="1:27">
      <c r="A30" s="115" t="s">
        <v>68</v>
      </c>
      <c r="B30" s="115"/>
      <c r="C30" s="115"/>
      <c r="D30" s="11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8"/>
      <c r="U30" s="126"/>
      <c r="W30" s="126"/>
      <c r="Y30" s="126"/>
      <c r="AA30" s="126"/>
    </row>
    <row r="31" spans="1:27">
      <c r="A31" s="115" t="s">
        <v>69</v>
      </c>
      <c r="B31" s="115"/>
      <c r="C31" s="115"/>
      <c r="D31" s="11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8"/>
      <c r="U31" s="126"/>
      <c r="W31" s="126"/>
      <c r="Y31" s="126"/>
      <c r="AA31" s="126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8"/>
      <c r="U32" s="126"/>
      <c r="W32" s="126"/>
      <c r="Y32" s="126"/>
      <c r="AA32" s="126"/>
    </row>
    <row r="33" spans="1:27">
      <c r="A33" s="112" t="s">
        <v>96</v>
      </c>
      <c r="B33" s="112"/>
      <c r="C33" s="112"/>
      <c r="D33" s="11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8"/>
      <c r="U33" s="126"/>
      <c r="W33" s="126"/>
      <c r="Y33" s="126"/>
      <c r="AA33" s="126"/>
    </row>
    <row r="34" spans="1:27">
      <c r="A34" s="114" t="str">
        <f>IF(Subgroup_weighting_method="Peto","Peto Odds Ratio","Odds Ratio")</f>
        <v>Odds Ratio</v>
      </c>
      <c r="B34" s="114"/>
      <c r="C34" s="114"/>
      <c r="D34" s="114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8"/>
      <c r="U34" s="126"/>
      <c r="W34" s="126"/>
      <c r="Y34" s="126"/>
      <c r="AA34" s="126"/>
    </row>
    <row r="35" spans="1:27">
      <c r="A35" s="115" t="str">
        <f>IF(Subgroup_weighting_method="Inverse variance","Risk Ratio","")</f>
        <v>Risk Ratio</v>
      </c>
      <c r="B35" s="115"/>
      <c r="C35" s="115"/>
      <c r="D35" s="11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8"/>
      <c r="U35" s="126"/>
      <c r="W35" s="126"/>
      <c r="Y35" s="126"/>
      <c r="AA35" s="126"/>
    </row>
    <row r="36" spans="1:27">
      <c r="A36" s="115" t="str">
        <f>IF(Subgroup_weighting_method="Inverse Variance","Risk Difference","")</f>
        <v>Risk Difference</v>
      </c>
      <c r="B36" s="115"/>
      <c r="C36" s="115"/>
      <c r="D36" s="11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8"/>
      <c r="U36" s="126"/>
      <c r="W36" s="126"/>
      <c r="Y36" s="126"/>
      <c r="AA36" s="126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8"/>
      <c r="U37" s="126"/>
      <c r="W37" s="126"/>
      <c r="Y37" s="126"/>
      <c r="AA37" s="126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8"/>
      <c r="U38" s="126"/>
      <c r="W38" s="126"/>
      <c r="Y38" s="126"/>
      <c r="AA38" s="126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8"/>
      <c r="U39" s="126"/>
      <c r="W39" s="126"/>
      <c r="Y39" s="126"/>
      <c r="AA39" s="126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8"/>
      <c r="U40" s="126"/>
      <c r="W40" s="126"/>
      <c r="Y40" s="126"/>
      <c r="AA40" s="126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8"/>
      <c r="U41" s="126"/>
      <c r="W41" s="126"/>
      <c r="Y41" s="126"/>
      <c r="AA41" s="126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8"/>
      <c r="U42" s="126"/>
      <c r="W42" s="126"/>
      <c r="Y42" s="126"/>
      <c r="AA42" s="126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8"/>
      <c r="U43" s="126"/>
      <c r="W43" s="126"/>
      <c r="Y43" s="126"/>
      <c r="AA43" s="126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8"/>
      <c r="U44" s="126"/>
      <c r="W44" s="126"/>
      <c r="Y44" s="126"/>
      <c r="AA44" s="126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8"/>
      <c r="U45" s="126"/>
      <c r="W45" s="126"/>
      <c r="Y45" s="126"/>
      <c r="AA45" s="126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8"/>
      <c r="U46" s="126"/>
      <c r="W46" s="126"/>
      <c r="Y46" s="126"/>
      <c r="AA46" s="126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8"/>
      <c r="U47" s="126"/>
      <c r="W47" s="126"/>
      <c r="Y47" s="126"/>
      <c r="AA47" s="126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8"/>
      <c r="U48" s="126"/>
      <c r="W48" s="126"/>
      <c r="Y48" s="126"/>
      <c r="AA48" s="126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8"/>
      <c r="U49" s="126"/>
      <c r="W49" s="126"/>
      <c r="Y49" s="126"/>
      <c r="AA49" s="126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8"/>
      <c r="U50" s="126"/>
      <c r="W50" s="126"/>
      <c r="Y50" s="126"/>
      <c r="AA50" s="126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8"/>
      <c r="U51" s="126"/>
      <c r="W51" s="126"/>
      <c r="Y51" s="126"/>
      <c r="AA51" s="126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8"/>
      <c r="U52" s="126"/>
      <c r="W52" s="126"/>
      <c r="Y52" s="126"/>
      <c r="AA52" s="126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8"/>
      <c r="U53" s="126"/>
      <c r="W53" s="126"/>
      <c r="Y53" s="126"/>
      <c r="AA53" s="126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8"/>
      <c r="U54" s="126"/>
      <c r="W54" s="126"/>
      <c r="Y54" s="126"/>
      <c r="AA54" s="126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8"/>
      <c r="U55" s="126"/>
      <c r="W55" s="126"/>
      <c r="Y55" s="126"/>
      <c r="AA55" s="126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8"/>
      <c r="U56" s="126"/>
      <c r="W56" s="126"/>
      <c r="Y56" s="126"/>
      <c r="AA56" s="126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8"/>
      <c r="U57" s="126"/>
      <c r="W57" s="126"/>
      <c r="Y57" s="126"/>
      <c r="AA57" s="126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8"/>
      <c r="U58" s="126"/>
      <c r="W58" s="126"/>
      <c r="Y58" s="126"/>
      <c r="AA58" s="126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8"/>
      <c r="U59" s="126"/>
      <c r="W59" s="126"/>
      <c r="Y59" s="126"/>
      <c r="AA59" s="126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8"/>
      <c r="U60" s="126"/>
      <c r="W60" s="126"/>
      <c r="Y60" s="126"/>
      <c r="AA60" s="126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8"/>
      <c r="U61" s="126"/>
      <c r="W61" s="126"/>
      <c r="Y61" s="126"/>
      <c r="AA61" s="126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8"/>
      <c r="U62" s="126"/>
      <c r="W62" s="126"/>
      <c r="Y62" s="126"/>
      <c r="AA62" s="126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8"/>
      <c r="U63" s="126"/>
      <c r="W63" s="126"/>
      <c r="Y63" s="126"/>
      <c r="AA63" s="126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8"/>
      <c r="U64" s="126"/>
      <c r="W64" s="126"/>
      <c r="Y64" s="126"/>
      <c r="AA64" s="126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8"/>
      <c r="U65" s="126"/>
      <c r="W65" s="126"/>
      <c r="Y65" s="126"/>
      <c r="AA65" s="126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8"/>
      <c r="U66" s="126"/>
      <c r="W66" s="126"/>
      <c r="Y66" s="126"/>
      <c r="AA66" s="126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8"/>
      <c r="U67" s="126"/>
      <c r="W67" s="126"/>
      <c r="Y67" s="126"/>
      <c r="AA67" s="126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8"/>
      <c r="U68" s="126"/>
      <c r="W68" s="126"/>
      <c r="Y68" s="126"/>
      <c r="AA68" s="126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8"/>
      <c r="U69" s="126"/>
      <c r="W69" s="126"/>
      <c r="Y69" s="126"/>
      <c r="AA69" s="126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8"/>
      <c r="U70" s="126"/>
      <c r="W70" s="126"/>
      <c r="Y70" s="126"/>
      <c r="AA70" s="126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8"/>
      <c r="U71" s="126"/>
      <c r="W71" s="126"/>
      <c r="Y71" s="126"/>
      <c r="AA71" s="126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8"/>
      <c r="U72" s="126"/>
      <c r="W72" s="126"/>
      <c r="Y72" s="126"/>
      <c r="AA72" s="126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8"/>
      <c r="U73" s="126"/>
      <c r="W73" s="126"/>
      <c r="Y73" s="126"/>
      <c r="AA73" s="126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8"/>
      <c r="U74" s="126"/>
      <c r="W74" s="126"/>
      <c r="Y74" s="126"/>
      <c r="AA74" s="126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8"/>
      <c r="U75" s="126"/>
      <c r="W75" s="126"/>
      <c r="Y75" s="126"/>
      <c r="AA75" s="126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8"/>
      <c r="U76" s="126"/>
      <c r="W76" s="126"/>
      <c r="Y76" s="126"/>
      <c r="AA76" s="126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8"/>
      <c r="U77" s="126"/>
      <c r="W77" s="126"/>
      <c r="Y77" s="126"/>
      <c r="AA77" s="126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8"/>
      <c r="U78" s="126"/>
      <c r="W78" s="126"/>
      <c r="Y78" s="126"/>
      <c r="AA78" s="126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8"/>
      <c r="U79" s="126"/>
      <c r="W79" s="126"/>
      <c r="Y79" s="126"/>
      <c r="AA79" s="126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8"/>
      <c r="U80" s="126"/>
      <c r="W80" s="126"/>
      <c r="Y80" s="126"/>
      <c r="AA80" s="126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8"/>
      <c r="U81" s="126"/>
      <c r="W81" s="126"/>
      <c r="Y81" s="126"/>
      <c r="AA81" s="126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8"/>
      <c r="U82" s="126"/>
      <c r="W82" s="126"/>
      <c r="Y82" s="126"/>
      <c r="AA82" s="126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8"/>
      <c r="U83" s="126"/>
      <c r="W83" s="126"/>
      <c r="Y83" s="126"/>
      <c r="AA83" s="126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8"/>
      <c r="U84" s="126"/>
      <c r="W84" s="126"/>
      <c r="Y84" s="126"/>
      <c r="AA84" s="126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8"/>
      <c r="U85" s="126"/>
      <c r="W85" s="126"/>
      <c r="Y85" s="126"/>
      <c r="AA85" s="126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8"/>
      <c r="U86" s="126"/>
      <c r="W86" s="126"/>
      <c r="Y86" s="126"/>
      <c r="AA86" s="126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8"/>
      <c r="U87" s="126"/>
      <c r="W87" s="126"/>
      <c r="Y87" s="126"/>
      <c r="AA87" s="126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8"/>
      <c r="U88" s="126"/>
      <c r="W88" s="126"/>
      <c r="Y88" s="126"/>
      <c r="AA88" s="126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8"/>
      <c r="U89" s="126"/>
      <c r="W89" s="126"/>
      <c r="Y89" s="126"/>
      <c r="AA89" s="126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8"/>
      <c r="U90" s="126"/>
      <c r="W90" s="126"/>
      <c r="Y90" s="126"/>
      <c r="AA90" s="126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8"/>
      <c r="U91" s="126"/>
      <c r="W91" s="126"/>
      <c r="Y91" s="126"/>
      <c r="AA91" s="126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8"/>
      <c r="U92" s="126"/>
      <c r="W92" s="126"/>
      <c r="Y92" s="126"/>
      <c r="AA92" s="126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8"/>
      <c r="U93" s="126"/>
      <c r="W93" s="126"/>
      <c r="Y93" s="126"/>
      <c r="AA93" s="126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8"/>
      <c r="U94" s="126"/>
      <c r="W94" s="126"/>
      <c r="Y94" s="126"/>
      <c r="AA94" s="126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8"/>
      <c r="U95" s="126"/>
      <c r="W95" s="126"/>
      <c r="Y95" s="126"/>
      <c r="AA95" s="126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8"/>
      <c r="U96" s="126"/>
      <c r="W96" s="126"/>
      <c r="Y96" s="126"/>
      <c r="AA96" s="126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8"/>
      <c r="U97" s="126"/>
      <c r="W97" s="126"/>
      <c r="Y97" s="126"/>
      <c r="AA97" s="126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8"/>
      <c r="U98" s="126"/>
      <c r="W98" s="126"/>
      <c r="Y98" s="126"/>
      <c r="AA98" s="126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8"/>
      <c r="U99" s="126"/>
      <c r="W99" s="126"/>
      <c r="Y99" s="126"/>
      <c r="AA99" s="126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8"/>
      <c r="U100" s="126"/>
      <c r="W100" s="126"/>
      <c r="Y100" s="126"/>
      <c r="AA100" s="126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8"/>
      <c r="U101" s="126"/>
      <c r="W101" s="126"/>
      <c r="Y101" s="126"/>
      <c r="AA101" s="126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8"/>
      <c r="U102" s="126"/>
      <c r="W102" s="126"/>
      <c r="Y102" s="126"/>
      <c r="AA102" s="126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8"/>
      <c r="U103" s="126"/>
      <c r="W103" s="126"/>
      <c r="Y103" s="126"/>
      <c r="AA103" s="126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8"/>
      <c r="U104" s="126"/>
      <c r="W104" s="126"/>
      <c r="Y104" s="126"/>
      <c r="AA104" s="126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8"/>
      <c r="U105" s="126"/>
      <c r="W105" s="126"/>
      <c r="Y105" s="126"/>
      <c r="AA105" s="126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8"/>
      <c r="U106" s="126"/>
      <c r="W106" s="126"/>
      <c r="Y106" s="126"/>
      <c r="AA106" s="126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8"/>
      <c r="U107" s="126"/>
      <c r="W107" s="126"/>
      <c r="Y107" s="126"/>
      <c r="AA107" s="126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8"/>
      <c r="U108" s="126"/>
      <c r="W108" s="126"/>
      <c r="Y108" s="126"/>
      <c r="AA108" s="126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8"/>
      <c r="U109" s="126"/>
      <c r="W109" s="126"/>
      <c r="Y109" s="126"/>
      <c r="AA109" s="126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8"/>
      <c r="U110" s="126"/>
      <c r="W110" s="126"/>
      <c r="Y110" s="126"/>
      <c r="AA110" s="126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8"/>
      <c r="U111" s="126"/>
      <c r="W111" s="126"/>
      <c r="Y111" s="126"/>
      <c r="AA111" s="126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8"/>
      <c r="U112" s="126"/>
      <c r="W112" s="126"/>
      <c r="Y112" s="126"/>
      <c r="AA112" s="126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8"/>
      <c r="U113" s="126"/>
      <c r="W113" s="126"/>
      <c r="Y113" s="126"/>
      <c r="AA113" s="126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8"/>
      <c r="U114" s="126"/>
      <c r="W114" s="126"/>
      <c r="Y114" s="126"/>
      <c r="AA114" s="126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8"/>
      <c r="U115" s="126"/>
      <c r="W115" s="126"/>
      <c r="Y115" s="126"/>
      <c r="AA115" s="126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8"/>
      <c r="U116" s="126"/>
      <c r="W116" s="126"/>
      <c r="Y116" s="126"/>
      <c r="AA116" s="126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8"/>
      <c r="U117" s="126"/>
      <c r="W117" s="126"/>
      <c r="Y117" s="126"/>
      <c r="AA117" s="126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8"/>
      <c r="U118" s="126"/>
      <c r="W118" s="126"/>
      <c r="Y118" s="126"/>
      <c r="AA118" s="126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8"/>
      <c r="U119" s="126"/>
      <c r="W119" s="126"/>
      <c r="Y119" s="126"/>
      <c r="AA119" s="126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8"/>
      <c r="U120" s="126"/>
      <c r="W120" s="126"/>
      <c r="Y120" s="126"/>
      <c r="AA120" s="126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8"/>
      <c r="U121" s="126"/>
      <c r="W121" s="126"/>
      <c r="Y121" s="126"/>
      <c r="AA121" s="126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8"/>
      <c r="U122" s="126"/>
      <c r="W122" s="126"/>
      <c r="Y122" s="126"/>
      <c r="AA122" s="126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8"/>
      <c r="U123" s="126"/>
      <c r="W123" s="126"/>
      <c r="Y123" s="126"/>
      <c r="AA123" s="126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8"/>
      <c r="U124" s="126"/>
      <c r="W124" s="126"/>
      <c r="Y124" s="126"/>
      <c r="AA124" s="126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8"/>
      <c r="U125" s="126"/>
      <c r="W125" s="126"/>
      <c r="Y125" s="126"/>
      <c r="AA125" s="126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8"/>
      <c r="U126" s="126"/>
      <c r="W126" s="126"/>
      <c r="Y126" s="126"/>
      <c r="AA126" s="126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8"/>
      <c r="U127" s="126"/>
      <c r="W127" s="126"/>
      <c r="Y127" s="126"/>
      <c r="AA127" s="126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8"/>
      <c r="U128" s="126"/>
      <c r="W128" s="126"/>
      <c r="Y128" s="126"/>
      <c r="AA128" s="126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8"/>
      <c r="U129" s="126"/>
      <c r="W129" s="126"/>
      <c r="Y129" s="126"/>
      <c r="AA129" s="126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8"/>
      <c r="U130" s="126"/>
      <c r="W130" s="126"/>
      <c r="Y130" s="126"/>
      <c r="AA130" s="126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8"/>
      <c r="U131" s="126"/>
      <c r="W131" s="126"/>
      <c r="Y131" s="126"/>
      <c r="AA131" s="126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8"/>
      <c r="U132" s="126"/>
      <c r="W132" s="126"/>
      <c r="Y132" s="126"/>
      <c r="AA132" s="126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8"/>
      <c r="U133" s="126"/>
      <c r="W133" s="126"/>
      <c r="Y133" s="126"/>
      <c r="AA133" s="126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8"/>
      <c r="U134" s="126"/>
      <c r="W134" s="126"/>
      <c r="Y134" s="126"/>
      <c r="AA134" s="126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8"/>
      <c r="U135" s="126"/>
      <c r="W135" s="126"/>
      <c r="Y135" s="126"/>
      <c r="AA135" s="126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8"/>
      <c r="U136" s="126"/>
      <c r="W136" s="126"/>
      <c r="Y136" s="126"/>
      <c r="AA136" s="126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8"/>
      <c r="U137" s="126"/>
      <c r="W137" s="126"/>
      <c r="Y137" s="126"/>
      <c r="AA137" s="126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8"/>
      <c r="U138" s="126"/>
      <c r="W138" s="126"/>
      <c r="Y138" s="126"/>
      <c r="AA138" s="126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8"/>
      <c r="U139" s="126"/>
      <c r="W139" s="126"/>
      <c r="Y139" s="126"/>
      <c r="AA139" s="126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8"/>
      <c r="U140" s="126"/>
      <c r="W140" s="126"/>
      <c r="Y140" s="126"/>
      <c r="AA140" s="126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8"/>
      <c r="U141" s="126"/>
      <c r="W141" s="126"/>
      <c r="Y141" s="126"/>
      <c r="AA141" s="126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8"/>
      <c r="U142" s="126"/>
      <c r="W142" s="126"/>
      <c r="Y142" s="126"/>
      <c r="AA142" s="126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8"/>
      <c r="U143" s="126"/>
      <c r="W143" s="126"/>
      <c r="Y143" s="126"/>
      <c r="AA143" s="126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8"/>
      <c r="U144" s="126"/>
      <c r="W144" s="126"/>
      <c r="Y144" s="126"/>
      <c r="AA144" s="126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8"/>
      <c r="U145" s="126"/>
      <c r="W145" s="126"/>
      <c r="Y145" s="126"/>
      <c r="AA145" s="126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8"/>
      <c r="U146" s="126"/>
      <c r="W146" s="126"/>
      <c r="Y146" s="126"/>
      <c r="AA146" s="126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8"/>
      <c r="U147" s="126"/>
      <c r="W147" s="126"/>
      <c r="Y147" s="126"/>
      <c r="AA147" s="126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8"/>
      <c r="U148" s="126"/>
      <c r="W148" s="126"/>
      <c r="Y148" s="126"/>
      <c r="AA148" s="126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8"/>
      <c r="U149" s="126"/>
      <c r="W149" s="126"/>
      <c r="Y149" s="126"/>
      <c r="AA149" s="126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8"/>
      <c r="U150" s="126"/>
      <c r="W150" s="126"/>
      <c r="Y150" s="126"/>
      <c r="AA150" s="126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8"/>
      <c r="U151" s="126"/>
      <c r="W151" s="126"/>
      <c r="Y151" s="126"/>
      <c r="AA151" s="126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8"/>
      <c r="U152" s="126"/>
      <c r="W152" s="126"/>
      <c r="Y152" s="126"/>
      <c r="AA152" s="126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8"/>
      <c r="U153" s="126"/>
      <c r="W153" s="126"/>
      <c r="Y153" s="126"/>
      <c r="AA153" s="126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8"/>
      <c r="U154" s="126"/>
      <c r="W154" s="126"/>
      <c r="Y154" s="126"/>
      <c r="AA154" s="126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8"/>
      <c r="U155" s="126"/>
      <c r="W155" s="126"/>
      <c r="Y155" s="126"/>
      <c r="AA155" s="126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8"/>
      <c r="U156" s="126"/>
      <c r="W156" s="126"/>
      <c r="Y156" s="126"/>
      <c r="AA156" s="126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8"/>
      <c r="U157" s="126"/>
      <c r="W157" s="126"/>
      <c r="Y157" s="126"/>
      <c r="AA157" s="126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8"/>
      <c r="U158" s="126"/>
      <c r="W158" s="126"/>
      <c r="Y158" s="126"/>
      <c r="AA158" s="126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8"/>
      <c r="U159" s="126"/>
      <c r="W159" s="126"/>
      <c r="Y159" s="126"/>
      <c r="AA159" s="126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8"/>
      <c r="U160" s="126"/>
      <c r="W160" s="126"/>
      <c r="Y160" s="126"/>
      <c r="AA160" s="126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8"/>
      <c r="U161" s="126"/>
      <c r="W161" s="126"/>
      <c r="Y161" s="126"/>
      <c r="AA161" s="126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8"/>
      <c r="U162" s="126"/>
      <c r="W162" s="126"/>
      <c r="Y162" s="126"/>
      <c r="AA162" s="126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8"/>
      <c r="U163" s="126"/>
      <c r="W163" s="126"/>
      <c r="Y163" s="126"/>
      <c r="AA163" s="126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8"/>
      <c r="U164" s="126"/>
      <c r="W164" s="126"/>
      <c r="Y164" s="126"/>
      <c r="AA164" s="126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8"/>
      <c r="U165" s="126"/>
      <c r="W165" s="126"/>
      <c r="Y165" s="126"/>
      <c r="AA165" s="126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8"/>
      <c r="U166" s="126"/>
      <c r="W166" s="126"/>
      <c r="Y166" s="126"/>
      <c r="AA166" s="126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8"/>
      <c r="U167" s="126"/>
      <c r="W167" s="126"/>
      <c r="Y167" s="126"/>
      <c r="AA167" s="126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8"/>
      <c r="U168" s="126"/>
      <c r="W168" s="126"/>
      <c r="Y168" s="126"/>
      <c r="AA168" s="126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8"/>
      <c r="U169" s="126"/>
      <c r="W169" s="126"/>
      <c r="Y169" s="126"/>
      <c r="AA169" s="126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8"/>
      <c r="U170" s="126"/>
      <c r="W170" s="126"/>
      <c r="Y170" s="126"/>
      <c r="AA170" s="126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8"/>
      <c r="U171" s="126"/>
      <c r="W171" s="126"/>
      <c r="Y171" s="126"/>
      <c r="AA171" s="126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8"/>
      <c r="U172" s="126"/>
      <c r="W172" s="126"/>
      <c r="Y172" s="126"/>
      <c r="AA172" s="126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8"/>
      <c r="U173" s="126"/>
      <c r="W173" s="126"/>
      <c r="Y173" s="126"/>
      <c r="AA173" s="126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8"/>
      <c r="U174" s="126"/>
      <c r="W174" s="126"/>
      <c r="Y174" s="126"/>
      <c r="AA174" s="126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8"/>
      <c r="U175" s="126"/>
      <c r="W175" s="126"/>
      <c r="Y175" s="126"/>
      <c r="AA175" s="126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8"/>
      <c r="U176" s="126"/>
      <c r="W176" s="126"/>
      <c r="Y176" s="126"/>
      <c r="AA176" s="126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8"/>
      <c r="U177" s="126"/>
      <c r="W177" s="126"/>
      <c r="Y177" s="126"/>
      <c r="AA177" s="126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8"/>
      <c r="U178" s="126"/>
      <c r="W178" s="126"/>
      <c r="Y178" s="126"/>
      <c r="AA178" s="126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8"/>
      <c r="U179" s="126"/>
      <c r="W179" s="126"/>
      <c r="Y179" s="126"/>
      <c r="AA179" s="126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8"/>
      <c r="U180" s="126"/>
      <c r="W180" s="126"/>
      <c r="Y180" s="126"/>
      <c r="AA180" s="126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8"/>
      <c r="U181" s="126"/>
      <c r="W181" s="126"/>
      <c r="Y181" s="126"/>
      <c r="AA181" s="126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8"/>
      <c r="U182" s="126"/>
      <c r="W182" s="126"/>
      <c r="Y182" s="126"/>
      <c r="AA182" s="126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8"/>
      <c r="U183" s="126"/>
      <c r="W183" s="126"/>
      <c r="Y183" s="126"/>
      <c r="AA183" s="126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8"/>
      <c r="U184" s="126"/>
      <c r="W184" s="126"/>
      <c r="Y184" s="126"/>
      <c r="AA184" s="126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8"/>
      <c r="U185" s="126"/>
      <c r="W185" s="126"/>
      <c r="Y185" s="126"/>
      <c r="AA185" s="126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8"/>
      <c r="U186" s="126"/>
      <c r="W186" s="126"/>
      <c r="Y186" s="126"/>
      <c r="AA186" s="126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8"/>
      <c r="U187" s="126"/>
      <c r="W187" s="126"/>
      <c r="Y187" s="126"/>
      <c r="AA187" s="126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8"/>
      <c r="U188" s="126"/>
      <c r="W188" s="126"/>
      <c r="Y188" s="126"/>
      <c r="AA188" s="126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8"/>
      <c r="U189" s="126"/>
      <c r="W189" s="126"/>
      <c r="Y189" s="126"/>
      <c r="AA189" s="126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8"/>
      <c r="U190" s="126"/>
      <c r="W190" s="126"/>
      <c r="Y190" s="126"/>
      <c r="AA190" s="126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8"/>
      <c r="U191" s="126"/>
      <c r="W191" s="126"/>
      <c r="Y191" s="126"/>
      <c r="AA191" s="126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8"/>
      <c r="U192" s="126"/>
      <c r="W192" s="126"/>
      <c r="Y192" s="126"/>
      <c r="AA192" s="126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8"/>
      <c r="U193" s="126"/>
      <c r="W193" s="126"/>
      <c r="Y193" s="126"/>
      <c r="AA193" s="126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8"/>
      <c r="U194" s="126"/>
      <c r="W194" s="126"/>
      <c r="Y194" s="126"/>
      <c r="AA194" s="126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8"/>
      <c r="U195" s="126"/>
      <c r="W195" s="126"/>
      <c r="Y195" s="126"/>
      <c r="AA195" s="126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8"/>
      <c r="U196" s="126"/>
      <c r="W196" s="126"/>
      <c r="Y196" s="126"/>
      <c r="AA196" s="126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8"/>
      <c r="U197" s="126"/>
      <c r="W197" s="126"/>
      <c r="Y197" s="126"/>
      <c r="AA197" s="126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8"/>
      <c r="U198" s="126"/>
      <c r="W198" s="126"/>
      <c r="Y198" s="126"/>
      <c r="AA198" s="126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8"/>
      <c r="U199" s="126"/>
      <c r="W199" s="126"/>
      <c r="Y199" s="126"/>
      <c r="AA199" s="126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8"/>
      <c r="U200" s="126"/>
      <c r="W200" s="126"/>
      <c r="Y200" s="126"/>
      <c r="AA200" s="126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2"/>
      <c r="U201" s="127"/>
      <c r="W201" s="127"/>
      <c r="Y201" s="127"/>
      <c r="AA201" s="127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2" t="s">
        <v>30</v>
      </c>
      <c r="B1" s="112"/>
      <c r="D1" s="1" t="s">
        <v>1</v>
      </c>
      <c r="E1" s="1" t="s">
        <v>11</v>
      </c>
      <c r="F1" s="1" t="str">
        <f>Moderator_effect_size_measure</f>
        <v>Log Odds Ratio</v>
      </c>
      <c r="G1" s="1" t="s">
        <v>34</v>
      </c>
    </row>
    <row r="2" spans="1:7">
      <c r="A2" s="3" t="s">
        <v>43</v>
      </c>
      <c r="B2" s="5" t="s">
        <v>78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84</v>
      </c>
      <c r="B3" s="5" t="s">
        <v>97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50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35</v>
      </c>
      <c r="B6" s="5" t="s">
        <v>98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40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2" t="s">
        <v>67</v>
      </c>
      <c r="B9" s="11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4" t="s">
        <v>78</v>
      </c>
      <c r="B10" s="114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5" t="s">
        <v>68</v>
      </c>
      <c r="B11" s="11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5" t="s">
        <v>69</v>
      </c>
      <c r="B12" s="11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2" t="s">
        <v>96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4" t="str">
        <f>IF(Moderator_weighting_method="Peto","Log Peto Odds Ratio","Log Odds Ratio")</f>
        <v>Log Odds Ratio</v>
      </c>
      <c r="B15" s="114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5" t="str">
        <f>IF(Moderator_weighting_method="Inverse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5" t="str">
        <f>IF(Moderator_weighting_method="Inverse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99</v>
      </c>
      <c r="K28" s="1" t="s">
        <v>100</v>
      </c>
      <c r="L28" s="1" t="s">
        <v>101</v>
      </c>
      <c r="M28" s="1" t="s">
        <v>102</v>
      </c>
      <c r="N28" s="25" t="s">
        <v>103</v>
      </c>
      <c r="O28" s="1" t="s">
        <v>58</v>
      </c>
      <c r="P28" s="1" t="s">
        <v>104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105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90</v>
      </c>
      <c r="J32" s="1" t="str">
        <f>IF(Moderator_model="Fixed effect","Sum of squares (Q)","Sum of squares (Q*)")</f>
        <v>Sum of squares (Q)</v>
      </c>
      <c r="K32" s="1" t="s">
        <v>91</v>
      </c>
      <c r="L32" s="1" t="s">
        <v>92</v>
      </c>
      <c r="N32" s="1" t="s">
        <v>106</v>
      </c>
      <c r="O32" s="1" t="s">
        <v>107</v>
      </c>
      <c r="P32" s="1" t="s">
        <v>104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35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108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109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110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111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E9" sqref="E9:F10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30</v>
      </c>
      <c r="B1" s="1"/>
      <c r="D1" s="94" t="s">
        <v>1</v>
      </c>
      <c r="E1" s="94" t="str">
        <f>Additional_effect_size_measure</f>
        <v>Log Odds Ratio</v>
      </c>
      <c r="F1" s="94" t="s">
        <v>112</v>
      </c>
      <c r="M1" s="85"/>
      <c r="O1" s="112" t="s">
        <v>113</v>
      </c>
      <c r="P1" s="112"/>
      <c r="Q1" s="112"/>
      <c r="R1" s="112"/>
      <c r="S1" s="28"/>
      <c r="T1" s="85"/>
      <c r="V1" s="1" t="s">
        <v>1</v>
      </c>
      <c r="W1" s="1" t="s">
        <v>114</v>
      </c>
      <c r="AE1" s="85"/>
      <c r="AG1" s="1" t="s">
        <v>1</v>
      </c>
      <c r="AH1" s="1" t="s">
        <v>115</v>
      </c>
      <c r="AI1" s="1" t="s">
        <v>116</v>
      </c>
      <c r="AR1" s="85"/>
      <c r="AT1" s="1" t="s">
        <v>1</v>
      </c>
      <c r="AU1" s="1" t="s">
        <v>117</v>
      </c>
      <c r="AV1" s="1" t="s">
        <v>118</v>
      </c>
      <c r="BC1" s="85"/>
      <c r="BE1" s="1" t="s">
        <v>1</v>
      </c>
      <c r="BF1" s="75" t="s">
        <v>119</v>
      </c>
      <c r="BG1" s="1" t="s">
        <v>120</v>
      </c>
      <c r="BP1" s="85"/>
      <c r="BR1" s="1" t="s">
        <v>121</v>
      </c>
      <c r="BS1" s="1"/>
      <c r="BT1" s="85"/>
    </row>
    <row r="2" spans="1:72">
      <c r="A2" s="3" t="s">
        <v>43</v>
      </c>
      <c r="B2" s="5" t="s">
        <v>78</v>
      </c>
      <c r="D2" s="99" t="str">
        <f t="shared" ref="D2:D33" si="0">IF(AND(Include_study?="Yes",Sufficient_data="Yes"),Study_name,"")</f>
        <v/>
      </c>
      <c r="E2" s="100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101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6" t="s">
        <v>122</v>
      </c>
      <c r="O2" s="3"/>
      <c r="P2" s="3" t="s">
        <v>123</v>
      </c>
      <c r="Q2" s="3" t="s">
        <v>100</v>
      </c>
      <c r="R2" s="3" t="s">
        <v>101</v>
      </c>
      <c r="S2" s="3" t="s">
        <v>102</v>
      </c>
      <c r="T2" s="126" t="s">
        <v>124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6" t="s">
        <v>125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6" t="s">
        <v>126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6" t="s">
        <v>127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6" t="s">
        <v>128</v>
      </c>
      <c r="BR2" s="121" t="s">
        <v>129</v>
      </c>
      <c r="BS2" s="121"/>
      <c r="BT2" s="126" t="s">
        <v>130</v>
      </c>
    </row>
    <row r="3" spans="1:72">
      <c r="A3" s="3" t="s">
        <v>84</v>
      </c>
      <c r="B3" s="5" t="s">
        <v>97</v>
      </c>
      <c r="D3" s="102" t="str">
        <f t="shared" si="0"/>
        <v/>
      </c>
      <c r="E3" s="100" t="str">
        <f t="shared" si="1"/>
        <v/>
      </c>
      <c r="F3" s="100" t="str">
        <f t="shared" si="2"/>
        <v/>
      </c>
      <c r="M3" s="126"/>
      <c r="O3" s="3" t="s">
        <v>105</v>
      </c>
      <c r="P3" s="4">
        <f>IF(Additional_valid_options="Yes",INTERCEPT(Z_score,Inverse_standard_error),NA())</f>
        <v>-6.4085213513302124</v>
      </c>
      <c r="Q3" s="4">
        <f>IF(Additional_valid_options="Yes",Q4*SQRT(1/k_*SUMPRODUCT(Inverse_standard_error,Inverse_standard_error)),NA())</f>
        <v>2.8983857429099563E-2</v>
      </c>
      <c r="R3" s="4">
        <f>P3-ABS(TINV((1-Additional_confidence_level),k_-1))*Q3</f>
        <v>-6.5332288246161969</v>
      </c>
      <c r="S3" s="4">
        <f>P3+ABS(TINV((1-Additional_confidence_level),k_-1))*Q3</f>
        <v>-6.2838138780442279</v>
      </c>
      <c r="T3" s="126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6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6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6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6"/>
      <c r="BR3" s="3" t="s">
        <v>131</v>
      </c>
      <c r="BS3" s="4">
        <f>SUM(Calculations!JH:JH)/SQRT(k_)</f>
        <v>-0.73579528002669903</v>
      </c>
      <c r="BT3" s="126"/>
    </row>
    <row r="4" spans="1:72">
      <c r="A4" s="3" t="s">
        <v>50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2" t="str">
        <f t="shared" si="0"/>
        <v/>
      </c>
      <c r="E4" s="100" t="str">
        <f t="shared" si="1"/>
        <v/>
      </c>
      <c r="F4" s="100" t="str">
        <f t="shared" si="2"/>
        <v/>
      </c>
      <c r="M4" s="126"/>
      <c r="O4" s="3" t="s">
        <v>132</v>
      </c>
      <c r="P4" s="4">
        <f>IF(Additional_valid_options="Yes",SLOPE(Z_score,Inverse_standard_error),NA())</f>
        <v>1.0084974306290562</v>
      </c>
      <c r="Q4" s="4">
        <f>IF(Additional_valid_options="Yes",SQRT(((1/(k_-2))*SUMPRODUCT(Calculations!HM:HM,Calculations!HM:HM))/SUMPRODUCT(Calculations!HL:HL,Calculations!HL:HL)),NA())</f>
        <v>4.8845426626003491E-3</v>
      </c>
      <c r="R4" s="4">
        <f>P4-ABS(TINV((1-Additional_confidence_level),k_-1))*Q4</f>
        <v>0.98748093980824103</v>
      </c>
      <c r="S4" s="4">
        <f>P4+ABS(TINV((1-Additional_confidence_level),k_-1))*Q4</f>
        <v>1.0295139214498712</v>
      </c>
      <c r="T4" s="126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6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6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6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6"/>
      <c r="BR4" s="3" t="s">
        <v>133</v>
      </c>
      <c r="BS4" s="7">
        <f>MAX(0,ROUNDUP(k_*(BS3/NORMSINV((1-Additional_confidence_level)))^2-k_,0))</f>
        <v>0</v>
      </c>
      <c r="BT4" s="126"/>
    </row>
    <row r="5" spans="1:72">
      <c r="D5" s="102" t="str">
        <f t="shared" si="0"/>
        <v/>
      </c>
      <c r="E5" s="100" t="str">
        <f t="shared" si="1"/>
        <v/>
      </c>
      <c r="F5" s="100" t="str">
        <f t="shared" si="2"/>
        <v/>
      </c>
      <c r="M5" s="126"/>
      <c r="T5" s="126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6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6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6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6"/>
      <c r="BR5" s="3" t="s">
        <v>134</v>
      </c>
      <c r="BS5" s="4" t="b">
        <f>BS4&lt;5*k_+10</f>
        <v>1</v>
      </c>
      <c r="BT5" s="126"/>
    </row>
    <row r="6" spans="1:72">
      <c r="A6" s="3" t="s">
        <v>35</v>
      </c>
      <c r="B6" s="5" t="s">
        <v>98</v>
      </c>
      <c r="D6" s="102" t="str">
        <f t="shared" si="0"/>
        <v>Hazarika et al. (A)</v>
      </c>
      <c r="E6" s="100">
        <f t="shared" si="1"/>
        <v>-8.9394925710100992E-2</v>
      </c>
      <c r="F6" s="100">
        <f t="shared" si="2"/>
        <v>0.17131086018515415</v>
      </c>
      <c r="M6" s="126"/>
      <c r="O6" s="3" t="s">
        <v>135</v>
      </c>
      <c r="P6" s="4">
        <f>P3/Q3</f>
        <v>-221.10657171864597</v>
      </c>
      <c r="T6" s="126"/>
      <c r="V6" s="76" t="str">
        <f t="shared" si="3"/>
        <v>Hazarika et al. (A)</v>
      </c>
      <c r="W6" s="35">
        <f>IF(AND(Include_study?="Yes",Sufficient_data="Yes"),((E:E-I$29)*SQRT(Calculations!FU:FU))/SQRT(1-Calculations!FU:FU/SUM(Calculations!FU:FU)),"")</f>
        <v>-0.12751105200796287</v>
      </c>
      <c r="AE6" s="126"/>
      <c r="AG6" s="76" t="str">
        <f t="shared" si="4"/>
        <v>Hazarika et al. (A)</v>
      </c>
      <c r="AH6" s="3">
        <f t="shared" si="5"/>
        <v>1.3132048017460896E-2</v>
      </c>
      <c r="AI6" s="35">
        <f t="shared" si="6"/>
        <v>1.2022553655874863E-2</v>
      </c>
      <c r="AR6" s="126"/>
      <c r="AT6" s="76" t="str">
        <f t="shared" si="7"/>
        <v>Hazarika et al. (A)</v>
      </c>
      <c r="AU6" s="3">
        <f t="shared" si="8"/>
        <v>5.8373415375954094</v>
      </c>
      <c r="AV6" s="35">
        <f t="shared" si="9"/>
        <v>-0.5218287130978283</v>
      </c>
      <c r="BC6" s="126"/>
      <c r="BE6" s="76" t="str">
        <f t="shared" si="10"/>
        <v>Hazarika et al. (A)</v>
      </c>
      <c r="BF6" s="3">
        <f>IF(AND(Include_study?="Yes",Sufficient_data="Yes"),NORMSINV(Calculations!IW6),"")</f>
        <v>-0.84162123357291452</v>
      </c>
      <c r="BG6" s="35">
        <f t="shared" si="11"/>
        <v>-0.5218287130978283</v>
      </c>
      <c r="BP6" s="126"/>
      <c r="BT6" s="126"/>
    </row>
    <row r="7" spans="1:72">
      <c r="A7" s="3" t="s">
        <v>40</v>
      </c>
      <c r="B7" s="29">
        <v>0.95</v>
      </c>
      <c r="D7" s="102" t="str">
        <f t="shared" si="0"/>
        <v/>
      </c>
      <c r="E7" s="100" t="str">
        <f t="shared" si="1"/>
        <v/>
      </c>
      <c r="F7" s="100" t="str">
        <f t="shared" si="2"/>
        <v/>
      </c>
      <c r="M7" s="126"/>
      <c r="O7" s="3" t="s">
        <v>104</v>
      </c>
      <c r="P7" s="26">
        <f>TDIST(ABS(P6),k_-2,2)</f>
        <v>2.8792243795130643E-3</v>
      </c>
      <c r="T7" s="126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6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6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6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6"/>
      <c r="BR7" s="112" t="s">
        <v>136</v>
      </c>
      <c r="BS7" s="112"/>
      <c r="BT7" s="126"/>
    </row>
    <row r="8" spans="1:72">
      <c r="D8" s="102" t="str">
        <f t="shared" si="0"/>
        <v/>
      </c>
      <c r="E8" s="100" t="str">
        <f t="shared" si="1"/>
        <v/>
      </c>
      <c r="F8" s="100" t="str">
        <f t="shared" si="2"/>
        <v/>
      </c>
      <c r="M8" s="126"/>
      <c r="T8" s="126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6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6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6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6"/>
      <c r="BR8" s="3" t="s">
        <v>137</v>
      </c>
      <c r="BS8" s="7">
        <f>MAX(0,ROUNDUP((k_*(1-MAX(Calculations!JI:JI))-1)/MAX(Calculations!JI:JI),0))</f>
        <v>3</v>
      </c>
      <c r="BT8" s="126"/>
    </row>
    <row r="9" spans="1:72">
      <c r="A9" s="112" t="s">
        <v>67</v>
      </c>
      <c r="B9" s="112"/>
      <c r="D9" s="102" t="str">
        <f t="shared" si="0"/>
        <v>Quan et al.</v>
      </c>
      <c r="E9" s="100">
        <f t="shared" si="1"/>
        <v>-7.0886350479830787E-2</v>
      </c>
      <c r="F9" s="100">
        <f t="shared" si="2"/>
        <v>0.16844342955969202</v>
      </c>
      <c r="M9" s="126"/>
      <c r="O9" s="112" t="s">
        <v>138</v>
      </c>
      <c r="P9" s="112"/>
      <c r="T9" s="126"/>
      <c r="V9" s="76" t="str">
        <f t="shared" si="3"/>
        <v>Quan et al.</v>
      </c>
      <c r="W9" s="35">
        <f>IF(AND(Include_study?="Yes",Sufficient_data="Yes"),((E:E-I$29)*SQRT(Calculations!FU:FU))/SQRT(1-Calculations!FU:FU/SUM(Calculations!FU:FU)),"")</f>
        <v>3.8531097264958617E-3</v>
      </c>
      <c r="AE9" s="126"/>
      <c r="AG9" s="76" t="str">
        <f t="shared" si="4"/>
        <v>Quan et al.</v>
      </c>
      <c r="AH9" s="3">
        <f t="shared" si="5"/>
        <v>8.0203045685279181E-2</v>
      </c>
      <c r="AI9" s="35">
        <f t="shared" si="6"/>
        <v>7.5126903553299498E-2</v>
      </c>
      <c r="AR9" s="126"/>
      <c r="AT9" s="76" t="str">
        <f t="shared" si="7"/>
        <v>Quan et al.</v>
      </c>
      <c r="AU9" s="3">
        <f t="shared" si="8"/>
        <v>5.9367112306724064</v>
      </c>
      <c r="AV9" s="35">
        <f t="shared" si="9"/>
        <v>-0.42083179299499174</v>
      </c>
      <c r="BC9" s="126"/>
      <c r="BE9" s="76" t="str">
        <f t="shared" si="10"/>
        <v>Quan et al.</v>
      </c>
      <c r="BF9" s="3">
        <f>IF(AND(Include_study?="Yes",Sufficient_data="Yes"),NORMSINV(Calculations!IW9),"")</f>
        <v>0</v>
      </c>
      <c r="BG9" s="35">
        <f t="shared" si="11"/>
        <v>-0.42083179299499174</v>
      </c>
      <c r="BP9" s="126"/>
      <c r="BT9" s="126"/>
    </row>
    <row r="10" spans="1:72" ht="12.95">
      <c r="A10" s="114" t="s">
        <v>78</v>
      </c>
      <c r="B10" s="114"/>
      <c r="D10" s="102" t="str">
        <f t="shared" si="0"/>
        <v>Quan et al.</v>
      </c>
      <c r="E10" s="100">
        <f t="shared" si="1"/>
        <v>-5.5058751027871673E-2</v>
      </c>
      <c r="F10" s="100">
        <f t="shared" si="2"/>
        <v>0.16595242774821717</v>
      </c>
      <c r="M10" s="126"/>
      <c r="O10" s="3" t="s">
        <v>139</v>
      </c>
      <c r="P10" s="4">
        <f>IF(Additional_valid_options="Yes",SUM(Calculations!HT:HT)/2-SUM(Calculations!HU:HU)/2,NA())</f>
        <v>-3</v>
      </c>
      <c r="T10" s="126"/>
      <c r="V10" s="76" t="str">
        <f t="shared" si="3"/>
        <v>Quan et al.</v>
      </c>
      <c r="W10" s="35">
        <f>IF(AND(Include_study?="Yes",Sufficient_data="Yes"),((E:E-I$29)*SQRT(Calculations!FU:FU))/SQRT(1-Calculations!FU:FU/SUM(Calculations!FU:FU)),"")</f>
        <v>0.12167381879189088</v>
      </c>
      <c r="AE10" s="126"/>
      <c r="AG10" s="76" t="str">
        <f t="shared" si="4"/>
        <v>Quan et al.</v>
      </c>
      <c r="AH10" s="3">
        <f t="shared" si="5"/>
        <v>8.223350253807106E-2</v>
      </c>
      <c r="AI10" s="35">
        <f t="shared" si="6"/>
        <v>7.8172588832487316E-2</v>
      </c>
      <c r="AR10" s="126"/>
      <c r="AT10" s="76" t="str">
        <f t="shared" si="7"/>
        <v>Quan et al.</v>
      </c>
      <c r="AU10" s="3">
        <f t="shared" si="8"/>
        <v>6.0258232649491505</v>
      </c>
      <c r="AV10" s="35">
        <f t="shared" si="9"/>
        <v>-0.33177430288279208</v>
      </c>
      <c r="BC10" s="126"/>
      <c r="BE10" s="76" t="str">
        <f t="shared" si="10"/>
        <v>Quan et al.</v>
      </c>
      <c r="BF10" s="3">
        <f>IF(AND(Include_study?="Yes",Sufficient_data="Yes"),NORMSINV(Calculations!IW10),"")</f>
        <v>0.84162123357291341</v>
      </c>
      <c r="BG10" s="35">
        <f t="shared" si="11"/>
        <v>-0.33177430288279208</v>
      </c>
      <c r="BP10" s="126"/>
      <c r="BR10" s="112" t="s">
        <v>140</v>
      </c>
      <c r="BS10" s="112"/>
      <c r="BT10" s="126"/>
    </row>
    <row r="11" spans="1:72">
      <c r="A11" s="115" t="s">
        <v>68</v>
      </c>
      <c r="B11" s="115"/>
      <c r="D11" s="102" t="str">
        <f t="shared" si="0"/>
        <v/>
      </c>
      <c r="E11" s="100" t="str">
        <f t="shared" si="1"/>
        <v/>
      </c>
      <c r="F11" s="100" t="str">
        <f t="shared" si="2"/>
        <v/>
      </c>
      <c r="M11" s="126"/>
      <c r="O11" s="3" t="s">
        <v>141</v>
      </c>
      <c r="P11" s="4">
        <f>IF(Additional_valid_options="Yes",(SUM(Calculations!HT:HT)/2-SUM(Calculations!HU:HU)/2)/(1/2*k_*(k_-1)),NA())</f>
        <v>-1</v>
      </c>
      <c r="T11" s="126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6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6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6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6"/>
      <c r="BR11" s="3" t="s">
        <v>109</v>
      </c>
      <c r="BS11" s="4">
        <f>I29</f>
        <v>-7.1416151658253782E-2</v>
      </c>
      <c r="BT11" s="126"/>
    </row>
    <row r="12" spans="1:72" ht="12.95">
      <c r="A12" s="115" t="s">
        <v>69</v>
      </c>
      <c r="B12" s="115"/>
      <c r="D12" s="102" t="str">
        <f t="shared" si="0"/>
        <v/>
      </c>
      <c r="E12" s="100" t="str">
        <f t="shared" si="1"/>
        <v/>
      </c>
      <c r="F12" s="100" t="str">
        <f t="shared" si="2"/>
        <v/>
      </c>
      <c r="M12" s="126"/>
      <c r="O12" s="3" t="s">
        <v>142</v>
      </c>
      <c r="P12" s="4">
        <f>P10/SQRT((k_*(k_-1)*(2*k_+5)/18))</f>
        <v>-1.5666989036012806</v>
      </c>
      <c r="T12" s="126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6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6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6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6"/>
      <c r="BR12" s="3" t="s">
        <v>143</v>
      </c>
      <c r="BS12" s="5">
        <v>0</v>
      </c>
      <c r="BT12" s="126"/>
    </row>
    <row r="13" spans="1:72" ht="12.95">
      <c r="D13" s="102" t="str">
        <f t="shared" si="0"/>
        <v/>
      </c>
      <c r="E13" s="100" t="str">
        <f t="shared" si="1"/>
        <v/>
      </c>
      <c r="F13" s="100" t="str">
        <f t="shared" si="2"/>
        <v/>
      </c>
      <c r="M13" s="126"/>
      <c r="O13" s="3" t="s">
        <v>92</v>
      </c>
      <c r="P13" s="26">
        <f>2*(1-NORMSDIST(ABS(P12)))</f>
        <v>0.11718508719813792</v>
      </c>
      <c r="T13" s="12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6"/>
      <c r="BR13" s="3" t="s">
        <v>144</v>
      </c>
      <c r="BS13" s="5">
        <v>-0.69</v>
      </c>
      <c r="BT13" s="126"/>
    </row>
    <row r="14" spans="1:72">
      <c r="A14" s="112" t="s">
        <v>96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6"/>
      <c r="T14" s="12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6"/>
      <c r="BR14" s="3" t="s">
        <v>133</v>
      </c>
      <c r="BS14" s="7">
        <f>MAX(0,ROUNDUP(k_*(BS11-BS12)/(BS12-BS13),0))</f>
        <v>0</v>
      </c>
      <c r="BT14" s="126"/>
    </row>
    <row r="15" spans="1:72">
      <c r="A15" s="114" t="str">
        <f>IF(Additional_weighting_method="Peto","Log Peto Odds Ratio","Log Odds Ratio")</f>
        <v>Log Odds Ratio</v>
      </c>
      <c r="B15" s="114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6"/>
      <c r="T15" s="12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6"/>
      <c r="BT15" s="126"/>
    </row>
    <row r="16" spans="1:72">
      <c r="A16" s="115" t="str">
        <f>IF(Additional_weighting_method="Inverse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6"/>
      <c r="T16" s="12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6"/>
      <c r="BR16" s="112" t="s">
        <v>145</v>
      </c>
      <c r="BS16" s="112"/>
      <c r="BT16" s="126"/>
    </row>
    <row r="17" spans="1:72">
      <c r="A17" s="115" t="str">
        <f>IF(Additional_weighting_method="Inverse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6"/>
      <c r="T17" s="12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6"/>
      <c r="BR17" s="3" t="s">
        <v>133</v>
      </c>
      <c r="BS17" s="7">
        <f>MAX(0,ROUNDUP(-2*SUM(Calculations!JJ:JJ),0))</f>
        <v>7</v>
      </c>
      <c r="BT17" s="126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6"/>
      <c r="T18" s="12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6"/>
      <c r="BR18" s="3" t="s">
        <v>146</v>
      </c>
      <c r="BS18" s="26">
        <f>CHIDIST(BS17,k_*2)</f>
        <v>0.32084719886213409</v>
      </c>
      <c r="BT18" s="126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6"/>
      <c r="T19" s="12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6"/>
      <c r="BT19" s="126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6"/>
      <c r="T20" s="12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6"/>
      <c r="BT20" s="126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6"/>
      <c r="T21" s="12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6"/>
      <c r="BT21" s="126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6"/>
      <c r="T22" s="12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6"/>
      <c r="BT22" s="126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6"/>
      <c r="T23" s="12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6"/>
      <c r="BT23" s="126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6"/>
      <c r="T24" s="12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6"/>
      <c r="BT24" s="126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6"/>
      <c r="T25" s="12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6"/>
      <c r="BT25" s="126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6"/>
      <c r="T26" s="12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6"/>
      <c r="BT26" s="126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6"/>
      <c r="T27" s="12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6"/>
      <c r="BT27" s="126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109</v>
      </c>
      <c r="I28" s="28" t="s">
        <v>147</v>
      </c>
      <c r="K28" s="112" t="s">
        <v>63</v>
      </c>
      <c r="L28" s="112"/>
      <c r="M28" s="126"/>
      <c r="T28" s="12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2" t="s">
        <v>148</v>
      </c>
      <c r="AY28" s="122"/>
      <c r="AZ28" s="122"/>
      <c r="BA28" s="122"/>
      <c r="BB28" s="123"/>
      <c r="BC28" s="12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2" t="s">
        <v>148</v>
      </c>
      <c r="BJ28" s="122"/>
      <c r="BK28" s="122"/>
      <c r="BL28" s="122"/>
      <c r="BM28" s="122"/>
      <c r="BP28" s="126"/>
      <c r="BT28" s="126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-7.1416151658253782E-2</v>
      </c>
      <c r="K29" s="3" t="s">
        <v>64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2.0739441904466416E-2</v>
      </c>
      <c r="M29" s="126"/>
      <c r="T29" s="12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149</v>
      </c>
      <c r="Z29" s="1" t="s">
        <v>150</v>
      </c>
      <c r="AA29" s="1" t="s">
        <v>151</v>
      </c>
      <c r="AE29" s="12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123</v>
      </c>
      <c r="AZ29" s="3" t="s">
        <v>100</v>
      </c>
      <c r="BA29" s="3" t="s">
        <v>101</v>
      </c>
      <c r="BB29" s="3" t="s">
        <v>102</v>
      </c>
      <c r="BC29" s="12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123</v>
      </c>
      <c r="BK29" s="3" t="s">
        <v>100</v>
      </c>
      <c r="BL29" s="3" t="s">
        <v>101</v>
      </c>
      <c r="BM29" s="3" t="s">
        <v>102</v>
      </c>
      <c r="BP29" s="126"/>
      <c r="BT29" s="126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9.7298712844521948E-2</v>
      </c>
      <c r="K30" s="3" t="s">
        <v>65</v>
      </c>
      <c r="L30" s="26">
        <f>IF(Additional_valid_options="Yes",CHIDIST(L29,k_-1+IF(Trim_and_fill="On",L39,0)),"")</f>
        <v>0.98968385924026681</v>
      </c>
      <c r="M30" s="126"/>
      <c r="T30" s="12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105</v>
      </c>
      <c r="AY30" s="4">
        <v>0</v>
      </c>
      <c r="AZ30" s="4"/>
      <c r="BA30" s="4"/>
      <c r="BB30" s="4"/>
      <c r="BC30" s="12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105</v>
      </c>
      <c r="BJ30" s="4">
        <f>INTERCEPT(BG:BG,BF:BF)</f>
        <v>-0.42481160299187065</v>
      </c>
      <c r="BK30" s="4">
        <f>BK31*SQRT(1/k_*SUMPRODUCT(BF:BF,BF:BF))</f>
        <v>2.8141506366270918E-3</v>
      </c>
      <c r="BL30" s="4">
        <f>BJ30-ABS(TINV((1-Additional_confidence_level),k_-1))*BK30</f>
        <v>-0.43691991591048041</v>
      </c>
      <c r="BM30" s="4">
        <f>BJ30+ABS(TINV((1-Additional_confidence_level),k_-1))*BK30</f>
        <v>-0.4127032900732609</v>
      </c>
      <c r="BP30" s="126"/>
      <c r="BT30" s="126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32</v>
      </c>
      <c r="I31" s="4">
        <f>IF(Additional_valid_options="Yes",I29-ABS(TINV((1-Additional_confidence_level),k_-1))*I30,"")</f>
        <v>-0.49005872407984513</v>
      </c>
      <c r="K31" s="3" t="s">
        <v>66</v>
      </c>
      <c r="L31" s="8">
        <f>IF(Additional_valid_options="Yes",IF(L29-(k_-1+IF(Trim_and_fill="On",L39,0))&lt;=0,0,(L29-(k_-1+IF(Trim_and_fill="On",L39,0)))/L29),"")</f>
        <v>0</v>
      </c>
      <c r="M31" s="126"/>
      <c r="T31" s="12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0</v>
      </c>
      <c r="Z31" s="4">
        <f t="array" ref="Z31:Z39">FREQUENCY(W:W,Calculations!HZ2:HZ10)/k_</f>
        <v>0.33333333333333331</v>
      </c>
      <c r="AA31" s="4">
        <f>NORMSDIST(Calculations!HZ2)</f>
        <v>0.5</v>
      </c>
      <c r="AE31" s="12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132</v>
      </c>
      <c r="AY31" s="4">
        <f>I29</f>
        <v>-7.1416151658253782E-2</v>
      </c>
      <c r="AZ31" s="4">
        <f>I30</f>
        <v>9.7298712844521948E-2</v>
      </c>
      <c r="BA31" s="4">
        <f>AY31-ABS(TINV((1-Additional_confidence_level),k_-1))*AZ31</f>
        <v>-0.49005872407984513</v>
      </c>
      <c r="BB31" s="4">
        <f>AY31+ABS(TINV((1-Additional_confidence_level),k_-1))*AZ31</f>
        <v>0.3472264207633376</v>
      </c>
      <c r="BC31" s="12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132</v>
      </c>
      <c r="BJ31" s="4">
        <f>SLOPE(BG:BG,BF:BF)</f>
        <v>0.11290970488482266</v>
      </c>
      <c r="BK31" s="4">
        <f>SQRT(((1/(k_-2))*SUMPRODUCT(Calculations!JA:JA,Calculations!JA:JA))/SUMPRODUCT(Calculations!IZ:IZ,Calculations!IZ:IZ))</f>
        <v>4.0952110308583468E-3</v>
      </c>
      <c r="BL31" s="4">
        <f>BJ31-ABS(TINV((1-Additional_confidence_level),k_-1))*BK31</f>
        <v>9.5289433963999887E-2</v>
      </c>
      <c r="BM31" s="4">
        <f>BJ31+ABS(TINV((1-Additional_confidence_level),k_-1))*BK31</f>
        <v>0.13052997580564543</v>
      </c>
      <c r="BP31" s="126"/>
      <c r="BT31" s="126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33</v>
      </c>
      <c r="I32" s="4">
        <f>IF(Additional_valid_options="Yes",I29+ABS(TINV((1-Additional_confidence_level),k_-1))*I30,"")</f>
        <v>0.3472264207633376</v>
      </c>
      <c r="K32" s="3" t="s">
        <v>152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6"/>
      <c r="T32" s="12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0; 0</v>
      </c>
      <c r="Z32" s="4">
        <v>0</v>
      </c>
      <c r="AA32" s="4">
        <f>NORMSDIST(Calculations!HZ3)-(SUM(AA$31:AA31))</f>
        <v>0</v>
      </c>
      <c r="AE32" s="12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2" t="s">
        <v>109</v>
      </c>
      <c r="AL32" s="122"/>
      <c r="AM32" s="122"/>
      <c r="AR32" s="12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6"/>
      <c r="BT32" s="126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56</v>
      </c>
      <c r="I33" s="4">
        <f>IF(Additional_valid_options="Yes",I29-ABS(TINV((1-Additional_confidence_level),k_-1))*SQRT(I30^2+Calculations!GH12),"")</f>
        <v>-0.49005872407984513</v>
      </c>
      <c r="K33" s="3" t="s">
        <v>76</v>
      </c>
      <c r="L33" s="4">
        <f>IF(Additional_valid_options="Yes",SQRT(L32),"")</f>
        <v>0</v>
      </c>
      <c r="M33" s="126"/>
      <c r="T33" s="12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0; 0</v>
      </c>
      <c r="Z33" s="4">
        <v>0</v>
      </c>
      <c r="AA33" s="4">
        <f>NORMSDIST(Calculations!HZ4)-(SUM(AA$31:AA32))</f>
        <v>0</v>
      </c>
      <c r="AE33" s="12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0" t="s">
        <v>153</v>
      </c>
      <c r="AL33" s="120"/>
      <c r="AM33" s="120"/>
      <c r="AR33" s="12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154</v>
      </c>
      <c r="BJ33" s="5" t="s">
        <v>155</v>
      </c>
      <c r="BP33" s="126"/>
      <c r="BT33" s="126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57</v>
      </c>
      <c r="I34" s="4">
        <f>IF(Additional_valid_options="Yes",I29+ABS(TINV((1-Additional_confidence_level),k_-1))*SQRT(I30^2+Calculations!GH12),"")</f>
        <v>0.3472264207633376</v>
      </c>
      <c r="M34" s="126"/>
      <c r="T34" s="12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0; 0</v>
      </c>
      <c r="Z34" s="4">
        <v>0</v>
      </c>
      <c r="AA34" s="4">
        <f>NORMSDIST(Calculations!HZ5)-(SUM(AA$31:AA33))</f>
        <v>0</v>
      </c>
      <c r="AE34" s="12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156</v>
      </c>
      <c r="AL34" s="3"/>
      <c r="AM34" s="4">
        <f>EXP(SUMPRODUCT(LogRiskRatio,Calculations!IE:IE)/SUM(Calculations!IE:IE))</f>
        <v>0.93539556434902593</v>
      </c>
      <c r="AR34" s="12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6"/>
      <c r="BT34" s="126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6"/>
      <c r="T35" s="12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0; 0</v>
      </c>
      <c r="Z35" s="4">
        <v>0</v>
      </c>
      <c r="AA35" s="4">
        <f>NORMSDIST(Calculations!HZ6)-(SUM(AA$31:AA34))</f>
        <v>0</v>
      </c>
      <c r="AE35" s="12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6"/>
      <c r="BT35" s="126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109</v>
      </c>
      <c r="I36" s="90" t="s">
        <v>157</v>
      </c>
      <c r="K36" s="1" t="s">
        <v>158</v>
      </c>
      <c r="L36" s="5" t="s">
        <v>159</v>
      </c>
      <c r="M36" s="126"/>
      <c r="T36" s="12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0; 0</v>
      </c>
      <c r="Z36" s="4">
        <v>0</v>
      </c>
      <c r="AA36" s="4">
        <f>NORMSDIST(Calculations!HZ7)-(SUM(AA$31:AA35))</f>
        <v>0</v>
      </c>
      <c r="AE36" s="12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6"/>
      <c r="BT36" s="126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-7.1416151658253782E-2</v>
      </c>
      <c r="K37" s="3" t="s">
        <v>160</v>
      </c>
      <c r="L37" s="5" t="s">
        <v>161</v>
      </c>
      <c r="M37" s="126"/>
      <c r="T37" s="12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0; 0</v>
      </c>
      <c r="Z37" s="4">
        <v>0</v>
      </c>
      <c r="AA37" s="4">
        <f>NORMSDIST(Calculations!HZ8)-(SUM(AA$31:AA36))</f>
        <v>0</v>
      </c>
      <c r="AE37" s="12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6"/>
      <c r="BT37" s="126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9.7298712844521948E-2</v>
      </c>
      <c r="K38" s="3" t="s">
        <v>162</v>
      </c>
      <c r="L38" s="91" t="str">
        <f>IF(Trim_and_fill="Off","",IF(I29&gt;0,"Left",IF(I29&lt;0,"Right","NA")))</f>
        <v>Right</v>
      </c>
      <c r="M38" s="126"/>
      <c r="T38" s="12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0; 0</v>
      </c>
      <c r="Z38" s="4">
        <v>0</v>
      </c>
      <c r="AA38" s="4">
        <f>NORMSDIST(Calculations!HZ9)-(SUM(AA$31:AA37))</f>
        <v>0</v>
      </c>
      <c r="AE38" s="12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6"/>
      <c r="BT38" s="126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32</v>
      </c>
      <c r="I39" s="4">
        <f>IF(AND(Trim_and_fill="On",Additional_valid_options="Yes",L38&lt;&gt;""),I37-ABS(TINV((1-Additional_confidence_level),k_+L39-1))*I38,"")</f>
        <v>-0.49005872407984513</v>
      </c>
      <c r="K39" s="3" t="s">
        <v>163</v>
      </c>
      <c r="L39" s="7">
        <f>IF(L38&lt;&gt;"",Calculations!GW21,"")</f>
        <v>0</v>
      </c>
      <c r="M39" s="126"/>
      <c r="T39" s="12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0; ∞</v>
      </c>
      <c r="Z39" s="4">
        <v>0.66666666666666663</v>
      </c>
      <c r="AA39" s="4">
        <f>1-(SUM(AA31:AA38))</f>
        <v>0.5</v>
      </c>
      <c r="AE39" s="12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6"/>
      <c r="BT39" s="126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33</v>
      </c>
      <c r="I40" s="4">
        <f>IF(AND(Trim_and_fill="On",Additional_valid_options="Yes",L38&lt;&gt;""),I37+ABS(TINV((1-Additional_confidence_level),k_+L39-1))*I38,"")</f>
        <v>0.3472264207633376</v>
      </c>
      <c r="M40" s="126"/>
      <c r="T40" s="12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6"/>
      <c r="BT40" s="126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56</v>
      </c>
      <c r="I41" s="4">
        <f>IF(AND(Trim_and_fill="On",Additional_valid_options="Yes",L38&lt;&gt;""),I37-ABS(TINV((1-Additional_confidence_level),k_+L39-1))*SQRT(I38^2+L32),"")</f>
        <v>-0.49005872407984513</v>
      </c>
      <c r="M41" s="126"/>
      <c r="T41" s="12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164</v>
      </c>
      <c r="AE41" s="12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6"/>
      <c r="BT41" s="126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57</v>
      </c>
      <c r="I42" s="4">
        <f>IF(AND(Trim_and_fill="On",Additional_valid_options="Yes",L38&lt;&gt;""),I37+ABS(TINV((1-Additional_confidence_level),k_+L39-1))*SQRT(I38^2+L32),"")</f>
        <v>0.3472264207633376</v>
      </c>
      <c r="M42" s="126"/>
      <c r="T42" s="12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6"/>
      <c r="BT42" s="126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6"/>
      <c r="T43" s="12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6"/>
      <c r="BT43" s="126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6"/>
      <c r="T44" s="12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6"/>
      <c r="BT44" s="126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6"/>
      <c r="T45" s="12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6"/>
      <c r="BT45" s="126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6"/>
      <c r="T46" s="12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6"/>
      <c r="BT46" s="126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6"/>
      <c r="T47" s="12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6"/>
      <c r="BT47" s="126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6"/>
      <c r="T48" s="12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6"/>
      <c r="BT48" s="126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6"/>
      <c r="T49" s="12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6"/>
      <c r="BT49" s="126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6"/>
      <c r="T50" s="12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6"/>
      <c r="BT50" s="126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6"/>
      <c r="T51" s="12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6"/>
      <c r="BT51" s="126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6"/>
      <c r="T52" s="12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6"/>
      <c r="BT52" s="126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6"/>
      <c r="T53" s="12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6"/>
      <c r="BT53" s="126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6"/>
      <c r="T54" s="12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6"/>
      <c r="BT54" s="126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6"/>
      <c r="T55" s="12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6"/>
      <c r="BT55" s="126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6"/>
      <c r="T56" s="12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6"/>
      <c r="BT56" s="126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6"/>
      <c r="T57" s="12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6"/>
      <c r="BT57" s="126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6"/>
      <c r="T58" s="12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6"/>
      <c r="BT58" s="126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6"/>
      <c r="T59" s="12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6"/>
      <c r="BT59" s="126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6"/>
      <c r="T60" s="12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6"/>
      <c r="BT60" s="126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6"/>
      <c r="T61" s="12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6"/>
      <c r="BT61" s="126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6"/>
      <c r="T62" s="12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6"/>
      <c r="BT62" s="126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6"/>
      <c r="T63" s="12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6"/>
      <c r="BT63" s="126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6"/>
      <c r="T64" s="12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6"/>
      <c r="BT64" s="126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6"/>
      <c r="T65" s="12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6"/>
      <c r="BT65" s="126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6"/>
      <c r="T66" s="12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6"/>
      <c r="BT66" s="126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6"/>
      <c r="T67" s="12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6"/>
      <c r="BT67" s="126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6"/>
      <c r="T68" s="12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6"/>
      <c r="BT68" s="126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6"/>
      <c r="T69" s="12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6"/>
      <c r="BT69" s="126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6"/>
      <c r="T70" s="12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6"/>
      <c r="BT70" s="126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6"/>
      <c r="T71" s="12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6"/>
      <c r="BT71" s="126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6"/>
      <c r="T72" s="12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6"/>
      <c r="BT72" s="126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6"/>
      <c r="T73" s="12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6"/>
      <c r="BT73" s="126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6"/>
      <c r="T74" s="12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6"/>
      <c r="BT74" s="126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6"/>
      <c r="T75" s="12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6"/>
      <c r="BT75" s="126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6"/>
      <c r="T76" s="12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6"/>
      <c r="BT76" s="126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6"/>
      <c r="T77" s="12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6"/>
      <c r="BT77" s="126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6"/>
      <c r="T78" s="12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6"/>
      <c r="BT78" s="126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6"/>
      <c r="T79" s="12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6"/>
      <c r="BT79" s="126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6"/>
      <c r="T80" s="12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6"/>
      <c r="BT80" s="126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6"/>
      <c r="T81" s="12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6"/>
      <c r="BT81" s="126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6"/>
      <c r="T82" s="12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6"/>
      <c r="BT82" s="126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6"/>
      <c r="T83" s="12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6"/>
      <c r="BT83" s="126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6"/>
      <c r="T84" s="12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6"/>
      <c r="BT84" s="126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6"/>
      <c r="T85" s="12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6"/>
      <c r="BT85" s="126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6"/>
      <c r="T86" s="12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6"/>
      <c r="BT86" s="126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6"/>
      <c r="T87" s="12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6"/>
      <c r="BT87" s="126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6"/>
      <c r="T88" s="12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6"/>
      <c r="BT88" s="126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6"/>
      <c r="T89" s="12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6"/>
      <c r="BT89" s="126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6"/>
      <c r="T90" s="12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6"/>
      <c r="BT90" s="126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6"/>
      <c r="T91" s="12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6"/>
      <c r="BT91" s="126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6"/>
      <c r="T92" s="12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6"/>
      <c r="BT92" s="126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6"/>
      <c r="T93" s="12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6"/>
      <c r="BT93" s="126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6"/>
      <c r="T94" s="12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6"/>
      <c r="BT94" s="126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6"/>
      <c r="T95" s="12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6"/>
      <c r="BT95" s="126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6"/>
      <c r="T96" s="12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6"/>
      <c r="BT96" s="126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6"/>
      <c r="T97" s="12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6"/>
      <c r="BT97" s="126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6"/>
      <c r="T98" s="12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6"/>
      <c r="BT98" s="126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6"/>
      <c r="T99" s="12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6"/>
      <c r="BT99" s="126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6"/>
      <c r="T100" s="12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6"/>
      <c r="BT100" s="126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6"/>
      <c r="T101" s="12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6"/>
      <c r="BT101" s="126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6"/>
      <c r="T102" s="12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6"/>
      <c r="BT102" s="126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6"/>
      <c r="T103" s="12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6"/>
      <c r="BT103" s="126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6"/>
      <c r="T104" s="12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6"/>
      <c r="BT104" s="126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6"/>
      <c r="T105" s="12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6"/>
      <c r="BT105" s="126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6"/>
      <c r="T106" s="12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6"/>
      <c r="BT106" s="126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6"/>
      <c r="T107" s="12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6"/>
      <c r="BT107" s="126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6"/>
      <c r="T108" s="12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6"/>
      <c r="BT108" s="126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6"/>
      <c r="T109" s="12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6"/>
      <c r="BT109" s="126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6"/>
      <c r="T110" s="12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6"/>
      <c r="BT110" s="126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6"/>
      <c r="T111" s="12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6"/>
      <c r="BT111" s="126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6"/>
      <c r="T112" s="12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6"/>
      <c r="BT112" s="126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6"/>
      <c r="T113" s="12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6"/>
      <c r="BT113" s="126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6"/>
      <c r="T114" s="12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6"/>
      <c r="BT114" s="126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6"/>
      <c r="T115" s="12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6"/>
      <c r="BT115" s="126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6"/>
      <c r="T116" s="12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6"/>
      <c r="BT116" s="126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6"/>
      <c r="T117" s="12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6"/>
      <c r="BT117" s="126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6"/>
      <c r="T118" s="12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6"/>
      <c r="BT118" s="126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6"/>
      <c r="T119" s="12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6"/>
      <c r="BT119" s="126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6"/>
      <c r="T120" s="12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6"/>
      <c r="BT120" s="126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6"/>
      <c r="T121" s="12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6"/>
      <c r="BT121" s="126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6"/>
      <c r="T122" s="12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6"/>
      <c r="BT122" s="126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6"/>
      <c r="T123" s="12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6"/>
      <c r="BT123" s="126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6"/>
      <c r="T124" s="12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6"/>
      <c r="BT124" s="126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6"/>
      <c r="T125" s="12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6"/>
      <c r="BT125" s="126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6"/>
      <c r="T126" s="12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6"/>
      <c r="BT126" s="126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6"/>
      <c r="T127" s="12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6"/>
      <c r="BT127" s="126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6"/>
      <c r="T128" s="12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6"/>
      <c r="BT128" s="126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6"/>
      <c r="T129" s="12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6"/>
      <c r="BT129" s="126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6"/>
      <c r="T130" s="12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6"/>
      <c r="BT130" s="126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6"/>
      <c r="T131" s="12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6"/>
      <c r="BT131" s="126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6"/>
      <c r="T132" s="12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6"/>
      <c r="BT132" s="126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6"/>
      <c r="T133" s="12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6"/>
      <c r="BT133" s="126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6"/>
      <c r="T134" s="12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6"/>
      <c r="BT134" s="126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6"/>
      <c r="T135" s="12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6"/>
      <c r="BT135" s="126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6"/>
      <c r="T136" s="12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6"/>
      <c r="BT136" s="126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6"/>
      <c r="T137" s="12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6"/>
      <c r="BT137" s="126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6"/>
      <c r="T138" s="12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6"/>
      <c r="BT138" s="126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6"/>
      <c r="T139" s="12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6"/>
      <c r="BT139" s="126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6"/>
      <c r="T140" s="12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6"/>
      <c r="BT140" s="126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6"/>
      <c r="T141" s="12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6"/>
      <c r="BT141" s="126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6"/>
      <c r="T142" s="12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6"/>
      <c r="BT142" s="126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6"/>
      <c r="T143" s="12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6"/>
      <c r="BT143" s="126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6"/>
      <c r="T144" s="12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6"/>
      <c r="BT144" s="126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6"/>
      <c r="T145" s="12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6"/>
      <c r="BT145" s="126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6"/>
      <c r="T146" s="12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6"/>
      <c r="BT146" s="126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6"/>
      <c r="T147" s="12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6"/>
      <c r="BT147" s="126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6"/>
      <c r="T148" s="12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6"/>
      <c r="BT148" s="126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6"/>
      <c r="T149" s="12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6"/>
      <c r="BT149" s="126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6"/>
      <c r="T150" s="12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6"/>
      <c r="BT150" s="126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6"/>
      <c r="T151" s="12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6"/>
      <c r="BT151" s="126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6"/>
      <c r="T152" s="12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6"/>
      <c r="BT152" s="126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6"/>
      <c r="T153" s="12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6"/>
      <c r="BT153" s="126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6"/>
      <c r="T154" s="12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6"/>
      <c r="BT154" s="126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6"/>
      <c r="T155" s="12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6"/>
      <c r="BT155" s="126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6"/>
      <c r="T156" s="12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6"/>
      <c r="BT156" s="126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6"/>
      <c r="T157" s="12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6"/>
      <c r="BT157" s="126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6"/>
      <c r="T158" s="12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6"/>
      <c r="BT158" s="126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6"/>
      <c r="T159" s="12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6"/>
      <c r="BT159" s="126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6"/>
      <c r="T160" s="12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6"/>
      <c r="BT160" s="126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6"/>
      <c r="T161" s="12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6"/>
      <c r="BT161" s="126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6"/>
      <c r="T162" s="12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6"/>
      <c r="BT162" s="126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6"/>
      <c r="T163" s="12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6"/>
      <c r="BT163" s="126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6"/>
      <c r="T164" s="12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6"/>
      <c r="BT164" s="126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6"/>
      <c r="T165" s="12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6"/>
      <c r="BT165" s="126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6"/>
      <c r="T166" s="12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6"/>
      <c r="BT166" s="126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6"/>
      <c r="T167" s="12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6"/>
      <c r="BT167" s="126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6"/>
      <c r="T168" s="12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6"/>
      <c r="BT168" s="126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6"/>
      <c r="T169" s="12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6"/>
      <c r="BT169" s="126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6"/>
      <c r="T170" s="12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6"/>
      <c r="BT170" s="126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6"/>
      <c r="T171" s="12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6"/>
      <c r="BT171" s="126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6"/>
      <c r="T172" s="12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6"/>
      <c r="BT172" s="126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6"/>
      <c r="T173" s="12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6"/>
      <c r="BT173" s="126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6"/>
      <c r="T174" s="12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6"/>
      <c r="BT174" s="126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6"/>
      <c r="T175" s="12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6"/>
      <c r="BT175" s="126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6"/>
      <c r="T176" s="12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6"/>
      <c r="BT176" s="126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6"/>
      <c r="T177" s="12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6"/>
      <c r="BT177" s="126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6"/>
      <c r="T178" s="12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6"/>
      <c r="BT178" s="126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6"/>
      <c r="T179" s="12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6"/>
      <c r="BT179" s="126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6"/>
      <c r="T180" s="12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6"/>
      <c r="BT180" s="126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6"/>
      <c r="T181" s="12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6"/>
      <c r="BT181" s="126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6"/>
      <c r="T182" s="12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6"/>
      <c r="BT182" s="126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6"/>
      <c r="T183" s="12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6"/>
      <c r="BT183" s="126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6"/>
      <c r="T184" s="12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6"/>
      <c r="BT184" s="126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6"/>
      <c r="T185" s="12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6"/>
      <c r="BT185" s="126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6"/>
      <c r="T186" s="12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6"/>
      <c r="BT186" s="126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6"/>
      <c r="T187" s="12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6"/>
      <c r="BT187" s="126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6"/>
      <c r="T188" s="12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6"/>
      <c r="BT188" s="126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6"/>
      <c r="T189" s="12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6"/>
      <c r="BT189" s="126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6"/>
      <c r="T190" s="12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6"/>
      <c r="BT190" s="126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6"/>
      <c r="T191" s="12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6"/>
      <c r="BT191" s="126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6"/>
      <c r="T192" s="12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6"/>
      <c r="BT192" s="126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6"/>
      <c r="T193" s="12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6"/>
      <c r="BT193" s="126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6"/>
      <c r="T194" s="12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6"/>
      <c r="BT194" s="126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6"/>
      <c r="T195" s="12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6"/>
      <c r="BT195" s="126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6"/>
      <c r="T196" s="12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6"/>
      <c r="BT196" s="126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6"/>
      <c r="T197" s="12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6"/>
      <c r="BT197" s="126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6"/>
      <c r="T198" s="12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6"/>
      <c r="BT198" s="126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6"/>
      <c r="T199" s="12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6"/>
      <c r="BT199" s="126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6"/>
      <c r="T200" s="12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6"/>
      <c r="BT200" s="126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7"/>
      <c r="T201" s="12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7"/>
      <c r="BT201" s="127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9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165</v>
      </c>
      <c r="H1" s="87"/>
      <c r="I1" s="88"/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P1" s="85"/>
      <c r="Q1" s="1" t="s">
        <v>171</v>
      </c>
      <c r="R1" s="1" t="s">
        <v>172</v>
      </c>
      <c r="S1" s="1" t="s">
        <v>173</v>
      </c>
      <c r="T1" s="1" t="s">
        <v>174</v>
      </c>
      <c r="V1" s="85"/>
      <c r="W1" s="1" t="s">
        <v>175</v>
      </c>
      <c r="X1" s="1" t="s">
        <v>176</v>
      </c>
      <c r="Y1" s="1" t="s">
        <v>177</v>
      </c>
      <c r="Z1" s="1" t="s">
        <v>178</v>
      </c>
      <c r="AB1" s="85"/>
      <c r="AC1" s="1" t="s">
        <v>156</v>
      </c>
      <c r="AD1" s="1" t="s">
        <v>179</v>
      </c>
      <c r="AE1" s="1" t="s">
        <v>180</v>
      </c>
      <c r="AF1" s="1" t="s">
        <v>181</v>
      </c>
      <c r="AG1" s="1" t="s">
        <v>182</v>
      </c>
      <c r="AI1" s="87"/>
      <c r="AJ1" s="112" t="s">
        <v>183</v>
      </c>
      <c r="AK1" s="112"/>
      <c r="AL1" s="1" t="s">
        <v>37</v>
      </c>
      <c r="AM1" s="1" t="s">
        <v>1</v>
      </c>
      <c r="AN1" s="1" t="s">
        <v>41</v>
      </c>
      <c r="AO1" s="1" t="str">
        <f>Present_Effect_size_measure</f>
        <v>Odds Ratio</v>
      </c>
      <c r="AP1" s="1" t="s">
        <v>45</v>
      </c>
      <c r="AQ1" s="1" t="s">
        <v>48</v>
      </c>
      <c r="AR1" s="1" t="str">
        <f>IF(Present_Effect_size_measure="Risk Difference","Standard error","Standard error log")</f>
        <v>Standard error log</v>
      </c>
      <c r="AS1" s="1" t="s">
        <v>32</v>
      </c>
      <c r="AT1" s="1" t="s">
        <v>33</v>
      </c>
      <c r="AU1" s="1" t="s">
        <v>34</v>
      </c>
      <c r="AW1" s="1" t="str">
        <f>Present_Effect_size_measure</f>
        <v>Odds Ratio</v>
      </c>
      <c r="AX1" s="1" t="s">
        <v>184</v>
      </c>
      <c r="AY1" s="1" t="s">
        <v>185</v>
      </c>
      <c r="BA1" s="112" t="s">
        <v>186</v>
      </c>
      <c r="BB1" s="11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100</v>
      </c>
      <c r="BH1" s="1" t="s">
        <v>45</v>
      </c>
      <c r="BI1" s="1" t="s">
        <v>48</v>
      </c>
      <c r="BJ1" s="1" t="s">
        <v>108</v>
      </c>
      <c r="BL1" s="112" t="s">
        <v>55</v>
      </c>
      <c r="BM1" s="112"/>
      <c r="BO1" s="85"/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45</v>
      </c>
      <c r="BW1" s="1" t="s">
        <v>193</v>
      </c>
      <c r="BX1" s="1" t="s">
        <v>48</v>
      </c>
      <c r="BY1" s="1" t="s">
        <v>108</v>
      </c>
      <c r="BZ1" s="11"/>
      <c r="CA1" s="112" t="s">
        <v>55</v>
      </c>
      <c r="CB1" s="112"/>
      <c r="CD1" s="85"/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45</v>
      </c>
      <c r="CJ1" s="1" t="s">
        <v>48</v>
      </c>
      <c r="CK1" s="1" t="s">
        <v>108</v>
      </c>
      <c r="CM1" s="112" t="s">
        <v>55</v>
      </c>
      <c r="CN1" s="112"/>
      <c r="CP1" s="85"/>
      <c r="CQ1" s="1" t="s">
        <v>198</v>
      </c>
      <c r="CS1" s="112" t="s">
        <v>47</v>
      </c>
      <c r="CT1" s="112"/>
      <c r="CU1" s="112"/>
      <c r="CV1" s="112"/>
      <c r="CX1" s="87"/>
      <c r="CY1" s="1" t="s">
        <v>199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45</v>
      </c>
      <c r="DE1" s="1" t="s">
        <v>200</v>
      </c>
      <c r="DF1" s="1" t="s">
        <v>201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202</v>
      </c>
      <c r="DI1" s="1" t="s">
        <v>203</v>
      </c>
      <c r="DJ1" s="1" t="s">
        <v>108</v>
      </c>
      <c r="DL1" s="1" t="str">
        <f>Subgroup_effect_size_measure</f>
        <v>Odds Ratio</v>
      </c>
      <c r="DM1" s="1" t="s">
        <v>184</v>
      </c>
      <c r="DN1" s="1" t="s">
        <v>185</v>
      </c>
      <c r="DP1" s="1" t="s">
        <v>204</v>
      </c>
      <c r="DQ1" s="1" t="s">
        <v>10</v>
      </c>
      <c r="DR1" s="1" t="s">
        <v>31</v>
      </c>
      <c r="DS1" s="1" t="s">
        <v>205</v>
      </c>
      <c r="DT1" s="1" t="s">
        <v>64</v>
      </c>
      <c r="DU1" s="1" t="s">
        <v>73</v>
      </c>
      <c r="DV1" s="1" t="s">
        <v>74</v>
      </c>
      <c r="DW1" s="1" t="s">
        <v>206</v>
      </c>
      <c r="DX1" s="1" t="s">
        <v>75</v>
      </c>
      <c r="DY1" s="1" t="s">
        <v>76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208</v>
      </c>
      <c r="EI1" s="1" t="s">
        <v>209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210</v>
      </c>
      <c r="EO1" s="1" t="s">
        <v>211</v>
      </c>
      <c r="EP1" s="1" t="str">
        <f>IF(Within_subgroup_weighting=EX38,"Sum of squares (Q)","Sum of squares (Q*)")</f>
        <v>Sum of squares (Q*)</v>
      </c>
      <c r="EQ1" s="1" t="s">
        <v>186</v>
      </c>
      <c r="ER1" s="18" t="s">
        <v>212</v>
      </c>
      <c r="ES1" s="1" t="s">
        <v>45</v>
      </c>
      <c r="ET1" s="1" t="s">
        <v>213</v>
      </c>
      <c r="EU1" s="1" t="s">
        <v>214</v>
      </c>
      <c r="EV1" s="1" t="s">
        <v>108</v>
      </c>
      <c r="EX1" s="1" t="s">
        <v>109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215</v>
      </c>
      <c r="FE1" s="1" t="s">
        <v>45</v>
      </c>
      <c r="FF1" s="1" t="s">
        <v>216</v>
      </c>
      <c r="FG1" s="1" t="s">
        <v>217</v>
      </c>
      <c r="FH1" s="1" t="s">
        <v>218</v>
      </c>
      <c r="FJ1" s="1" t="s">
        <v>34</v>
      </c>
      <c r="FK1" s="1" t="s">
        <v>219</v>
      </c>
      <c r="FL1" s="1" t="s">
        <v>217</v>
      </c>
      <c r="FM1" s="1" t="s">
        <v>220</v>
      </c>
      <c r="FO1" s="1" t="s">
        <v>153</v>
      </c>
      <c r="FP1" s="1"/>
      <c r="FR1" s="87"/>
      <c r="FS1" s="88"/>
      <c r="FT1" s="1" t="s">
        <v>45</v>
      </c>
      <c r="FU1" s="1" t="s">
        <v>34</v>
      </c>
      <c r="FV1" s="1" t="s">
        <v>221</v>
      </c>
      <c r="FW1" s="1" t="s">
        <v>222</v>
      </c>
      <c r="FX1" s="1" t="s">
        <v>223</v>
      </c>
      <c r="FY1" s="1" t="s">
        <v>58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2" t="s">
        <v>228</v>
      </c>
      <c r="GH1" s="112"/>
      <c r="GI1" s="112"/>
      <c r="GK1" s="85"/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V1" s="112" t="s">
        <v>238</v>
      </c>
      <c r="GW1" s="112"/>
      <c r="GY1" s="1" t="s">
        <v>239</v>
      </c>
      <c r="GZ1" s="1" t="s">
        <v>240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241</v>
      </c>
      <c r="HD1" s="1" t="s">
        <v>34</v>
      </c>
      <c r="HE1" s="1" t="s">
        <v>108</v>
      </c>
      <c r="HG1" s="1" t="s">
        <v>242</v>
      </c>
      <c r="HH1" s="1" t="str">
        <f>HA1</f>
        <v>Log Odds Ratio</v>
      </c>
      <c r="HI1" s="1" t="str">
        <f>HB1</f>
        <v>SE Log Odds Ratio</v>
      </c>
      <c r="HK1" s="85"/>
      <c r="HL1" s="1" t="s">
        <v>243</v>
      </c>
      <c r="HM1" s="1" t="s">
        <v>244</v>
      </c>
      <c r="HO1" s="85"/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W1" s="85"/>
      <c r="HX1" s="1" t="s">
        <v>251</v>
      </c>
      <c r="HY1" s="1" t="s">
        <v>252</v>
      </c>
      <c r="HZ1" s="1" t="s">
        <v>253</v>
      </c>
      <c r="IB1" s="85"/>
      <c r="IC1" s="1" t="s">
        <v>116</v>
      </c>
      <c r="ID1" s="1" t="s">
        <v>115</v>
      </c>
      <c r="IE1" s="1" t="s">
        <v>45</v>
      </c>
      <c r="IF1" s="1" t="s">
        <v>254</v>
      </c>
      <c r="IH1" s="112" t="s">
        <v>255</v>
      </c>
      <c r="II1" s="112"/>
      <c r="IK1" s="85"/>
      <c r="IL1" s="1" t="s">
        <v>256</v>
      </c>
      <c r="IM1" s="1" t="s">
        <v>257</v>
      </c>
      <c r="IN1" s="1" t="s">
        <v>243</v>
      </c>
      <c r="IO1" s="1" t="s">
        <v>244</v>
      </c>
      <c r="IQ1" s="112" t="s">
        <v>258</v>
      </c>
      <c r="IR1" s="112"/>
      <c r="IS1" s="112"/>
      <c r="IU1" s="85"/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244</v>
      </c>
      <c r="JC1" s="112" t="s">
        <v>258</v>
      </c>
      <c r="JD1" s="112"/>
      <c r="JE1" s="112"/>
      <c r="JG1" s="85"/>
      <c r="JH1" s="1" t="s">
        <v>118</v>
      </c>
      <c r="JI1" s="1" t="s">
        <v>104</v>
      </c>
      <c r="JJ1" s="1" t="s">
        <v>264</v>
      </c>
    </row>
    <row r="2" spans="1:270" ht="13.5" customHeight="1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3" t="s">
        <v>265</v>
      </c>
      <c r="I2" s="128" t="s">
        <v>47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6" t="s">
        <v>266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6" t="s">
        <v>175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6" t="s">
        <v>156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3" t="s">
        <v>267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268</v>
      </c>
      <c r="BB2" s="3">
        <f>'Forest Plot'!$B$16</f>
        <v>0.9310743433617068</v>
      </c>
      <c r="BD2" s="133" t="s">
        <v>269</v>
      </c>
      <c r="BE2" s="128" t="s">
        <v>270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-7.1416151658253782E-2</v>
      </c>
      <c r="BO2" s="126" t="s">
        <v>271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272</v>
      </c>
      <c r="CB2" s="3">
        <f>LN(CES_OddsRatio_MH)</f>
        <v>-7.1416151658253824E-2</v>
      </c>
      <c r="CD2" s="126" t="s">
        <v>273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274</v>
      </c>
      <c r="CN2" s="3">
        <f>IF(Meta_analysis_model="Fixed effect model",SUMPRODUCT(Weightf_Peto,LogPetoOddsRatio)/SUM(Weightf_Peto),SUMPRODUCT(Weight_Peto,LogPetoOddsRatio)/SUM(Weight_Peto))</f>
        <v>-7.1367191138833719E-2</v>
      </c>
      <c r="CP2" s="126" t="s">
        <v>275</v>
      </c>
      <c r="CQ2" s="51" t="str">
        <f t="shared" ref="CQ2:CQ33" si="52">IF(AND(Sufficient_data="Yes",Include_study?="Yes"),c_/(c_+d_),"")</f>
        <v/>
      </c>
      <c r="CS2" s="2"/>
      <c r="CT2" s="2" t="s">
        <v>44</v>
      </c>
      <c r="CU2" s="2" t="s">
        <v>68</v>
      </c>
      <c r="CV2" s="2" t="s">
        <v>69</v>
      </c>
      <c r="CX2" s="133" t="s">
        <v>276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-7.1416151658253782E-2</v>
      </c>
      <c r="FA2" s="133" t="s">
        <v>277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109</v>
      </c>
      <c r="FP2" s="3" t="e">
        <f>SUMPRODUCT('Moderator Analysis'!F:F,Calculations!FE:FE)/SUM(Calculations!FE:FE)</f>
        <v>#DIV/0!</v>
      </c>
      <c r="FR2" s="133" t="s">
        <v>278</v>
      </c>
      <c r="FS2" s="128" t="s">
        <v>122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279</v>
      </c>
      <c r="GH2" s="2" t="s">
        <v>249</v>
      </c>
      <c r="GI2" s="2" t="s">
        <v>250</v>
      </c>
      <c r="GK2" s="126" t="s">
        <v>280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21" t="s">
        <v>109</v>
      </c>
      <c r="GW2" s="121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6" t="s">
        <v>113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6" t="s">
        <v>281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6" t="s">
        <v>125</v>
      </c>
      <c r="HX2" s="20">
        <v>1</v>
      </c>
      <c r="HY2" s="3"/>
      <c r="HZ2" s="34">
        <f>HZ3-HY14</f>
        <v>0</v>
      </c>
      <c r="IB2" s="126" t="s">
        <v>282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249</v>
      </c>
      <c r="II2" s="2" t="s">
        <v>250</v>
      </c>
      <c r="IK2" s="126" t="s">
        <v>127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283</v>
      </c>
      <c r="IR2" s="2" t="s">
        <v>249</v>
      </c>
      <c r="IS2" s="2" t="s">
        <v>250</v>
      </c>
      <c r="IU2" s="126" t="s">
        <v>128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284</v>
      </c>
      <c r="JD2" s="2" t="s">
        <v>249</v>
      </c>
      <c r="JE2" s="2" t="s">
        <v>250</v>
      </c>
      <c r="JG2" s="126" t="s">
        <v>130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3"/>
      <c r="I3" s="128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6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6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6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3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285</v>
      </c>
      <c r="BB3" s="6">
        <f>IF(BB2&lt;&gt;"",MAX(Entry_number)+1,"")</f>
        <v>4</v>
      </c>
      <c r="BD3" s="133"/>
      <c r="BE3" s="128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9.9081056755877805E-3</v>
      </c>
      <c r="BO3" s="126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286</v>
      </c>
      <c r="CB3" s="3">
        <f>IF(Meta_analysis_model="Fixed effect model",0.5*(SUM(BR:BR)/SUM(BP:BP)^2+(SUM(BS:BS)+SUM(BT:BT))/(SUM(BP:BP)*SUM(BQ:BQ))+SUM(BU:BU)/SUM(BQ:BQ)^2),SUMPRODUCT(Weight_MH,BY:BY,BY:BY)/((k_-1)*SUM(Weight_MH)))</f>
        <v>9.8170558078614764E-5</v>
      </c>
      <c r="CD3" s="126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286</v>
      </c>
      <c r="CN3" s="3">
        <f>IF(Meta_analysis_model="Fixed effect model",1/SUM(Weightf_Peto),SUMPRODUCT(Weight_Peto,CK:CK,CK:CK)/((k_-1)*SUM(Weight_Peto)))</f>
        <v>9.8025619937421735E-5</v>
      </c>
      <c r="CP3" s="126"/>
      <c r="CQ3" s="52" t="str">
        <f t="shared" si="52"/>
        <v/>
      </c>
      <c r="CS3" s="2" t="s">
        <v>287</v>
      </c>
      <c r="CT3" s="3">
        <f>IF(Weighting_method="Inverse variance",IF(Model_effect_size_measure="Odds Ratio",CES_IV,NA()),NA())</f>
        <v>0.9310743433617068</v>
      </c>
      <c r="CU3" s="3">
        <f>IF(Model_effect_size_measure="Odds Ratio",CES_OddsRatio_MH,NA())</f>
        <v>0.9310743433617068</v>
      </c>
      <c r="CV3" s="3" t="e">
        <f>IF(Model_effect_size_measure="Peto Odds Ratio",CES_PetoOddsRatio,NA())</f>
        <v>#N/A</v>
      </c>
      <c r="CX3" s="133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</v>
      </c>
      <c r="FA3" s="13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288</v>
      </c>
      <c r="FP3" s="3" t="str">
        <f>IF(SUM(Moderator)&lt;&gt;0,SUMPRODUCT(Moderator,FE:FE)/SUM(Calculations!FE:FE),"")</f>
        <v/>
      </c>
      <c r="FR3" s="133"/>
      <c r="FS3" s="128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289</v>
      </c>
      <c r="GH3" s="3">
        <f>IF(Additional_valid_options="Yes",IF(Trim_and_fill="Off",'Publication Bias Analysis'!I29,'Publication Bias Analysis'!I37)-ABS(TINV((1-Additional_confidence_level),k_-1))*GI3,"")</f>
        <v>-0.9559255199119121</v>
      </c>
      <c r="GI3" s="3">
        <f>IF(Trim_and_fill="Off",GH17,GH22)</f>
        <v>0.20557303222218498</v>
      </c>
      <c r="GK3" s="126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-7.1416151658253782E-2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6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6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6"/>
      <c r="HX3" s="20">
        <v>2</v>
      </c>
      <c r="HY3" s="3">
        <f t="shared" ref="HY3:HY10" si="123">HZ2</f>
        <v>0</v>
      </c>
      <c r="HZ3" s="35">
        <f>HZ4-HY14</f>
        <v>0</v>
      </c>
      <c r="IB3" s="126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6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105</v>
      </c>
      <c r="IR3" s="3">
        <v>0</v>
      </c>
      <c r="IS3" s="3">
        <v>0</v>
      </c>
      <c r="IU3" s="126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252</v>
      </c>
      <c r="JD3" s="3">
        <f>MIN('Publication Bias Analysis'!BF:BF)</f>
        <v>-0.84162123357291452</v>
      </c>
      <c r="JE3" s="3">
        <f>'Publication Bias Analysis'!BJ$30+JD3*'Publication Bias Analysis'!BJ$31</f>
        <v>-0.51983880809938887</v>
      </c>
      <c r="JG3" s="126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3"/>
      <c r="I4" s="128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6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6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6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3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290</v>
      </c>
      <c r="BB4" s="3">
        <f>'Forest Plot'!$B$16-CES_CI_Lower_limit</f>
        <v>3.885858099451267E-2</v>
      </c>
      <c r="BD4" s="133"/>
      <c r="BE4" s="128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-0.11404728958996768</v>
      </c>
      <c r="BO4" s="126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291</v>
      </c>
      <c r="CB4" s="3">
        <f>SQRT(VarlnCES_MH)</f>
        <v>9.9081056755877788E-3</v>
      </c>
      <c r="CD4" s="126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291</v>
      </c>
      <c r="CN4" s="3">
        <f>SQRT(VarlnCES_Peto)</f>
        <v>9.9007888542995259E-3</v>
      </c>
      <c r="CP4" s="126"/>
      <c r="CQ4" s="52" t="str">
        <f t="shared" si="52"/>
        <v/>
      </c>
      <c r="CS4" s="2" t="s">
        <v>101</v>
      </c>
      <c r="CT4" s="3">
        <f>IF(Weighting_method="Inverse variance",IF(Model_effect_size_measure="Odds Ratio",CICES_LL,""),"")</f>
        <v>0.89221576236719413</v>
      </c>
      <c r="CU4" s="3">
        <f>IF(Model_effect_size_measure="Odds Ratio",CICES_LL_MH,"")</f>
        <v>0.89221576236719413</v>
      </c>
      <c r="CV4" s="3" t="str">
        <f>IF(Model_effect_size_measure="Peto Odds Ratio",CICES_LL_Peto,"")</f>
        <v/>
      </c>
      <c r="CX4" s="133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-7.1416151658253782E-2</v>
      </c>
      <c r="FA4" s="13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132</v>
      </c>
      <c r="FP4" s="3" t="str">
        <f>IF(FP3&lt;&gt;"",SUMPRODUCT(FF:FF,FG:FG,FE:FE)/SUMPRODUCT(FG:FG,FG:FG,FE:FE),"")</f>
        <v/>
      </c>
      <c r="FR4" s="133"/>
      <c r="FS4" s="128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283</v>
      </c>
      <c r="GH4" s="3">
        <f>IF(Trim_and_fill="Off",'Publication Bias Analysis'!I29,'Publication Bias Analysis'!I37)</f>
        <v>-7.1416151658253782E-2</v>
      </c>
      <c r="GI4" s="3">
        <v>0</v>
      </c>
      <c r="GK4" s="126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2" t="s">
        <v>63</v>
      </c>
      <c r="GW4" s="11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6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6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6"/>
      <c r="HX4" s="20">
        <v>3</v>
      </c>
      <c r="HY4" s="3">
        <f t="shared" si="123"/>
        <v>0</v>
      </c>
      <c r="HZ4" s="35">
        <f>HZ5-HY14</f>
        <v>0</v>
      </c>
      <c r="IB4" s="126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8.223350253807106E-2</v>
      </c>
      <c r="II4" s="3">
        <f>MAX('Publication Bias Analysis'!AH:AH)</f>
        <v>8.223350253807106E-2</v>
      </c>
      <c r="IK4" s="126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292</v>
      </c>
      <c r="IR4" s="3">
        <f>MAX(Inverse_standard_error)</f>
        <v>6.0258232649491505</v>
      </c>
      <c r="IS4" s="3">
        <f>IR4*'Publication Bias Analysis'!AY31</f>
        <v>-0.43034110815544252</v>
      </c>
      <c r="IU4" s="126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253</v>
      </c>
      <c r="JD4" s="3">
        <f>MAX('Publication Bias Analysis'!BF:BF)</f>
        <v>0.84162123357291341</v>
      </c>
      <c r="JE4" s="3">
        <f>'Publication Bias Analysis'!BJ$30+JD4*'Publication Bias Analysis'!BJ$31</f>
        <v>-0.3297843978843526</v>
      </c>
      <c r="JG4" s="126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3"/>
      <c r="I5" s="128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6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6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6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3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293</v>
      </c>
      <c r="BB5" s="3">
        <f>CES_CI_Upper_limit-'Forest Plot'!$B$16</f>
        <v>4.0550984761176578E-2</v>
      </c>
      <c r="BD5" s="133"/>
      <c r="BE5" s="128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-2.8785013726539882E-2</v>
      </c>
      <c r="BO5" s="126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294</v>
      </c>
      <c r="CB5" s="3">
        <f>lnCES_OddsRatio_MH-ABS(TINV((1-Confidence_level),k_-1))*SElnCES_MH</f>
        <v>-0.11404728958996771</v>
      </c>
      <c r="CD5" s="126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294</v>
      </c>
      <c r="CN5" s="3">
        <f>lnCES_PetoOddsRatio-ABS(TINV((1-Confidence_level),k_-1))*SElnCES_Peto</f>
        <v>-0.11396684732945862</v>
      </c>
      <c r="CP5" s="126"/>
      <c r="CQ5" s="52" t="str">
        <f t="shared" si="52"/>
        <v/>
      </c>
      <c r="CS5" s="2" t="s">
        <v>102</v>
      </c>
      <c r="CT5" s="3">
        <f>IF(Weighting_method="Inverse variance",IF(Model_effect_size_measure="Odds Ratio",CICES_UL,""),"")</f>
        <v>0.97162532812288338</v>
      </c>
      <c r="CU5" s="3">
        <f>IF(Model_effect_size_measure="Odds Ratio",CICES_UL_MH,"")</f>
        <v>0.97162532812288338</v>
      </c>
      <c r="CV5" s="3" t="str">
        <f>IF(Model_effect_size_measure="Peto Odds Ratio",CICES_UL_Peto,"")</f>
        <v/>
      </c>
      <c r="CX5" s="133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>
        <f t="shared" si="102"/>
        <v>4</v>
      </c>
      <c r="DQ5" s="17" t="str">
        <f>IF(AND(Sufficient_data="Yes",Subgroup&lt;&gt;""),IF(COUNTIFS(Input!J$2:J4,"="&amp;"Yes",Input!C$2:C4,"="&amp;"Yes",Input!K$2:K4,"="&amp;Subgroup)&gt;0,"",Subgroup),"")</f>
        <v>English</v>
      </c>
      <c r="DR5" s="6">
        <f t="shared" si="103"/>
        <v>1</v>
      </c>
      <c r="DS5" s="6">
        <f t="shared" si="66"/>
        <v>3</v>
      </c>
      <c r="DT5" s="3">
        <f t="shared" si="67"/>
        <v>2.0739441904466416E-2</v>
      </c>
      <c r="DU5" s="10">
        <f t="shared" si="104"/>
        <v>0.98968385924026681</v>
      </c>
      <c r="DV5" s="9">
        <f t="shared" si="105"/>
        <v>0</v>
      </c>
      <c r="DW5" s="10">
        <f t="shared" si="68"/>
        <v>70.39607865301582</v>
      </c>
      <c r="DX5" s="3">
        <f t="shared" si="69"/>
        <v>0</v>
      </c>
      <c r="DY5" s="3">
        <f t="shared" si="106"/>
        <v>0</v>
      </c>
      <c r="DZ5" s="3">
        <f t="shared" si="70"/>
        <v>-7.1416151658253782E-2</v>
      </c>
      <c r="EA5" s="3">
        <f t="shared" si="71"/>
        <v>9.9081056755877805E-3</v>
      </c>
      <c r="EB5" s="6">
        <f t="shared" si="72"/>
        <v>14936</v>
      </c>
      <c r="EC5" s="3">
        <f t="shared" si="107"/>
        <v>-0.11404728958996768</v>
      </c>
      <c r="ED5" s="3">
        <f t="shared" si="108"/>
        <v>-2.8785013726539882E-2</v>
      </c>
      <c r="EE5" s="3">
        <f t="shared" si="109"/>
        <v>0.9310743433617068</v>
      </c>
      <c r="EF5" s="3">
        <f t="shared" si="110"/>
        <v>0.89221576236719413</v>
      </c>
      <c r="EG5" s="3">
        <f t="shared" si="111"/>
        <v>0.97162532812288338</v>
      </c>
      <c r="EH5" s="3">
        <f t="shared" si="112"/>
        <v>3.885858099451267E-2</v>
      </c>
      <c r="EI5" s="3">
        <f t="shared" si="113"/>
        <v>4.0550984761176578E-2</v>
      </c>
      <c r="EJ5" s="3">
        <f t="shared" si="114"/>
        <v>-0.11404728958996768</v>
      </c>
      <c r="EK5" s="3">
        <f t="shared" si="73"/>
        <v>-2.8785013726539882E-2</v>
      </c>
      <c r="EL5" s="3">
        <f t="shared" si="115"/>
        <v>0.89221576236719413</v>
      </c>
      <c r="EM5" s="3">
        <f t="shared" si="116"/>
        <v>0.97162532812288338</v>
      </c>
      <c r="EN5" s="3">
        <f t="shared" si="117"/>
        <v>3.885858099451267E-2</v>
      </c>
      <c r="EO5" s="3">
        <f t="shared" si="118"/>
        <v>4.0550984761176578E-2</v>
      </c>
      <c r="EP5" s="3">
        <f t="shared" si="74"/>
        <v>2.0739441904466416E-2</v>
      </c>
      <c r="EQ5" s="3">
        <f t="shared" si="119"/>
        <v>0.9310743433617068</v>
      </c>
      <c r="ER5" s="9">
        <f t="shared" si="120"/>
        <v>0.5</v>
      </c>
      <c r="ES5" s="3">
        <f t="shared" si="121"/>
        <v>10186.353419720828</v>
      </c>
      <c r="ET5" s="3">
        <f t="shared" si="122"/>
        <v>10186.353419720828</v>
      </c>
      <c r="EU5" s="3">
        <f t="shared" si="75"/>
        <v>0</v>
      </c>
      <c r="EV5" s="35">
        <f t="shared" si="76"/>
        <v>0</v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-7.1416151658253782E-2</v>
      </c>
      <c r="FA5" s="13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105</v>
      </c>
      <c r="FP5" s="3" t="str">
        <f>IF(FP3&lt;&gt;"",FP2-FP3*FP4,"")</f>
        <v/>
      </c>
      <c r="FR5" s="133"/>
      <c r="FS5" s="128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295</v>
      </c>
      <c r="GH5" s="3">
        <f>IF(Additional_valid_options="Yes",IF(Trim_and_fill="Off",'Publication Bias Analysis'!I29,'Publication Bias Analysis'!I37)+ABS(TINV((1-Additional_confidence_level),k_-1))*GI3,"")</f>
        <v>0.81309321659540457</v>
      </c>
      <c r="GI5" s="3">
        <f>IF(Trim_and_fill="Off",GH17,GH22)</f>
        <v>0.20557303222218498</v>
      </c>
      <c r="GK5" s="126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64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2.0739441904466416E-2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6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6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6"/>
      <c r="HX5" s="20">
        <v>4</v>
      </c>
      <c r="HY5" s="3">
        <f t="shared" si="123"/>
        <v>0</v>
      </c>
      <c r="HZ5" s="35">
        <f>HZ6-HY14</f>
        <v>0</v>
      </c>
      <c r="IB5" s="126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2" t="s">
        <v>296</v>
      </c>
      <c r="II5" s="112"/>
      <c r="IK5" s="126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252</v>
      </c>
      <c r="IR5" s="2" t="s">
        <v>249</v>
      </c>
      <c r="IS5" s="2" t="s">
        <v>250</v>
      </c>
      <c r="IU5" s="126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297</v>
      </c>
      <c r="JD5" s="2" t="s">
        <v>249</v>
      </c>
      <c r="JE5" s="2" t="s">
        <v>250</v>
      </c>
      <c r="JG5" s="126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>
        <f t="shared" si="0"/>
        <v>1</v>
      </c>
      <c r="B6" s="6">
        <f>IF(AND(Include_study?="Yes",Sufficient_data="Yes"),IF(Input!a_&lt;&gt;"",Input!a_,Input!n1_-Input!b_),"")</f>
        <v>66.099999999999994</v>
      </c>
      <c r="C6" s="6">
        <f>IF(AND(Include_study?="Yes",Sufficient_data="Yes"),IF(Input!b_&lt;&gt;"",Input!b_,Input!n1_-Input!a_),"")</f>
        <v>5431.9</v>
      </c>
      <c r="D6" s="6">
        <f>IF(AND(Include_study?="Yes",Sufficient_data="Yes"),IF(Input!c_&lt;&gt;"",Input!c_,Input!n2_-Input!d_),"")</f>
        <v>72.2</v>
      </c>
      <c r="E6" s="6">
        <f>IF(AND(Include_study?="Yes",Sufficient_data="Yes"),IF(Input!d_&lt;&gt;"",Input!d_,Input!n2_-Input!c_),"")</f>
        <v>5425.8</v>
      </c>
      <c r="F6" s="35" t="str">
        <f t="shared" si="1"/>
        <v>No</v>
      </c>
      <c r="H6" s="133"/>
      <c r="I6" s="128"/>
      <c r="J6" s="76">
        <f t="shared" si="2"/>
        <v>0.91448434886983176</v>
      </c>
      <c r="K6" s="3">
        <f t="shared" si="3"/>
        <v>-8.9394925710100992E-2</v>
      </c>
      <c r="L6" s="3">
        <f t="shared" si="4"/>
        <v>0.17131086018515415</v>
      </c>
      <c r="M6" s="3">
        <f t="shared" si="5"/>
        <v>0.65364230521356326</v>
      </c>
      <c r="N6" s="35">
        <f t="shared" si="6"/>
        <v>1.2794178370303673</v>
      </c>
      <c r="P6" s="126"/>
      <c r="Q6" s="76">
        <f t="shared" si="7"/>
        <v>0.91454415466527261</v>
      </c>
      <c r="R6" s="3">
        <f t="shared" si="8"/>
        <v>0.17113845364896654</v>
      </c>
      <c r="S6" s="3">
        <f t="shared" si="9"/>
        <v>0.65390600112436559</v>
      </c>
      <c r="T6" s="35">
        <f t="shared" si="10"/>
        <v>1.2790691772124383</v>
      </c>
      <c r="V6" s="126"/>
      <c r="W6" s="76">
        <f t="shared" si="11"/>
        <v>-1.1094943615860327E-3</v>
      </c>
      <c r="X6" s="3">
        <f t="shared" si="12"/>
        <v>2.1254579970695978E-3</v>
      </c>
      <c r="Y6" s="3">
        <f t="shared" si="13"/>
        <v>-5.2757741647336447E-3</v>
      </c>
      <c r="Z6" s="35">
        <f t="shared" si="14"/>
        <v>3.0567854415615792E-3</v>
      </c>
      <c r="AB6" s="126"/>
      <c r="AC6" s="76">
        <f t="shared" si="15"/>
        <v>0.91551246537396114</v>
      </c>
      <c r="AD6" s="3">
        <f t="shared" si="16"/>
        <v>-8.8271299041140033E-2</v>
      </c>
      <c r="AE6" s="3">
        <f t="shared" si="17"/>
        <v>0.16916039699104993</v>
      </c>
      <c r="AF6" s="3">
        <f t="shared" si="18"/>
        <v>0.65714138228074226</v>
      </c>
      <c r="AG6" s="35">
        <f t="shared" si="19"/>
        <v>1.2754684103839171</v>
      </c>
      <c r="AI6" s="13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6" s="6">
        <f>IF(AJ6&lt;&gt;"",IF(AJ6=0,COUNTIF(AJ$2:AJ5,0)+1,COUNTIF(AJ$2:AJ5,AJ6)+AJ6+COUNTIF(AJ:AJ,0)),"")</f>
        <v>1</v>
      </c>
      <c r="AL6" s="6">
        <f t="shared" si="20"/>
        <v>1</v>
      </c>
      <c r="AM6" s="3" t="str">
        <f>IF(AND(Include_study?="Yes",Sufficient_data="Yes",Input!Study_name&lt;&gt;""),Input!Study_name,"")</f>
        <v>Hazarika et al. (A)</v>
      </c>
      <c r="AN6" s="6">
        <f t="shared" si="21"/>
        <v>10996</v>
      </c>
      <c r="AO6" s="3">
        <f t="shared" si="22"/>
        <v>0.91448434886983176</v>
      </c>
      <c r="AP6" s="3">
        <f t="shared" si="23"/>
        <v>34.074556226536743</v>
      </c>
      <c r="AQ6" s="3">
        <f t="shared" si="24"/>
        <v>34.074556226536743</v>
      </c>
      <c r="AR6" s="3">
        <f t="shared" si="25"/>
        <v>0.17131086018515415</v>
      </c>
      <c r="AS6" s="3">
        <f t="shared" si="26"/>
        <v>0.65364230521356326</v>
      </c>
      <c r="AT6" s="3">
        <f t="shared" si="27"/>
        <v>1.2794178370303673</v>
      </c>
      <c r="AU6" s="80">
        <f t="shared" si="28"/>
        <v>0.32258517046400015</v>
      </c>
      <c r="AW6" s="44">
        <f t="shared" si="29"/>
        <v>0.91448434886983176</v>
      </c>
      <c r="AX6" s="3">
        <f t="shared" si="30"/>
        <v>0.26084204365626851</v>
      </c>
      <c r="AY6" s="35">
        <f t="shared" si="31"/>
        <v>0.3649334881605355</v>
      </c>
      <c r="BA6" s="2" t="s">
        <v>298</v>
      </c>
      <c r="BB6" s="3">
        <f>'Forest Plot'!$B$16-CES_PI_Lower_limit</f>
        <v>3.885858099451267E-2</v>
      </c>
      <c r="BD6" s="133"/>
      <c r="BE6" s="128"/>
      <c r="BF6" s="3">
        <f t="shared" si="32"/>
        <v>-8.9394925710100992E-2</v>
      </c>
      <c r="BG6" s="3">
        <f t="shared" si="33"/>
        <v>0.17131086018515415</v>
      </c>
      <c r="BH6" s="3">
        <f t="shared" si="34"/>
        <v>34.074556226536743</v>
      </c>
      <c r="BI6" s="3">
        <f t="shared" si="99"/>
        <v>34.074556226536743</v>
      </c>
      <c r="BJ6" s="35">
        <f t="shared" si="35"/>
        <v>-1.797877405184721E-2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-0.11404728958996768</v>
      </c>
      <c r="BO6" s="126"/>
      <c r="BP6" s="3">
        <f t="shared" si="36"/>
        <v>32.615985813022917</v>
      </c>
      <c r="BQ6" s="3">
        <f t="shared" si="37"/>
        <v>35.665985813022914</v>
      </c>
      <c r="BR6" s="3">
        <f t="shared" si="38"/>
        <v>16.2898992803329</v>
      </c>
      <c r="BS6" s="3">
        <f>IF(AND(Sufficient_data="Yes",Include_study?="Yes"),IF(Add_0_5="Yes",(a_+d_+1)*(ab_+0.5)*(c_+0.5)/(Number_of_subjects+2)^2,(a_+d_)*b_*c_/Number_of_subjects^2),"")</f>
        <v>17.813207301431483</v>
      </c>
      <c r="BT6" s="3">
        <f t="shared" si="39"/>
        <v>16.326086532690017</v>
      </c>
      <c r="BU6" s="3">
        <f t="shared" si="40"/>
        <v>17.852778511591435</v>
      </c>
      <c r="BV6" s="3">
        <f t="shared" si="41"/>
        <v>35.665985813022914</v>
      </c>
      <c r="BW6" s="3">
        <f t="shared" si="42"/>
        <v>1.1009308869474281E-2</v>
      </c>
      <c r="BX6" s="3">
        <f t="shared" si="43"/>
        <v>34.074556226536743</v>
      </c>
      <c r="BY6" s="35">
        <f t="shared" si="44"/>
        <v>-1.7978774051847168E-2</v>
      </c>
      <c r="CA6" s="3" t="s">
        <v>299</v>
      </c>
      <c r="CB6" s="3">
        <f>lnCES_OddsRatio_MH+ABS(TINV((1-Confidence_level),k_-1))*SElnCES_MH</f>
        <v>-2.8785013726539931E-2</v>
      </c>
      <c r="CD6" s="126"/>
      <c r="CE6" s="76">
        <f t="shared" si="45"/>
        <v>69.150000000000006</v>
      </c>
      <c r="CF6" s="3">
        <f t="shared" si="46"/>
        <v>34.143244884038204</v>
      </c>
      <c r="CG6" s="3">
        <f t="shared" si="47"/>
        <v>-8.9329529467946714E-2</v>
      </c>
      <c r="CH6" s="3">
        <f t="shared" si="48"/>
        <v>2.9288370317359466E-2</v>
      </c>
      <c r="CI6" s="3">
        <f t="shared" si="49"/>
        <v>34.143244884038204</v>
      </c>
      <c r="CJ6" s="3">
        <f t="shared" si="50"/>
        <v>34.143244884038204</v>
      </c>
      <c r="CK6" s="35">
        <f t="shared" si="51"/>
        <v>-1.7962338329112995E-2</v>
      </c>
      <c r="CM6" s="3" t="s">
        <v>299</v>
      </c>
      <c r="CN6" s="3">
        <f>lnCES_PetoOddsRatio+ABS(TINV((1-Confidence_level),k_-1))*SElnCES_Peto</f>
        <v>-2.8767534948208814E-2</v>
      </c>
      <c r="CP6" s="126"/>
      <c r="CQ6" s="52">
        <f t="shared" si="52"/>
        <v>1.3132048017460896E-2</v>
      </c>
      <c r="CS6" s="2" t="s">
        <v>300</v>
      </c>
      <c r="CT6" s="3">
        <f>IF(Weighting_method="Inverse variance",IF(Model_effect_size_measure="Odds Ratio",PICES_LL,""),"")</f>
        <v>0.89221576236719413</v>
      </c>
      <c r="CU6" s="3">
        <f>IF(Model_effect_size_measure="Odds Ratio",PICES_LL_MH,"")</f>
        <v>0.89221576236719413</v>
      </c>
      <c r="CV6" s="3" t="str">
        <f>IF(Model_effect_size_measure="Peto Odds Ratio",PICES_LL_Peto,"")</f>
        <v/>
      </c>
      <c r="CX6" s="133"/>
      <c r="CY6" s="48">
        <f t="shared" si="53"/>
        <v>2</v>
      </c>
      <c r="CZ6" s="6" t="str">
        <f t="shared" si="54"/>
        <v>Hazarika et al. (A)</v>
      </c>
      <c r="DA6" s="17" t="str">
        <f t="shared" si="55"/>
        <v>English</v>
      </c>
      <c r="DB6" s="3">
        <f t="shared" si="56"/>
        <v>-8.9394925710100992E-2</v>
      </c>
      <c r="DC6" s="3">
        <f t="shared" si="57"/>
        <v>0.17131086018515415</v>
      </c>
      <c r="DD6" s="3">
        <f t="shared" si="58"/>
        <v>34.074556226536743</v>
      </c>
      <c r="DE6" s="3">
        <f t="shared" si="59"/>
        <v>34.074556226536743</v>
      </c>
      <c r="DF6" s="80">
        <f t="shared" si="60"/>
        <v>0.32258517046400015</v>
      </c>
      <c r="DG6" s="3">
        <f t="shared" si="61"/>
        <v>0.91448434886983176</v>
      </c>
      <c r="DH6" s="3">
        <f t="shared" si="62"/>
        <v>0.65364230741158846</v>
      </c>
      <c r="DI6" s="3">
        <f t="shared" si="63"/>
        <v>1.2794178327280252</v>
      </c>
      <c r="DJ6" s="35">
        <f t="shared" si="64"/>
        <v>-1.797877405184721E-2</v>
      </c>
      <c r="DL6" s="44">
        <f t="shared" si="65"/>
        <v>0.91448434886983176</v>
      </c>
      <c r="DM6" s="3">
        <f t="shared" si="100"/>
        <v>0.2608420414582433</v>
      </c>
      <c r="DN6" s="35">
        <f t="shared" si="101"/>
        <v>0.36493348385819346</v>
      </c>
      <c r="DP6" s="48">
        <f t="shared" si="102"/>
        <v>4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1</v>
      </c>
      <c r="DS6" s="6">
        <f t="shared" si="66"/>
        <v>3</v>
      </c>
      <c r="DT6" s="3">
        <f t="shared" si="67"/>
        <v>2.0739441904466416E-2</v>
      </c>
      <c r="DU6" s="10">
        <f t="shared" si="104"/>
        <v>0.98968385924026681</v>
      </c>
      <c r="DV6" s="9">
        <f t="shared" si="105"/>
        <v>0</v>
      </c>
      <c r="DW6" s="10">
        <f t="shared" si="68"/>
        <v>70.39607865301582</v>
      </c>
      <c r="DX6" s="3">
        <f t="shared" si="69"/>
        <v>0</v>
      </c>
      <c r="DY6" s="3">
        <f t="shared" si="106"/>
        <v>0</v>
      </c>
      <c r="DZ6" s="3">
        <f t="shared" si="70"/>
        <v>-7.1416151658253782E-2</v>
      </c>
      <c r="EA6" s="3">
        <f t="shared" si="71"/>
        <v>9.9081056755877805E-3</v>
      </c>
      <c r="EB6" s="6">
        <f t="shared" si="72"/>
        <v>14936</v>
      </c>
      <c r="EC6" s="3">
        <f t="shared" si="107"/>
        <v>-0.11404728958996768</v>
      </c>
      <c r="ED6" s="3">
        <f t="shared" si="108"/>
        <v>-2.8785013726539882E-2</v>
      </c>
      <c r="EE6" s="3">
        <f t="shared" si="109"/>
        <v>0.9310743433617068</v>
      </c>
      <c r="EF6" s="3">
        <f t="shared" si="110"/>
        <v>0.89221576236719413</v>
      </c>
      <c r="EG6" s="3">
        <f t="shared" si="111"/>
        <v>0.97162532812288338</v>
      </c>
      <c r="EH6" s="3">
        <f t="shared" si="112"/>
        <v>3.885858099451267E-2</v>
      </c>
      <c r="EI6" s="3">
        <f t="shared" si="113"/>
        <v>4.0550984761176578E-2</v>
      </c>
      <c r="EJ6" s="3">
        <f t="shared" si="114"/>
        <v>-0.11404728958996768</v>
      </c>
      <c r="EK6" s="3">
        <f t="shared" si="73"/>
        <v>-2.8785013726539882E-2</v>
      </c>
      <c r="EL6" s="3">
        <f t="shared" si="115"/>
        <v>0.89221576236719413</v>
      </c>
      <c r="EM6" s="3">
        <f t="shared" si="116"/>
        <v>0.97162532812288338</v>
      </c>
      <c r="EN6" s="3">
        <f t="shared" si="117"/>
        <v>3.885858099451267E-2</v>
      </c>
      <c r="EO6" s="3">
        <f t="shared" si="118"/>
        <v>4.0550984761176578E-2</v>
      </c>
      <c r="EP6" s="3">
        <f t="shared" si="74"/>
        <v>2.0739441904466416E-2</v>
      </c>
      <c r="EQ6" s="3">
        <f t="shared" si="119"/>
        <v>0.9310743433617068</v>
      </c>
      <c r="ER6" s="9">
        <f t="shared" si="120"/>
        <v>0.5</v>
      </c>
      <c r="ES6" s="3">
        <f t="shared" si="121"/>
        <v>10186.353419720828</v>
      </c>
      <c r="ET6" s="3">
        <f t="shared" si="122"/>
        <v>10186.353419720828</v>
      </c>
      <c r="EU6" s="3">
        <f t="shared" si="75"/>
        <v>0</v>
      </c>
      <c r="EV6" s="35">
        <f t="shared" si="76"/>
        <v>0</v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-7.1416151658253782E-2</v>
      </c>
      <c r="FA6" s="13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301</v>
      </c>
      <c r="FP6" s="3" t="str">
        <f>IF(FP3&lt;&gt;"",SUM(FH:FH),"")</f>
        <v/>
      </c>
      <c r="FR6" s="133"/>
      <c r="FS6" s="128"/>
      <c r="FT6" s="76">
        <f>IF(AND(Include_study?="Yes",Sufficient_data="Yes"),IF(Additional_weighting_method="Inverse Variance",1/'Publication Bias Analysis'!F:F^2,IF(Additional_weighting_method="Mantel-Haenszel",Weightf_MH,Weightf_Peto)),"")</f>
        <v>34.074556226536743</v>
      </c>
      <c r="FU6" s="3">
        <f>IF(AND(Include_study?="Yes",Sufficient_data="Yes"),1/('Publication Bias Analysis'!F:F^2+IF(Additional_model="Fixed effect",0,Calculations!GH$12)),"")</f>
        <v>34.074556226536743</v>
      </c>
      <c r="FV6" s="3">
        <f>IF(AND(Include_study?="Yes",Sufficient_data="Yes"),1/('Publication Bias Analysis'!F:F^2+IF(Additional_model="Fixed effect",0,'Publication Bias Analysis'!L$32)),"")</f>
        <v>34.074556226536743</v>
      </c>
      <c r="FW6" s="3">
        <f>IF(AND(Include_study?="Yes",Sufficient_data="Yes"),'Publication Bias Analysis'!E:E-'Publication Bias Analysis'!I$37,"")</f>
        <v>-1.797877405184721E-2</v>
      </c>
      <c r="FX6" s="3">
        <f>IF(AND(Include_study?="Yes",Sufficient_data="Yes"),IF(Additional_model="Fixed effect",1/'Publication Bias Analysis'!F:F,1/SQRT('Publication Bias Analysis'!F:F^2+GH$12)),"")</f>
        <v>5.8373415375954094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-0.5218287130978283</v>
      </c>
      <c r="FZ6" s="6">
        <f t="shared" si="80"/>
        <v>3</v>
      </c>
      <c r="GA6" s="83">
        <f>IF(AND(Include_study?="Yes",Sufficient_data="Yes"),FZ:FZ+IF(GL:GL&lt;0,-1,1)*COUNTIF(FZ$2:FZ5,FZ:FZ),"")</f>
        <v>3</v>
      </c>
      <c r="GB6" s="83">
        <f>IF(AND(Include_study?="Yes",Sufficient_data="Yes"),RANK(GP:GP,GP:GP,1)*IF(GO:GO&lt;0,-1,1)+IF(GO:GO&lt;0,-1,1)*COUNTIF(FZ$2:FZ5,FZ:FZ),"")</f>
        <v>3</v>
      </c>
      <c r="GC6" s="83">
        <f>IF(AND(Include_study?="Yes",Sufficient_data="Yes"),RANK(GS:GS,GS:GS,1)*IF(GR:GR&lt;0,-1,1)+IF(GR:GR&lt;0,-1,1)*COUNTIF(FZ$2:FZ5,FZ:FZ),"")</f>
        <v>3</v>
      </c>
      <c r="GD6" s="3">
        <f>IF(AND(Include_study?="Yes",Sufficient_data="Yes"),'Publication Bias Analysis'!E6,NA())</f>
        <v>-8.9394925710100992E-2</v>
      </c>
      <c r="GE6" s="35">
        <f>IF(AND(Include_study?="Yes",Sufficient_data="Yes"),'Publication Bias Analysis'!F6,NA())</f>
        <v>0.17131086018515415</v>
      </c>
      <c r="GG6" s="24" t="s">
        <v>302</v>
      </c>
      <c r="GH6" s="2" t="s">
        <v>249</v>
      </c>
      <c r="GI6" s="2" t="s">
        <v>250</v>
      </c>
      <c r="GK6" s="12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1.797877405184721E-2</v>
      </c>
      <c r="GM6" s="3">
        <f t="shared" si="81"/>
        <v>1.797877405184721E-2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34.074556226536743</v>
      </c>
      <c r="GO6" s="3">
        <f>IF(AND(Include_study?="Yes",Sufficient_data="Yes"),IF('Publication Bias Analysis'!L$38="Left",'Publication Bias Analysis'!E:E-GW$3,GW$3-'Publication Bias Analysis'!E:E),"")</f>
        <v>1.797877405184721E-2</v>
      </c>
      <c r="GP6" s="3">
        <f t="shared" si="82"/>
        <v>1.797877405184721E-2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34.074556226536743</v>
      </c>
      <c r="GR6" s="3">
        <f>IF(AND(Include_study?="Yes",Sufficient_data="Yes"),IF('Publication Bias Analysis'!L$38="Left",'Publication Bias Analysis'!E:E-GW$10,GW$10-'Publication Bias Analysis'!E:E),"")</f>
        <v>1.797877405184721E-2</v>
      </c>
      <c r="GS6" s="3">
        <f t="shared" si="83"/>
        <v>1.797877405184721E-2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34.074556226536743</v>
      </c>
      <c r="GV6" s="2" t="s">
        <v>152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6"/>
      <c r="HL6" s="3">
        <f t="shared" si="89"/>
        <v>-9.5950473476912101E-2</v>
      </c>
      <c r="HM6" s="35">
        <f>IF(AND(Include_study?="Yes",Sufficient_data="Yes"),Z_score-('Publication Bias Analysis'!P$3+'Publication Bias Analysis'!P$4*Inverse_standard_error),"")</f>
        <v>-2.5130413685059416E-4</v>
      </c>
      <c r="HO6" s="126"/>
      <c r="HP6" s="3">
        <f>IF(AND(Include_study?="Yes",Sufficient_data="Yes"),(GD:GD-SUMPRODUCT(Calculations!FT:FT,'Publication Bias Analysis'!E:E)/SUM(Calculations!FT:FT))/SQRT(Calculations!HQ:HQ),"")</f>
        <v>-0.12751105200796287</v>
      </c>
      <c r="HQ6" s="3">
        <f>IF(AND(Include_study?="Yes",Sufficient_data="Yes"),GE:GE^2-1/SUM(Calculations!FT:FT),"")</f>
        <v>1.9880371296176695E-2</v>
      </c>
      <c r="HR6" s="6">
        <f t="shared" si="90"/>
        <v>3</v>
      </c>
      <c r="HS6" s="6">
        <f t="shared" si="91"/>
        <v>1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0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26"/>
      <c r="HX6" s="20">
        <v>5</v>
      </c>
      <c r="HY6" s="3">
        <f t="shared" si="123"/>
        <v>0</v>
      </c>
      <c r="HZ6" s="35">
        <f>1/2*HY14</f>
        <v>0</v>
      </c>
      <c r="IB6" s="126"/>
      <c r="IC6" s="76">
        <f t="shared" si="92"/>
        <v>1.2022553655874863E-2</v>
      </c>
      <c r="ID6" s="3">
        <f t="shared" si="93"/>
        <v>1.3132048017460896E-2</v>
      </c>
      <c r="IE6" s="3">
        <f t="shared" si="94"/>
        <v>34.946413279750573</v>
      </c>
      <c r="IF6" s="35">
        <f t="shared" si="95"/>
        <v>34.074556226536743</v>
      </c>
      <c r="IH6" s="3">
        <v>0</v>
      </c>
      <c r="II6" s="3">
        <v>0</v>
      </c>
      <c r="IK6" s="126"/>
      <c r="IL6" s="3">
        <f>IF(AND(Include_study?="Yes",Sufficient_data="Yes"),'Publication Bias Analysis'!AV:AV,NA())</f>
        <v>-0.5218287130978283</v>
      </c>
      <c r="IM6" s="3">
        <f>IF(AND(Sufficient_data="Yes",Include_study?="Yes"),'Publication Bias Analysis'!AU:AU,NA())</f>
        <v>5.8373415375954094</v>
      </c>
      <c r="IN6" s="3">
        <f t="shared" si="96"/>
        <v>-9.5950473476912101E-2</v>
      </c>
      <c r="IO6" s="35">
        <f>IF(AND(Include_study?="Yes",Sufficient_data="Yes"),Z_score-('Publication Bias Analysis'!AY$30+'Publication Bias Analysis'!AY$31*Inverse_standard_error),"")</f>
        <v>-0.1049482445678902</v>
      </c>
      <c r="IQ6" s="2" t="s">
        <v>105</v>
      </c>
      <c r="IR6" s="3">
        <v>0</v>
      </c>
      <c r="IS6" s="3">
        <f>ABS(TINV((1-Additional_confidence_level),k_-1))*-1</f>
        <v>-4.3026527297494619</v>
      </c>
      <c r="IU6" s="126"/>
      <c r="IV6" s="6">
        <f>IF('Publication Bias Analysis'!BG:BG&lt;&gt;"",RANK('Publication Bias Analysis'!BG:BG,'Publication Bias Analysis'!BG:BG,1)+COUNTIF('Publication Bias Analysis'!BG$2:BG5,'Publication Bias Analysis'!BG6),"")</f>
        <v>1</v>
      </c>
      <c r="IW6" s="3">
        <f t="shared" si="97"/>
        <v>0.2</v>
      </c>
      <c r="IX6" s="3">
        <f>IF('Publication Bias Analysis'!BF6&lt;&gt;"",'Publication Bias Analysis'!BF6,NA())</f>
        <v>-0.84162123357291452</v>
      </c>
      <c r="IY6" s="3">
        <f>IF('Publication Bias Analysis'!BG6&lt;&gt;"",'Publication Bias Analysis'!BG6,NA())</f>
        <v>-0.5218287130978283</v>
      </c>
      <c r="IZ6" s="3">
        <f>IF(AND(Include_study?="Yes",Sufficient_data="Yes"),'Publication Bias Analysis'!BF:BF-AVERAGE('Publication Bias Analysis'!BF:BF),"")</f>
        <v>-0.84162123357291418</v>
      </c>
      <c r="JA6" s="35">
        <f>IF(AND(Include_study?="Yes",Sufficient_data="Yes"),'Publication Bias Analysis'!BG:BG-('Publication Bias Analysis'!BJ$30+'Publication Bias Analysis'!BJ$31*'Publication Bias Analysis'!BF:BF),"")</f>
        <v>-1.989904998439429E-3</v>
      </c>
      <c r="JC6" s="2" t="s">
        <v>289</v>
      </c>
      <c r="JD6" s="3">
        <f>MIN('Publication Bias Analysis'!BF:BF)</f>
        <v>-0.84162123357291452</v>
      </c>
      <c r="JE6" s="3">
        <f>'Publication Bias Analysis'!BJ30</f>
        <v>-0.42481160299187065</v>
      </c>
      <c r="JG6" s="126"/>
      <c r="JH6" s="3">
        <f t="shared" si="98"/>
        <v>-0.5218287130978283</v>
      </c>
      <c r="JI6" s="10">
        <f t="shared" si="124"/>
        <v>0.30089479799400598</v>
      </c>
      <c r="JJ6" s="35">
        <f t="shared" si="125"/>
        <v>-1.2009945836510929</v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3"/>
      <c r="I7" s="128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6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6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6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3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303</v>
      </c>
      <c r="BB7" s="3">
        <f>CES_PI_Upper_limit-'Forest Plot'!$B$16</f>
        <v>4.0550984761176578E-2</v>
      </c>
      <c r="BD7" s="133"/>
      <c r="BE7" s="128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-2.8785013726539882E-2</v>
      </c>
      <c r="BO7" s="126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304</v>
      </c>
      <c r="CB7" s="3">
        <f>lnCES_OddsRatio_MH-ABS(TINV((1-Confidence_level),k_-1))*SQRT(T2_MH+SElnCES_MH^2)</f>
        <v>-0.11404728958996771</v>
      </c>
      <c r="CD7" s="126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304</v>
      </c>
      <c r="CN7" s="3">
        <f>lnCES_PetoOddsRatio-ABS(TINV((1-Confidence_level),k_-1))*SQRT(T2_Peto+SElnCES_Peto^2)</f>
        <v>-0.11396684732945862</v>
      </c>
      <c r="CP7" s="126"/>
      <c r="CQ7" s="52" t="str">
        <f t="shared" si="52"/>
        <v/>
      </c>
      <c r="CS7" s="2" t="s">
        <v>305</v>
      </c>
      <c r="CT7" s="3">
        <f>IF(Weighting_method="Inverse variance",IF(Model_effect_size_measure="Odds Ratio",PICES_UL,""),"")</f>
        <v>0.97162532812288338</v>
      </c>
      <c r="CU7" s="3">
        <f>IF(Model_effect_size_measure="Odds Ratio",PICES_UL_MH,"")</f>
        <v>0.97162532812288338</v>
      </c>
      <c r="CV7" s="3" t="str">
        <f>IF(Model_effect_size_measure="Peto Odds Ratio",PICES_UL_Peto,"")</f>
        <v/>
      </c>
      <c r="CX7" s="133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-7.1416151658253782E-2</v>
      </c>
      <c r="FA7" s="13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110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3"/>
      <c r="FS7" s="128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252</v>
      </c>
      <c r="GH7" s="3">
        <f>IF(Trim_and_fill="Off",'Publication Bias Analysis'!I29,'Publication Bias Analysis'!I37)</f>
        <v>-7.1416151658253782E-2</v>
      </c>
      <c r="GI7" s="3">
        <v>0</v>
      </c>
      <c r="GK7" s="126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6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6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6"/>
      <c r="HX7" s="20">
        <v>6</v>
      </c>
      <c r="HY7" s="3">
        <f t="shared" si="123"/>
        <v>0</v>
      </c>
      <c r="HZ7" s="35">
        <f>HZ6+HY14</f>
        <v>0</v>
      </c>
      <c r="IB7" s="126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8.223350253807106E-2</v>
      </c>
      <c r="II7" s="3">
        <f>EXP(SUMPRODUCT(LogRiskRatio,IE:IE)/SUM(IE:IE))*MAX('Publication Bias Analysis'!AH:AH)</f>
        <v>7.6920853514996029E-2</v>
      </c>
      <c r="IK7" s="126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292</v>
      </c>
      <c r="IR7" s="3">
        <f>MAX(Inverse_standard_error)</f>
        <v>6.0258232649491505</v>
      </c>
      <c r="IS7" s="3">
        <f>IR7*'Publication Bias Analysis'!AY31+IS6</f>
        <v>-4.7329938379049041</v>
      </c>
      <c r="IU7" s="126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295</v>
      </c>
      <c r="JD7" s="3">
        <f>MAX('Publication Bias Analysis'!BF:BF)</f>
        <v>0.84162123357291341</v>
      </c>
      <c r="JE7" s="3">
        <f>'Publication Bias Analysis'!BJ30</f>
        <v>-0.42481160299187065</v>
      </c>
      <c r="JG7" s="126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3"/>
      <c r="I8" s="128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6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6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6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3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307</v>
      </c>
      <c r="BB8" s="9">
        <f>IF(BB2&lt;&gt;"",MAX(Weight_lookup),"")</f>
        <v>0.34375337421152818</v>
      </c>
      <c r="BD8" s="133"/>
      <c r="BE8" s="128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6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308</v>
      </c>
      <c r="CB8" s="3">
        <f>lnCES_OddsRatio_MH+ABS(TINV((1-Confidence_level),k_-1))*SQRT(T2_MH+SElnCES_MH^2)</f>
        <v>-2.8785013726539931E-2</v>
      </c>
      <c r="CD8" s="126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308</v>
      </c>
      <c r="CN8" s="3">
        <f>lnCES_PetoOddsRatio+ABS(TINV((1-Confidence_level),k_-1))*SQRT(T2_Peto+SElnCES_Peto^2)</f>
        <v>-2.8767534948208814E-2</v>
      </c>
      <c r="CP8" s="126"/>
      <c r="CQ8" s="52" t="str">
        <f t="shared" si="52"/>
        <v/>
      </c>
      <c r="CX8" s="133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309</v>
      </c>
      <c r="FP8" s="6">
        <f>COUNTIFS(Include_study?,"Yes",Sufficient_data,"Yes",Moderator,"&lt;&gt;")</f>
        <v>0</v>
      </c>
      <c r="FR8" s="133"/>
      <c r="FS8" s="128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253</v>
      </c>
      <c r="GH8" s="3">
        <f>IF(Trim_and_fill="Off",'Publication Bias Analysis'!I29,'Publication Bias Analysis'!I37)</f>
        <v>-7.1416151658253782E-2</v>
      </c>
      <c r="GI8" s="3">
        <f>IF(Trim_and_fill="Off",GH17,GH22)</f>
        <v>0.20557303222218498</v>
      </c>
      <c r="GK8" s="126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6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6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6"/>
      <c r="HX8" s="20">
        <v>7</v>
      </c>
      <c r="HY8" s="3">
        <f t="shared" si="123"/>
        <v>0</v>
      </c>
      <c r="HZ8" s="35">
        <f>HZ7+HY14</f>
        <v>0</v>
      </c>
      <c r="IB8" s="126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6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253</v>
      </c>
      <c r="IR8" s="2" t="s">
        <v>249</v>
      </c>
      <c r="IS8" s="2" t="s">
        <v>250</v>
      </c>
      <c r="IU8" s="126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6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>
        <f t="shared" si="0"/>
        <v>2</v>
      </c>
      <c r="B9" s="6">
        <f>IF(AND(Include_study?="Yes",Sufficient_data="Yes"),IF(Input!a_&lt;&gt;"",Input!a_,Input!n1_-Input!b_),"")</f>
        <v>74</v>
      </c>
      <c r="C9" s="6">
        <f>IF(AND(Include_study?="Yes",Sufficient_data="Yes"),IF(Input!b_&lt;&gt;"",Input!b_,Input!n1_-Input!a_),"")</f>
        <v>911</v>
      </c>
      <c r="D9" s="6">
        <f>IF(AND(Include_study?="Yes",Sufficient_data="Yes"),IF(Input!c_&lt;&gt;"",Input!c_,Input!n2_-Input!d_),"")</f>
        <v>79</v>
      </c>
      <c r="E9" s="6">
        <f>IF(AND(Include_study?="Yes",Sufficient_data="Yes"),IF(Input!d_&lt;&gt;"",Input!d_,Input!n2_-Input!c_),"")</f>
        <v>906</v>
      </c>
      <c r="F9" s="35" t="str">
        <f t="shared" si="1"/>
        <v>No</v>
      </c>
      <c r="H9" s="133"/>
      <c r="I9" s="128"/>
      <c r="J9" s="76">
        <f t="shared" si="2"/>
        <v>0.93156775834039651</v>
      </c>
      <c r="K9" s="3">
        <f t="shared" si="3"/>
        <v>-7.0886350479830787E-2</v>
      </c>
      <c r="L9" s="3">
        <f t="shared" si="4"/>
        <v>0.16844342955969202</v>
      </c>
      <c r="M9" s="3">
        <f t="shared" si="5"/>
        <v>0.6694943358611587</v>
      </c>
      <c r="N9" s="35">
        <f t="shared" si="6"/>
        <v>1.2962297690884748</v>
      </c>
      <c r="P9" s="126"/>
      <c r="Q9" s="76">
        <f t="shared" si="7"/>
        <v>0.93162297131839999</v>
      </c>
      <c r="R9" s="3">
        <f t="shared" si="8"/>
        <v>0.1683176560623576</v>
      </c>
      <c r="S9" s="3">
        <f t="shared" si="9"/>
        <v>0.66969918583156074</v>
      </c>
      <c r="T9" s="35">
        <f t="shared" si="10"/>
        <v>1.2959868834399617</v>
      </c>
      <c r="V9" s="126"/>
      <c r="W9" s="76">
        <f t="shared" si="11"/>
        <v>-5.0761421319796829E-3</v>
      </c>
      <c r="X9" s="3">
        <f t="shared" si="12"/>
        <v>1.2059638985087259E-2</v>
      </c>
      <c r="Y9" s="3">
        <f t="shared" si="13"/>
        <v>-2.8727145960557917E-2</v>
      </c>
      <c r="Z9" s="35">
        <f t="shared" si="14"/>
        <v>1.8574861696598551E-2</v>
      </c>
      <c r="AB9" s="126"/>
      <c r="AC9" s="76">
        <f t="shared" si="15"/>
        <v>0.93670886075949378</v>
      </c>
      <c r="AD9" s="3">
        <f t="shared" si="16"/>
        <v>-6.5382759262851628E-2</v>
      </c>
      <c r="AE9" s="3">
        <f t="shared" si="17"/>
        <v>0.15537465851554719</v>
      </c>
      <c r="AF9" s="3">
        <f t="shared" si="18"/>
        <v>0.69066602077971206</v>
      </c>
      <c r="AG9" s="35">
        <f t="shared" si="19"/>
        <v>1.2704019937665398</v>
      </c>
      <c r="AI9" s="133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9" s="6">
        <f>IF(AJ9&lt;&gt;"",IF(AJ9=0,COUNTIF(AJ$2:AJ8,0)+1,COUNTIF(AJ$2:AJ8,AJ9)+AJ9+COUNTIF(AJ:AJ,0)),"")</f>
        <v>2</v>
      </c>
      <c r="AL9" s="6">
        <f t="shared" si="20"/>
        <v>2</v>
      </c>
      <c r="AM9" s="3" t="str">
        <f>IF(AND(Include_study?="Yes",Sufficient_data="Yes",Input!Study_name&lt;&gt;""),Input!Study_name,"")</f>
        <v>Quan et al.</v>
      </c>
      <c r="AN9" s="6">
        <f t="shared" si="21"/>
        <v>1970</v>
      </c>
      <c r="AO9" s="3">
        <f t="shared" si="22"/>
        <v>0.93156775834039651</v>
      </c>
      <c r="AP9" s="3">
        <f t="shared" si="23"/>
        <v>35.244540236391877</v>
      </c>
      <c r="AQ9" s="3">
        <f t="shared" si="24"/>
        <v>35.244540236391877</v>
      </c>
      <c r="AR9" s="3">
        <f t="shared" si="25"/>
        <v>0.16844342955969202</v>
      </c>
      <c r="AS9" s="3">
        <f t="shared" si="26"/>
        <v>0.6694943358611587</v>
      </c>
      <c r="AT9" s="3">
        <f t="shared" si="27"/>
        <v>1.2962297690884748</v>
      </c>
      <c r="AU9" s="80">
        <f t="shared" si="28"/>
        <v>0.33366145532447161</v>
      </c>
      <c r="AW9" s="44">
        <f t="shared" si="29"/>
        <v>0.93156775834039651</v>
      </c>
      <c r="AX9" s="3">
        <f t="shared" si="30"/>
        <v>0.26207342247923782</v>
      </c>
      <c r="AY9" s="35">
        <f t="shared" si="31"/>
        <v>0.36466201074807825</v>
      </c>
      <c r="BD9" s="133"/>
      <c r="BE9" s="128"/>
      <c r="BF9" s="3">
        <f t="shared" si="32"/>
        <v>-7.0886350479830787E-2</v>
      </c>
      <c r="BG9" s="3">
        <f t="shared" si="33"/>
        <v>0.16844342955969202</v>
      </c>
      <c r="BH9" s="3">
        <f t="shared" si="34"/>
        <v>35.244540236391877</v>
      </c>
      <c r="BI9" s="3">
        <f t="shared" si="99"/>
        <v>35.244540236391877</v>
      </c>
      <c r="BJ9" s="35">
        <f t="shared" si="35"/>
        <v>5.2980117842299501E-4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0.9310743433617068</v>
      </c>
      <c r="BO9" s="126"/>
      <c r="BP9" s="3">
        <f t="shared" si="36"/>
        <v>34.032487309644672</v>
      </c>
      <c r="BQ9" s="3">
        <f t="shared" si="37"/>
        <v>36.532487309644672</v>
      </c>
      <c r="BR9" s="3">
        <f t="shared" si="38"/>
        <v>16.929866783478058</v>
      </c>
      <c r="BS9" s="3">
        <f>IF(AND(Sufficient_data="Yes",Include_study?="Yes"),IF(Add_0_5="Yes",(a_+d_+1)*(ab_+0.5)*(c_+0.5)/(Number_of_subjects+2)^2,(a_+d_)*b_*c_/Number_of_subjects^2),"")</f>
        <v>18.173521605813086</v>
      </c>
      <c r="BT9" s="3">
        <f t="shared" si="39"/>
        <v>17.102620526166611</v>
      </c>
      <c r="BU9" s="3">
        <f t="shared" si="40"/>
        <v>18.358965703831586</v>
      </c>
      <c r="BV9" s="3">
        <f t="shared" si="41"/>
        <v>36.532487309644672</v>
      </c>
      <c r="BW9" s="3">
        <f t="shared" si="42"/>
        <v>1.0040398739047925E-5</v>
      </c>
      <c r="BX9" s="3">
        <f t="shared" si="43"/>
        <v>35.244540236391877</v>
      </c>
      <c r="BY9" s="35">
        <f t="shared" si="44"/>
        <v>5.2980117842303664E-4</v>
      </c>
      <c r="CD9" s="126"/>
      <c r="CE9" s="76">
        <f t="shared" si="45"/>
        <v>76.5</v>
      </c>
      <c r="CF9" s="3">
        <f t="shared" si="46"/>
        <v>35.297232097511426</v>
      </c>
      <c r="CG9" s="3">
        <f t="shared" si="47"/>
        <v>-7.0827083355815265E-2</v>
      </c>
      <c r="CH9" s="3">
        <f t="shared" si="48"/>
        <v>2.8330833342326108E-2</v>
      </c>
      <c r="CI9" s="3">
        <f t="shared" si="49"/>
        <v>35.297232097511426</v>
      </c>
      <c r="CJ9" s="3">
        <f t="shared" si="50"/>
        <v>35.297232097511426</v>
      </c>
      <c r="CK9" s="35">
        <f t="shared" si="51"/>
        <v>5.4010778301845364E-4</v>
      </c>
      <c r="CP9" s="126"/>
      <c r="CQ9" s="52">
        <f t="shared" si="52"/>
        <v>8.0203045685279181E-2</v>
      </c>
      <c r="CS9" s="112" t="s">
        <v>156</v>
      </c>
      <c r="CT9" s="112"/>
      <c r="CU9" s="112"/>
      <c r="CV9" s="112"/>
      <c r="CX9" s="133"/>
      <c r="CY9" s="48">
        <f t="shared" si="53"/>
        <v>3</v>
      </c>
      <c r="CZ9" s="6" t="str">
        <f t="shared" si="54"/>
        <v>Quan et al.</v>
      </c>
      <c r="DA9" s="17" t="str">
        <f t="shared" si="55"/>
        <v>English</v>
      </c>
      <c r="DB9" s="3">
        <f t="shared" si="56"/>
        <v>-7.0886350479830787E-2</v>
      </c>
      <c r="DC9" s="3">
        <f t="shared" si="57"/>
        <v>0.16844342955969202</v>
      </c>
      <c r="DD9" s="3">
        <f t="shared" si="58"/>
        <v>35.244540236391877</v>
      </c>
      <c r="DE9" s="3">
        <f t="shared" si="59"/>
        <v>35.244540236391877</v>
      </c>
      <c r="DF9" s="80">
        <f t="shared" si="60"/>
        <v>0.33366145532447161</v>
      </c>
      <c r="DG9" s="3">
        <f t="shared" si="61"/>
        <v>0.93156775834039651</v>
      </c>
      <c r="DH9" s="3">
        <f t="shared" si="62"/>
        <v>0.66949440498367374</v>
      </c>
      <c r="DI9" s="3">
        <f t="shared" si="63"/>
        <v>1.2962296352581377</v>
      </c>
      <c r="DJ9" s="35">
        <f t="shared" si="64"/>
        <v>5.2980117842299501E-4</v>
      </c>
      <c r="DL9" s="44">
        <f t="shared" si="65"/>
        <v>0.93156775834039651</v>
      </c>
      <c r="DM9" s="3">
        <f t="shared" si="100"/>
        <v>0.26207335335672277</v>
      </c>
      <c r="DN9" s="35">
        <f t="shared" si="101"/>
        <v>0.36466187691774121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0.9310743433617068</v>
      </c>
      <c r="FA9" s="13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3"/>
      <c r="FS9" s="128"/>
      <c r="FT9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9" s="3">
        <f>IF(AND(Include_study?="Yes",Sufficient_data="Yes"),1/('Publication Bias Analysis'!F:F^2+IF(Additional_model="Fixed effect",0,Calculations!GH$12)),"")</f>
        <v>35.244540236391877</v>
      </c>
      <c r="FV9" s="3">
        <f>IF(AND(Include_study?="Yes",Sufficient_data="Yes"),1/('Publication Bias Analysis'!F:F^2+IF(Additional_model="Fixed effect",0,'Publication Bias Analysis'!L$32)),"")</f>
        <v>35.244540236391877</v>
      </c>
      <c r="FW9" s="3">
        <f>IF(AND(Include_study?="Yes",Sufficient_data="Yes"),'Publication Bias Analysis'!E:E-'Publication Bias Analysis'!I$37,"")</f>
        <v>5.2980117842299501E-4</v>
      </c>
      <c r="FX9" s="3">
        <f>IF(AND(Include_study?="Yes",Sufficient_data="Yes"),IF(Additional_model="Fixed effect",1/'Publication Bias Analysis'!F:F,1/SQRT('Publication Bias Analysis'!F:F^2+GH$12)),"")</f>
        <v>5.9367112306724064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9" s="6">
        <f t="shared" si="80"/>
        <v>-1</v>
      </c>
      <c r="GA9" s="83">
        <f>IF(AND(Include_study?="Yes",Sufficient_data="Yes"),FZ:FZ+IF(GL:GL&lt;0,-1,1)*COUNTIF(FZ$2:FZ8,FZ:FZ),"")</f>
        <v>-1</v>
      </c>
      <c r="GB9" s="83">
        <f>IF(AND(Include_study?="Yes",Sufficient_data="Yes"),RANK(GP:GP,GP:GP,1)*IF(GO:GO&lt;0,-1,1)+IF(GO:GO&lt;0,-1,1)*COUNTIF(FZ$2:FZ8,FZ:FZ),"")</f>
        <v>-1</v>
      </c>
      <c r="GC9" s="83">
        <f>IF(AND(Include_study?="Yes",Sufficient_data="Yes"),RANK(GS:GS,GS:GS,1)*IF(GR:GR&lt;0,-1,1)+IF(GR:GR&lt;0,-1,1)*COUNTIF(FZ$2:FZ8,FZ:FZ),"")</f>
        <v>-1</v>
      </c>
      <c r="GD9" s="3">
        <f>IF(AND(Include_study?="Yes",Sufficient_data="Yes"),'Publication Bias Analysis'!E9,NA())</f>
        <v>-7.0886350479830787E-2</v>
      </c>
      <c r="GE9" s="35">
        <f>IF(AND(Include_study?="Yes",Sufficient_data="Yes"),'Publication Bias Analysis'!F9,NA())</f>
        <v>0.16844342955969202</v>
      </c>
      <c r="GK9" s="126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-5.2980117842299501E-4</v>
      </c>
      <c r="GM9" s="3">
        <f t="shared" si="81"/>
        <v>5.2980117842299501E-4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9" s="3">
        <f>IF(AND(Include_study?="Yes",Sufficient_data="Yes"),IF('Publication Bias Analysis'!L$38="Left",'Publication Bias Analysis'!E:E-GW$3,GW$3-'Publication Bias Analysis'!E:E),"")</f>
        <v>-5.2980117842299501E-4</v>
      </c>
      <c r="GP9" s="3">
        <f t="shared" si="82"/>
        <v>5.2980117842299501E-4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9" s="3">
        <f>IF(AND(Include_study?="Yes",Sufficient_data="Yes"),IF('Publication Bias Analysis'!L$38="Left",'Publication Bias Analysis'!E:E-GW$10,GW$10-'Publication Bias Analysis'!E:E),"")</f>
        <v>-5.2980117842299501E-4</v>
      </c>
      <c r="GS9" s="3">
        <f t="shared" si="83"/>
        <v>5.2980117842299501E-4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9" s="112" t="s">
        <v>109</v>
      </c>
      <c r="GW9" s="11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6"/>
      <c r="HL9" s="3">
        <f t="shared" si="89"/>
        <v>3.419219600084844E-3</v>
      </c>
      <c r="HM9" s="35">
        <f>IF(AND(Include_study?="Yes",Sufficient_data="Yes"),Z_score-('Publication Bias Analysis'!P$3+'Publication Bias Analysis'!P$4*Inverse_standard_error),"")</f>
        <v>5.3153581543641248E-4</v>
      </c>
      <c r="HO9" s="126"/>
      <c r="HP9" s="3">
        <f>IF(AND(Include_study?="Yes",Sufficient_data="Yes"),(GD:GD-SUMPRODUCT(Calculations!FT:FT,'Publication Bias Analysis'!E:E)/SUM(Calculations!FT:FT))/SQRT(Calculations!HQ:HQ),"")</f>
        <v>3.8531097264958617E-3</v>
      </c>
      <c r="HQ9" s="3">
        <f>IF(AND(Include_study?="Yes",Sufficient_data="Yes"),GE:GE^2-1/SUM(Calculations!FT:FT),"")</f>
        <v>1.8906149440630189E-2</v>
      </c>
      <c r="HR9" s="6">
        <f t="shared" si="90"/>
        <v>2</v>
      </c>
      <c r="HS9" s="6">
        <f t="shared" si="91"/>
        <v>2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0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26"/>
      <c r="HX9" s="20">
        <v>8</v>
      </c>
      <c r="HY9" s="3">
        <f t="shared" si="123"/>
        <v>0</v>
      </c>
      <c r="HZ9" s="35">
        <f>HZ8+HY14</f>
        <v>0</v>
      </c>
      <c r="IB9" s="126"/>
      <c r="IC9" s="76">
        <f t="shared" si="92"/>
        <v>7.5126903553299498E-2</v>
      </c>
      <c r="ID9" s="3">
        <f t="shared" si="93"/>
        <v>8.0203045685279181E-2</v>
      </c>
      <c r="IE9" s="3">
        <f t="shared" si="94"/>
        <v>41.422816571112058</v>
      </c>
      <c r="IF9" s="35">
        <f t="shared" si="95"/>
        <v>35.244540236391877</v>
      </c>
      <c r="IK9" s="126"/>
      <c r="IL9" s="3">
        <f>IF(AND(Include_study?="Yes",Sufficient_data="Yes"),'Publication Bias Analysis'!AV:AV,NA())</f>
        <v>-0.42083179299499174</v>
      </c>
      <c r="IM9" s="3">
        <f>IF(AND(Sufficient_data="Yes",Include_study?="Yes"),'Publication Bias Analysis'!AU:AU,NA())</f>
        <v>5.9367112306724064</v>
      </c>
      <c r="IN9" s="3">
        <f t="shared" si="96"/>
        <v>3.419219600084844E-3</v>
      </c>
      <c r="IO9" s="35">
        <f>IF(AND(Include_study?="Yes",Sufficient_data="Yes"),Z_score-('Publication Bias Analysis'!AY$30+'Publication Bias Analysis'!AY$31*Inverse_standard_error),"")</f>
        <v>3.1452766059673065E-3</v>
      </c>
      <c r="IQ9" s="2" t="s">
        <v>105</v>
      </c>
      <c r="IR9" s="3">
        <v>0</v>
      </c>
      <c r="IS9" s="3">
        <f>ABS(TINV((1-Additional_confidence_level),k_-1))</f>
        <v>4.3026527297494619</v>
      </c>
      <c r="IU9" s="126"/>
      <c r="IV9" s="6">
        <f>IF('Publication Bias Analysis'!BG:BG&lt;&gt;"",RANK('Publication Bias Analysis'!BG:BG,'Publication Bias Analysis'!BG:BG,1)+COUNTIF('Publication Bias Analysis'!BG$2:BG8,'Publication Bias Analysis'!BG9),"")</f>
        <v>2</v>
      </c>
      <c r="IW9" s="3">
        <f t="shared" si="97"/>
        <v>0.5</v>
      </c>
      <c r="IX9" s="3">
        <f>IF('Publication Bias Analysis'!BF9&lt;&gt;"",'Publication Bias Analysis'!BF9,NA())</f>
        <v>0</v>
      </c>
      <c r="IY9" s="3">
        <f>IF('Publication Bias Analysis'!BG9&lt;&gt;"",'Publication Bias Analysis'!BG9,NA())</f>
        <v>-0.42083179299499174</v>
      </c>
      <c r="IZ9" s="3">
        <f>IF(AND(Include_study?="Yes",Sufficient_data="Yes"),'Publication Bias Analysis'!BF:BF-AVERAGE('Publication Bias Analysis'!BF:BF),"")</f>
        <v>3.7007434154171886E-16</v>
      </c>
      <c r="JA9" s="35">
        <f>IF(AND(Include_study?="Yes",Sufficient_data="Yes"),'Publication Bias Analysis'!BG:BG-('Publication Bias Analysis'!BJ$30+'Publication Bias Analysis'!BJ$31*'Publication Bias Analysis'!BF:BF),"")</f>
        <v>3.9798099968789136E-3</v>
      </c>
      <c r="JG9" s="126"/>
      <c r="JH9" s="3">
        <f t="shared" si="98"/>
        <v>-0.42083179299499174</v>
      </c>
      <c r="JI9" s="10">
        <f t="shared" si="124"/>
        <v>0.33693895701541166</v>
      </c>
      <c r="JJ9" s="35">
        <f t="shared" si="125"/>
        <v>-1.0878535014897484</v>
      </c>
    </row>
    <row r="10" spans="1:270" ht="12.95">
      <c r="A10" s="2">
        <f t="shared" si="0"/>
        <v>3</v>
      </c>
      <c r="B10" s="6">
        <f>IF(AND(Include_study?="Yes",Sufficient_data="Yes"),IF(Input!a_&lt;&gt;"",Input!a_,Input!n1_-Input!b_),"")</f>
        <v>77</v>
      </c>
      <c r="C10" s="6">
        <f>IF(AND(Include_study?="Yes",Sufficient_data="Yes"),IF(Input!b_&lt;&gt;"",Input!b_,Input!n1_-Input!a_),"")</f>
        <v>908</v>
      </c>
      <c r="D10" s="6">
        <f>IF(AND(Include_study?="Yes",Sufficient_data="Yes"),IF(Input!c_&lt;&gt;"",Input!c_,Input!n2_-Input!d_),"")</f>
        <v>81</v>
      </c>
      <c r="E10" s="6">
        <f>IF(AND(Include_study?="Yes",Sufficient_data="Yes"),IF(Input!d_&lt;&gt;"",Input!d_,Input!n2_-Input!c_),"")</f>
        <v>904</v>
      </c>
      <c r="F10" s="35" t="str">
        <f t="shared" si="1"/>
        <v>No</v>
      </c>
      <c r="H10" s="133"/>
      <c r="I10" s="128"/>
      <c r="J10" s="76">
        <f t="shared" si="2"/>
        <v>0.94642954261162782</v>
      </c>
      <c r="K10" s="3">
        <f t="shared" si="3"/>
        <v>-5.5058751027871673E-2</v>
      </c>
      <c r="L10" s="3">
        <f t="shared" si="4"/>
        <v>0.16595242774821717</v>
      </c>
      <c r="M10" s="3">
        <f t="shared" si="5"/>
        <v>0.68350610128492861</v>
      </c>
      <c r="N10" s="35">
        <f t="shared" si="6"/>
        <v>1.310491416893232</v>
      </c>
      <c r="P10" s="126"/>
      <c r="Q10" s="76">
        <f t="shared" si="7"/>
        <v>0.94646623801075436</v>
      </c>
      <c r="R10" s="3">
        <f t="shared" si="8"/>
        <v>0.1658613567442703</v>
      </c>
      <c r="S10" s="3">
        <f t="shared" si="9"/>
        <v>0.68365469624075548</v>
      </c>
      <c r="T10" s="35">
        <f t="shared" si="10"/>
        <v>1.3103081784122874</v>
      </c>
      <c r="V10" s="126"/>
      <c r="W10" s="76">
        <f t="shared" si="11"/>
        <v>-4.0609137055837435E-3</v>
      </c>
      <c r="X10" s="3">
        <f t="shared" si="12"/>
        <v>1.2238442752291778E-2</v>
      </c>
      <c r="Y10" s="3">
        <f t="shared" si="13"/>
        <v>-2.8062582142609017E-2</v>
      </c>
      <c r="Z10" s="35">
        <f t="shared" si="14"/>
        <v>1.994075473144153E-2</v>
      </c>
      <c r="AB10" s="126"/>
      <c r="AC10" s="76">
        <f t="shared" si="15"/>
        <v>0.9506172839506174</v>
      </c>
      <c r="AD10" s="3">
        <f t="shared" si="16"/>
        <v>-5.0643732818754797E-2</v>
      </c>
      <c r="AE10" s="3">
        <f t="shared" si="17"/>
        <v>0.15265069651517083</v>
      </c>
      <c r="AF10" s="3">
        <f t="shared" si="18"/>
        <v>0.70467560271061769</v>
      </c>
      <c r="AG10" s="35">
        <f t="shared" si="19"/>
        <v>1.2823960657493509</v>
      </c>
      <c r="AI10" s="133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10" s="6">
        <f>IF(AJ10&lt;&gt;"",IF(AJ10=0,COUNTIF(AJ$2:AJ9,0)+1,COUNTIF(AJ$2:AJ9,AJ10)+AJ10+COUNTIF(AJ:AJ,0)),"")</f>
        <v>3</v>
      </c>
      <c r="AL10" s="6">
        <f t="shared" si="20"/>
        <v>3</v>
      </c>
      <c r="AM10" s="3" t="str">
        <f>IF(AND(Include_study?="Yes",Sufficient_data="Yes",Input!Study_name&lt;&gt;""),Input!Study_name,"")</f>
        <v>Quan et al.</v>
      </c>
      <c r="AN10" s="6">
        <f t="shared" si="21"/>
        <v>1970</v>
      </c>
      <c r="AO10" s="3">
        <f t="shared" si="22"/>
        <v>0.94642954261162782</v>
      </c>
      <c r="AP10" s="3">
        <f t="shared" si="23"/>
        <v>36.310546020402441</v>
      </c>
      <c r="AQ10" s="3">
        <f t="shared" si="24"/>
        <v>36.310546020402441</v>
      </c>
      <c r="AR10" s="3">
        <f t="shared" si="25"/>
        <v>0.16595242774821717</v>
      </c>
      <c r="AS10" s="3">
        <f t="shared" si="26"/>
        <v>0.68350610128492861</v>
      </c>
      <c r="AT10" s="3">
        <f t="shared" si="27"/>
        <v>1.310491416893232</v>
      </c>
      <c r="AU10" s="80">
        <f t="shared" si="28"/>
        <v>0.34375337421152818</v>
      </c>
      <c r="AW10" s="44">
        <f t="shared" si="29"/>
        <v>0.94642954261162782</v>
      </c>
      <c r="AX10" s="3">
        <f t="shared" si="30"/>
        <v>0.2629234413266992</v>
      </c>
      <c r="AY10" s="35">
        <f t="shared" si="31"/>
        <v>0.36406187428160419</v>
      </c>
      <c r="BD10" s="133"/>
      <c r="BE10" s="128"/>
      <c r="BF10" s="3">
        <f t="shared" si="32"/>
        <v>-5.5058751027871673E-2</v>
      </c>
      <c r="BG10" s="3">
        <f t="shared" si="33"/>
        <v>0.16595242774821717</v>
      </c>
      <c r="BH10" s="3">
        <f t="shared" si="34"/>
        <v>36.310546020402441</v>
      </c>
      <c r="BI10" s="3">
        <f t="shared" si="99"/>
        <v>36.310546020402441</v>
      </c>
      <c r="BJ10" s="35">
        <f t="shared" si="35"/>
        <v>1.6357400630382109E-2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6"/>
      <c r="BP10" s="3">
        <f t="shared" si="36"/>
        <v>35.334010152284264</v>
      </c>
      <c r="BQ10" s="3">
        <f t="shared" si="37"/>
        <v>37.334010152284264</v>
      </c>
      <c r="BR10" s="3">
        <f t="shared" si="38"/>
        <v>17.595260893091808</v>
      </c>
      <c r="BS10" s="3">
        <f>IF(AND(Sufficient_data="Yes",Include_study?="Yes"),IF(Add_0_5="Yes",(a_+d_+1)*(ab_+0.5)*(c_+0.5)/(Number_of_subjects+2)^2,(a_+d_)*b_*c_/Number_of_subjects^2),"")</f>
        <v>18.591199979386225</v>
      </c>
      <c r="BT10" s="3">
        <f t="shared" si="39"/>
        <v>17.738749259192456</v>
      </c>
      <c r="BU10" s="3">
        <f t="shared" si="40"/>
        <v>18.742810172898039</v>
      </c>
      <c r="BV10" s="3">
        <f t="shared" si="41"/>
        <v>37.334010152284264</v>
      </c>
      <c r="BW10" s="3">
        <f t="shared" si="42"/>
        <v>9.7200942748243268E-3</v>
      </c>
      <c r="BX10" s="3">
        <f t="shared" si="43"/>
        <v>36.310546020402441</v>
      </c>
      <c r="BY10" s="35">
        <f t="shared" si="44"/>
        <v>1.635740063038215E-2</v>
      </c>
      <c r="CA10" s="3" t="s">
        <v>310</v>
      </c>
      <c r="CB10" s="3">
        <f>IF(Meta_analysis_model="Fixed effect model",SUMPRODUCT(Weightf_MH,OddsRatio)/SUM(Weightf_MH),EXP(SUMPRODUCT(Weight_MH,LogOddsRatio)/SUM(Weight_MH)))</f>
        <v>0.9310743433617068</v>
      </c>
      <c r="CD10" s="126"/>
      <c r="CE10" s="76">
        <f t="shared" si="45"/>
        <v>79</v>
      </c>
      <c r="CF10" s="3">
        <f t="shared" si="46"/>
        <v>36.350431691213814</v>
      </c>
      <c r="CG10" s="3">
        <f t="shared" si="47"/>
        <v>-5.5019979322100204E-2</v>
      </c>
      <c r="CH10" s="3">
        <f t="shared" si="48"/>
        <v>2.7509989661050102E-2</v>
      </c>
      <c r="CI10" s="3">
        <f t="shared" si="49"/>
        <v>36.350431691213814</v>
      </c>
      <c r="CJ10" s="3">
        <f t="shared" si="50"/>
        <v>36.350431691213814</v>
      </c>
      <c r="CK10" s="35">
        <f t="shared" si="51"/>
        <v>1.6347211816733515E-2</v>
      </c>
      <c r="CM10" s="3" t="s">
        <v>311</v>
      </c>
      <c r="CN10" s="3">
        <f>EXP(lnCES_PetoOddsRatio)</f>
        <v>0.93111993036114904</v>
      </c>
      <c r="CP10" s="126"/>
      <c r="CQ10" s="52">
        <f t="shared" si="52"/>
        <v>8.223350253807106E-2</v>
      </c>
      <c r="CS10" s="2"/>
      <c r="CT10" s="2" t="s">
        <v>44</v>
      </c>
      <c r="CU10" s="2" t="s">
        <v>68</v>
      </c>
      <c r="CV10" s="2" t="s">
        <v>69</v>
      </c>
      <c r="CX10" s="133"/>
      <c r="CY10" s="48">
        <f t="shared" si="53"/>
        <v>4</v>
      </c>
      <c r="CZ10" s="6" t="str">
        <f t="shared" si="54"/>
        <v>Quan et al.</v>
      </c>
      <c r="DA10" s="17" t="str">
        <f t="shared" si="55"/>
        <v>English</v>
      </c>
      <c r="DB10" s="3">
        <f t="shared" si="56"/>
        <v>-5.5058751027871673E-2</v>
      </c>
      <c r="DC10" s="3">
        <f t="shared" si="57"/>
        <v>0.16595242774821717</v>
      </c>
      <c r="DD10" s="3">
        <f t="shared" si="58"/>
        <v>36.310546020402441</v>
      </c>
      <c r="DE10" s="3">
        <f t="shared" si="59"/>
        <v>36.310546020402441</v>
      </c>
      <c r="DF10" s="80">
        <f t="shared" si="60"/>
        <v>0.34375337421152818</v>
      </c>
      <c r="DG10" s="3">
        <f t="shared" si="61"/>
        <v>0.94642954261162782</v>
      </c>
      <c r="DH10" s="3">
        <f t="shared" si="62"/>
        <v>0.68350617081049814</v>
      </c>
      <c r="DI10" s="3">
        <f t="shared" si="63"/>
        <v>1.3104912835913454</v>
      </c>
      <c r="DJ10" s="35">
        <f t="shared" si="64"/>
        <v>1.6357400630382109E-2</v>
      </c>
      <c r="DL10" s="44">
        <f t="shared" si="65"/>
        <v>0.94642954261162782</v>
      </c>
      <c r="DM10" s="3">
        <f t="shared" si="100"/>
        <v>0.26292337180112968</v>
      </c>
      <c r="DN10" s="35">
        <f t="shared" si="101"/>
        <v>0.36406174097971755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312</v>
      </c>
      <c r="FP10" s="1"/>
      <c r="FR10" s="133"/>
      <c r="FS10" s="128"/>
      <c r="FT10" s="76">
        <f>IF(AND(Include_study?="Yes",Sufficient_data="Yes"),IF(Additional_weighting_method="Inverse Variance",1/'Publication Bias Analysis'!F:F^2,IF(Additional_weighting_method="Mantel-Haenszel",Weightf_MH,Weightf_Peto)),"")</f>
        <v>36.310546020402441</v>
      </c>
      <c r="FU10" s="3">
        <f>IF(AND(Include_study?="Yes",Sufficient_data="Yes"),1/('Publication Bias Analysis'!F:F^2+IF(Additional_model="Fixed effect",0,Calculations!GH$12)),"")</f>
        <v>36.310546020402441</v>
      </c>
      <c r="FV10" s="3">
        <f>IF(AND(Include_study?="Yes",Sufficient_data="Yes"),1/('Publication Bias Analysis'!F:F^2+IF(Additional_model="Fixed effect",0,'Publication Bias Analysis'!L$32)),"")</f>
        <v>36.310546020402441</v>
      </c>
      <c r="FW10" s="3">
        <f>IF(AND(Include_study?="Yes",Sufficient_data="Yes"),'Publication Bias Analysis'!E:E-'Publication Bias Analysis'!I$37,"")</f>
        <v>1.6357400630382109E-2</v>
      </c>
      <c r="FX10" s="3">
        <f>IF(AND(Include_study?="Yes",Sufficient_data="Yes"),IF(Additional_model="Fixed effect",1/'Publication Bias Analysis'!F:F,1/SQRT('Publication Bias Analysis'!F:F^2+GH$12)),"")</f>
        <v>6.0258232649491505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-0.33177430288279208</v>
      </c>
      <c r="FZ10" s="6">
        <f t="shared" si="80"/>
        <v>-2</v>
      </c>
      <c r="GA10" s="83">
        <f>IF(AND(Include_study?="Yes",Sufficient_data="Yes"),FZ:FZ+IF(GL:GL&lt;0,-1,1)*COUNTIF(FZ$2:FZ9,FZ:FZ),"")</f>
        <v>-2</v>
      </c>
      <c r="GB10" s="83">
        <f>IF(AND(Include_study?="Yes",Sufficient_data="Yes"),RANK(GP:GP,GP:GP,1)*IF(GO:GO&lt;0,-1,1)+IF(GO:GO&lt;0,-1,1)*COUNTIF(FZ$2:FZ9,FZ:FZ),"")</f>
        <v>-2</v>
      </c>
      <c r="GC10" s="83">
        <f>IF(AND(Include_study?="Yes",Sufficient_data="Yes"),RANK(GS:GS,GS:GS,1)*IF(GR:GR&lt;0,-1,1)+IF(GR:GR&lt;0,-1,1)*COUNTIF(FZ$2:FZ9,FZ:FZ),"")</f>
        <v>-2</v>
      </c>
      <c r="GD10" s="3">
        <f>IF(AND(Include_study?="Yes",Sufficient_data="Yes"),'Publication Bias Analysis'!E10,NA())</f>
        <v>-5.5058751027871673E-2</v>
      </c>
      <c r="GE10" s="35">
        <f>IF(AND(Include_study?="Yes",Sufficient_data="Yes"),'Publication Bias Analysis'!F10,NA())</f>
        <v>0.16595242774821717</v>
      </c>
      <c r="GG10" s="112" t="s">
        <v>63</v>
      </c>
      <c r="GH10" s="112"/>
      <c r="GK10" s="126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-1.6357400630382109E-2</v>
      </c>
      <c r="GM10" s="3">
        <f t="shared" si="81"/>
        <v>1.6357400630382109E-2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36.310546020402441</v>
      </c>
      <c r="GO10" s="3">
        <f>IF(AND(Include_study?="Yes",Sufficient_data="Yes"),IF('Publication Bias Analysis'!L$38="Left",'Publication Bias Analysis'!E:E-GW$3,GW$3-'Publication Bias Analysis'!E:E),"")</f>
        <v>-1.6357400630382109E-2</v>
      </c>
      <c r="GP10" s="3">
        <f t="shared" si="82"/>
        <v>1.6357400630382109E-2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36.310546020402441</v>
      </c>
      <c r="GR10" s="3">
        <f>IF(AND(Include_study?="Yes",Sufficient_data="Yes"),IF('Publication Bias Analysis'!L$38="Left",'Publication Bias Analysis'!E:E-GW$10,GW$10-'Publication Bias Analysis'!E:E),"")</f>
        <v>-1.6357400630382109E-2</v>
      </c>
      <c r="GS10" s="3">
        <f t="shared" si="83"/>
        <v>1.6357400630382109E-2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36.310546020402441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-7.1416151658253782E-2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6"/>
      <c r="HL10" s="3">
        <f t="shared" si="89"/>
        <v>9.2531253876829034E-2</v>
      </c>
      <c r="HM10" s="35">
        <f>IF(AND(Include_study?="Yes",Sufficient_data="Yes"),Z_score-('Publication Bias Analysis'!P$3+'Publication Bias Analysis'!P$4*Inverse_standard_error),"")</f>
        <v>-2.8023167858848286E-4</v>
      </c>
      <c r="HO10" s="126"/>
      <c r="HP10" s="3">
        <f>IF(AND(Include_study?="Yes",Sufficient_data="Yes"),(GD:GD-SUMPRODUCT(Calculations!FT:FT,'Publication Bias Analysis'!E:E)/SUM(Calculations!FT:FT))/SQRT(Calculations!HQ:HQ),"")</f>
        <v>0.12167381879189088</v>
      </c>
      <c r="HQ10" s="3">
        <f>IF(AND(Include_study?="Yes",Sufficient_data="Yes"),GE:GE^2-1/SUM(Calculations!FT:FT),"")</f>
        <v>1.8073168754326498E-2</v>
      </c>
      <c r="HR10" s="6">
        <f t="shared" si="90"/>
        <v>1</v>
      </c>
      <c r="HS10" s="6">
        <f t="shared" si="91"/>
        <v>3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0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2</v>
      </c>
      <c r="HW10" s="126"/>
      <c r="HX10" s="54">
        <v>9</v>
      </c>
      <c r="HY10" s="32">
        <f t="shared" si="123"/>
        <v>0</v>
      </c>
      <c r="HZ10" s="39"/>
      <c r="IB10" s="126"/>
      <c r="IC10" s="76">
        <f t="shared" si="92"/>
        <v>7.8172588832487316E-2</v>
      </c>
      <c r="ID10" s="3">
        <f t="shared" si="93"/>
        <v>8.223350253807106E-2</v>
      </c>
      <c r="IE10" s="3">
        <f t="shared" si="94"/>
        <v>42.914338204476238</v>
      </c>
      <c r="IF10" s="35">
        <f t="shared" si="95"/>
        <v>36.310546020402441</v>
      </c>
      <c r="IK10" s="126"/>
      <c r="IL10" s="3">
        <f>IF(AND(Include_study?="Yes",Sufficient_data="Yes"),'Publication Bias Analysis'!AV:AV,NA())</f>
        <v>-0.33177430288279208</v>
      </c>
      <c r="IM10" s="3">
        <f>IF(AND(Sufficient_data="Yes",Include_study?="Yes"),'Publication Bias Analysis'!AU:AU,NA())</f>
        <v>6.0258232649491505</v>
      </c>
      <c r="IN10" s="3">
        <f t="shared" si="96"/>
        <v>9.2531253876829034E-2</v>
      </c>
      <c r="IO10" s="35">
        <f>IF(AND(Include_study?="Yes",Sufficient_data="Yes"),Z_score-('Publication Bias Analysis'!AY$30+'Publication Bias Analysis'!AY$31*Inverse_standard_error),"")</f>
        <v>9.8566805272650437E-2</v>
      </c>
      <c r="IQ10" s="2" t="s">
        <v>292</v>
      </c>
      <c r="IR10" s="3">
        <f>MAX(Inverse_standard_error)</f>
        <v>6.0258232649491505</v>
      </c>
      <c r="IS10" s="3">
        <f>IR10*'Publication Bias Analysis'!AY31+IS9</f>
        <v>3.8723116215940192</v>
      </c>
      <c r="IU10" s="126"/>
      <c r="IV10" s="6">
        <f>IF('Publication Bias Analysis'!BG:BG&lt;&gt;"",RANK('Publication Bias Analysis'!BG:BG,'Publication Bias Analysis'!BG:BG,1)+COUNTIF('Publication Bias Analysis'!BG$2:BG9,'Publication Bias Analysis'!BG10),"")</f>
        <v>3</v>
      </c>
      <c r="IW10" s="3">
        <f t="shared" si="97"/>
        <v>0.79999999999999993</v>
      </c>
      <c r="IX10" s="3">
        <f>IF('Publication Bias Analysis'!BF10&lt;&gt;"",'Publication Bias Analysis'!BF10,NA())</f>
        <v>0.84162123357291341</v>
      </c>
      <c r="IY10" s="3">
        <f>IF('Publication Bias Analysis'!BG10&lt;&gt;"",'Publication Bias Analysis'!BG10,NA())</f>
        <v>-0.33177430288279208</v>
      </c>
      <c r="IZ10" s="3">
        <f>IF(AND(Include_study?="Yes",Sufficient_data="Yes"),'Publication Bias Analysis'!BF:BF-AVERAGE('Publication Bias Analysis'!BF:BF),"")</f>
        <v>0.84162123357291374</v>
      </c>
      <c r="JA10" s="35">
        <f>IF(AND(Include_study?="Yes",Sufficient_data="Yes"),'Publication Bias Analysis'!BG:BG-('Publication Bias Analysis'!BJ$30+'Publication Bias Analysis'!BJ$31*'Publication Bias Analysis'!BF:BF),"")</f>
        <v>-1.9899049984394845E-3</v>
      </c>
      <c r="JG10" s="126"/>
      <c r="JH10" s="3">
        <f t="shared" si="98"/>
        <v>-0.33177430288279208</v>
      </c>
      <c r="JI10" s="10">
        <f t="shared" si="124"/>
        <v>0.37002984478974688</v>
      </c>
      <c r="JJ10" s="35">
        <f t="shared" si="125"/>
        <v>-0.99417161500292794</v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3"/>
      <c r="I11" s="128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6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6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6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3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3"/>
      <c r="BE11" s="128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313</v>
      </c>
      <c r="BM11" s="3">
        <f>IF(Model_effect_size_measure="Risk Difference",CES_IV-ABS(TINV((1-Confidence_level),k_-1))*SECES_Risk_Difference,EXP(CIlnCES_LL))</f>
        <v>0.89221576236719413</v>
      </c>
      <c r="BO11" s="126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313</v>
      </c>
      <c r="CB11" s="3">
        <f>EXP(CIlnCES_LL_MH)</f>
        <v>0.89221576236719413</v>
      </c>
      <c r="CD11" s="126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313</v>
      </c>
      <c r="CN11" s="3">
        <f>EXP(CIlnCES_LL_Peto)</f>
        <v>0.8922875371068032</v>
      </c>
      <c r="CP11" s="126"/>
      <c r="CQ11" s="52" t="str">
        <f t="shared" si="52"/>
        <v/>
      </c>
      <c r="CS11" s="2" t="s">
        <v>287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0.93624997779344588</v>
      </c>
      <c r="CU11" s="3">
        <f>IF(Model_effect_size_measure="Odds Ratio",CES_OddsRatio_MH/(1-MEDIAN(Control_group_risk)+(MEDIAN(Control_group_risk)*CES_OddsRatio_MH)),NA())</f>
        <v>0.93624997779344588</v>
      </c>
      <c r="CV11" s="3" t="e">
        <f>IF(Model_effect_size_measure="Peto Odds Ratio",CES_PetoOddsRatio/(1-MEDIAN(Control_group_risk)+(MEDIAN(Control_group_risk)*CES_PetoOddsRatio)),NA())</f>
        <v>#N/A</v>
      </c>
      <c r="CX11" s="13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>
        <f t="shared" si="102"/>
        <v>1</v>
      </c>
      <c r="DQ11" s="17" t="str">
        <f>IF(AND(Sufficient_data="Yes",Subgroup&lt;&gt;""),IF(COUNTIFS(Input!J$2:J10,"="&amp;"Yes",Input!C$2:C10,"="&amp;"Yes",Input!K$2:K10,"="&amp;Subgroup)&gt;0,"",Subgroup),"")</f>
        <v>Chinese</v>
      </c>
      <c r="DR11" s="6">
        <f t="shared" si="103"/>
        <v>1</v>
      </c>
      <c r="DS11" s="6">
        <f t="shared" si="66"/>
        <v>0</v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202</v>
      </c>
      <c r="EY11" s="3">
        <f>IF(Subgroup_valid_options="Yes",IF(Subgroup_effect_size_measure="Risk Difference",EY9-ABS(TINV((1-Subgroup_confidence_level),Subgroup_k-1))*EY10,EXP(EY4)),"")</f>
        <v>0.9310743433617068</v>
      </c>
      <c r="FA11" s="13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249</v>
      </c>
      <c r="FP11" s="2" t="s">
        <v>250</v>
      </c>
      <c r="FR11" s="133"/>
      <c r="FS11" s="128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64</v>
      </c>
      <c r="GH11" s="3">
        <f>SUMPRODUCT(Calculations!FT:FT,'Publication Bias Analysis'!E:E,'Publication Bias Analysis'!E:E)-SUMPRODUCT(Calculations!FT:FT,'Publication Bias Analysis'!E:E)^2/SUM(Calculations!FT:FT)</f>
        <v>2.0739441904466416E-2</v>
      </c>
      <c r="GK11" s="126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2" t="s">
        <v>63</v>
      </c>
      <c r="GW11" s="11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6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6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6"/>
      <c r="IB11" s="126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6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6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6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3"/>
      <c r="I12" s="128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6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6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6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3"/>
      <c r="BE12" s="128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314</v>
      </c>
      <c r="BM12" s="3">
        <f>IF(Model_effect_size_measure="Risk Difference",CES_IV+ABS(TINV((1-Confidence_level),k_-1))*SECES_Risk_Difference,EXP(CIlnCES_UL))</f>
        <v>0.97162532812288338</v>
      </c>
      <c r="BO12" s="126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314</v>
      </c>
      <c r="CB12" s="3">
        <f>EXP(CIlnCES_UL_MH)</f>
        <v>0.97162532812288338</v>
      </c>
      <c r="CD12" s="126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314</v>
      </c>
      <c r="CN12" s="3">
        <f>EXP(CIlnCES_UL_Peto)</f>
        <v>0.97164231109503485</v>
      </c>
      <c r="CP12" s="126"/>
      <c r="CQ12" s="52" t="str">
        <f t="shared" si="52"/>
        <v/>
      </c>
      <c r="CS12" s="2" t="s">
        <v>101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0.89999588854674129</v>
      </c>
      <c r="CU12" s="3">
        <f>IF(Model_effect_size_measure="Odds Ratio",CICES_LL_MH/(1-MEDIAN(Control_group_risk)+(MEDIAN(Control_group_risk)*CICES_LL_MH)),"")</f>
        <v>0.89999588854674129</v>
      </c>
      <c r="CV12" s="3" t="str">
        <f>IF(Model_effect_size_measure="Peto Odds Ratio",CICES_LL_Peto/(1-MEDIAN(Control_group_risk)+(MEDIAN(Control_group_risk)*CICES_LL_Peto)),"")</f>
        <v/>
      </c>
      <c r="CX12" s="13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203</v>
      </c>
      <c r="EY12" s="3">
        <f>IF(Subgroup_valid_options="Yes",IF(Subgroup_effect_size_measure="Risk Difference",EY9+ABS(TINV((1-Subgroup_confidence_level),Subgroup_k-1))*EY10,EXP(EY5)),"")</f>
        <v>0.9310743433617068</v>
      </c>
      <c r="FA12" s="13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3"/>
      <c r="FS12" s="128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152</v>
      </c>
      <c r="GH12" s="3">
        <f>MAX(0,(GH11-(k_-1))/((SUM(Calculations!FT:FT))-SUMPRODUCT(Calculations!FT:FT,Calculations!FT:FT)/SUM(Calculations!FT:FT)))</f>
        <v>0</v>
      </c>
      <c r="GK12" s="126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64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2.0739441904466416E-2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6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6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6"/>
      <c r="HX12" s="124" t="s">
        <v>315</v>
      </c>
      <c r="HY12" s="112"/>
      <c r="IB12" s="126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6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6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6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3"/>
      <c r="I13" s="128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3"/>
      <c r="BE13" s="128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316</v>
      </c>
      <c r="BM13" s="3">
        <f>IF(Model_effect_size_measure="Risk Difference",CES_IV-ABS(TINV((1-Confidence_level),k_-1))*SQRT(T2_+SECES_Risk_Difference^2),EXP(PIlnCES_LL))</f>
        <v>0.89221576236719413</v>
      </c>
      <c r="BO13" s="12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316</v>
      </c>
      <c r="CB13" s="3">
        <f>EXP(PIlnCES_LL_MH)</f>
        <v>0.89221576236719413</v>
      </c>
      <c r="CD13" s="12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316</v>
      </c>
      <c r="CN13" s="3">
        <f>EXP(PIlnCES_LL_Peto)</f>
        <v>0.8922875371068032</v>
      </c>
      <c r="CP13" s="126"/>
      <c r="CQ13" s="52" t="str">
        <f t="shared" si="52"/>
        <v/>
      </c>
      <c r="CS13" s="2" t="s">
        <v>102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0.97384153348721592</v>
      </c>
      <c r="CU13" s="3">
        <f>IF(Model_effect_size_measure="Odds Ratio",CICES_UL_MH/(1-MEDIAN(Control_group_risk)+(MEDIAN(Control_group_risk)*CICES_UL_MH)),"")</f>
        <v>0.97384153348721592</v>
      </c>
      <c r="CV13" s="3" t="str">
        <f>IF(Model_effect_size_measure="Peto Odds Ratio",CICES_UL_Peto/(1-MEDIAN(Control_group_risk)+(MEDIAN(Control_group_risk)*CICES_UL_Peto)),"")</f>
        <v/>
      </c>
      <c r="CX13" s="13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317</v>
      </c>
      <c r="EY13" s="3">
        <f>IF(Subgroup_valid_options="Yes",IF(Subgroup_effect_size_measure="Risk Difference",EY9-ABS(TINV((1-Subgroup_confidence_level),Subgroup_k-1))*SQRT(EY10^2+EY35),EXP(EY6)),"")</f>
        <v>0.9310743433617068</v>
      </c>
      <c r="FA13" s="13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3"/>
      <c r="FS13" s="128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152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6"/>
      <c r="HX13" s="2" t="s">
        <v>318</v>
      </c>
      <c r="HY13" s="3">
        <f>MAX(MAX(Standardized_residual),ABS(MIN(Standardized_residual)))</f>
        <v>0.12751105200796287</v>
      </c>
      <c r="IB13" s="12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3"/>
      <c r="I14" s="128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3"/>
      <c r="BE14" s="128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319</v>
      </c>
      <c r="BM14" s="3">
        <f>IF(Model_effect_size_measure="Risk Difference",CES_IV+ABS(TINV((1-Confidence_level),k_-1))*SQRT(T2_+SECES_Risk_Difference^2),EXP(PIlnCES_UL))</f>
        <v>0.97162532812288338</v>
      </c>
      <c r="BO14" s="12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319</v>
      </c>
      <c r="CB14" s="3">
        <f>EXP(PIlnCES_UL_MH)</f>
        <v>0.97162532812288338</v>
      </c>
      <c r="CD14" s="12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319</v>
      </c>
      <c r="CN14" s="3">
        <f>EXP(PIlnCES_UL_Peto)</f>
        <v>0.97164231109503485</v>
      </c>
      <c r="CP14" s="126"/>
      <c r="CQ14" s="52" t="str">
        <f t="shared" si="52"/>
        <v/>
      </c>
      <c r="CS14" s="2" t="s">
        <v>300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0.89999588854674129</v>
      </c>
      <c r="CU14" s="3">
        <f>IF(Model_effect_size_measure="Odds Ratio",PICES_LL_MH/(1-MEDIAN(Control_group_risk)+(MEDIAN(Control_group_risk)*PICES_LL_MH)),"")</f>
        <v>0.89999588854674129</v>
      </c>
      <c r="CV14" s="3" t="str">
        <f>IF(Model_effect_size_measure="Peto Odds Ratio",PICES_LL_Peto/(1-MEDIAN(Control_group_risk)+(MEDIAN(Control_group_risk)*PICES_LL_Peto)),"")</f>
        <v/>
      </c>
      <c r="CX14" s="13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320</v>
      </c>
      <c r="EY14" s="3">
        <f>IF(Subgroup_valid_options="Yes",IF(Subgroup_effect_size_measure="Risk Difference",EY9+ABS(TINV((1-Subgroup_confidence_level),Subgroup_k-1))*SQRT(EY10^2+EY35),EXP(EY7)),"")</f>
        <v>0.9310743433617068</v>
      </c>
      <c r="FA14" s="13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3"/>
      <c r="FS14" s="128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2" t="s">
        <v>321</v>
      </c>
      <c r="GH14" s="112"/>
      <c r="GK14" s="12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6"/>
      <c r="HX14" s="2" t="s">
        <v>315</v>
      </c>
      <c r="HY14" s="21">
        <f>ROUND(HY13/4,1)</f>
        <v>0</v>
      </c>
      <c r="IB14" s="12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3"/>
      <c r="I15" s="128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3"/>
      <c r="BE15" s="128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6"/>
      <c r="CQ15" s="52" t="str">
        <f t="shared" si="52"/>
        <v/>
      </c>
      <c r="CS15" s="2" t="s">
        <v>305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0.97384153348721592</v>
      </c>
      <c r="CU15" s="3">
        <f>IF(Model_effect_size_measure="Odds Ratio",PICES_UL_MH/(1-MEDIAN(Control_group_risk)+(MEDIAN(Control_group_risk)*PICES_UL_MH)),"")</f>
        <v>0.97384153348721592</v>
      </c>
      <c r="CV15" s="3" t="str">
        <f>IF(Model_effect_size_measure="Peto Odds Ratio",PICES_UL_Peto/(1-MEDIAN(Control_group_risk)+(MEDIAN(Control_group_risk)*PICES_UL_Peto)),"")</f>
        <v/>
      </c>
      <c r="CX15" s="13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3"/>
      <c r="FS15" s="128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322</v>
      </c>
      <c r="GH15" s="3">
        <f>IF(Additional_valid_options="Yes",'Publication Bias Analysis'!I29-'Publication Bias Analysis'!I31,NA())</f>
        <v>0.41864257242159136</v>
      </c>
      <c r="GK15" s="12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6"/>
      <c r="IB15" s="12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3"/>
      <c r="I16" s="128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3"/>
      <c r="BE16" s="128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58</v>
      </c>
      <c r="BM16" s="3">
        <f>IF(Model_effect_size_measure="Risk Difference",CES_IV/SECES_Risk_Difference,lnCES_IV/SElnCES)</f>
        <v>-7.2078512277289724</v>
      </c>
      <c r="BO16" s="12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58</v>
      </c>
      <c r="CB16" s="3">
        <f>lnCES_OddsRatio_MH/SElnCES_MH</f>
        <v>-7.2078512277289777</v>
      </c>
      <c r="CD16" s="12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58</v>
      </c>
      <c r="CN16" s="3">
        <f>lnCES_PetoOddsRatio/SElnCES_Peto</f>
        <v>-7.2082328175134993</v>
      </c>
      <c r="CP16" s="126"/>
      <c r="CQ16" s="52" t="str">
        <f t="shared" si="52"/>
        <v/>
      </c>
      <c r="CX16" s="13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2" t="s">
        <v>323</v>
      </c>
      <c r="EY16" s="112"/>
      <c r="FA16" s="13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3"/>
      <c r="FS16" s="128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324</v>
      </c>
      <c r="GH16" s="3">
        <f>IF(Additional_valid_options="Yes",'Publication Bias Analysis'!I29-'Publication Bias Analysis'!I33,NA())</f>
        <v>0.41864257242159136</v>
      </c>
      <c r="GK16" s="12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2" t="s">
        <v>109</v>
      </c>
      <c r="GW16" s="11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6"/>
      <c r="IB16" s="12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3"/>
      <c r="I17" s="128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3"/>
      <c r="BE17" s="128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6"/>
      <c r="CQ17" s="52" t="str">
        <f t="shared" si="52"/>
        <v/>
      </c>
      <c r="CS17" s="112" t="s">
        <v>175</v>
      </c>
      <c r="CT17" s="112"/>
      <c r="CU17" s="112"/>
      <c r="CV17" s="112"/>
      <c r="CX17" s="13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64</v>
      </c>
      <c r="EY17" s="3">
        <f>SUMPRODUCT(Subgroup_weightf,Subgroup_effect_size,Subgroup_effect_size)-SUMPRODUCT(Subgroup_weightf,Subgroup_effect_size)^2/SUM(Subgroup_weightf)</f>
        <v>2.0739441904466416E-2</v>
      </c>
      <c r="FA17" s="13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3"/>
      <c r="FS17" s="128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325</v>
      </c>
      <c r="GH17" s="3">
        <f>IF(Additional_valid_options="Yes",MAX('Publication Bias Analysis'!F:F)*1.1,NA())</f>
        <v>0.18844194620366958</v>
      </c>
      <c r="GK17" s="12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-7.1416151658253782E-2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6"/>
      <c r="IB17" s="12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3"/>
      <c r="I18" s="128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3"/>
      <c r="BE18" s="128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63</v>
      </c>
      <c r="BM18" s="28"/>
      <c r="BO18" s="12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2" t="s">
        <v>63</v>
      </c>
      <c r="CB18" s="112"/>
      <c r="CD18" s="12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63</v>
      </c>
      <c r="CN18" s="1"/>
      <c r="CP18" s="126"/>
      <c r="CQ18" s="52" t="str">
        <f t="shared" si="52"/>
        <v/>
      </c>
      <c r="CS18" s="2"/>
      <c r="CT18" s="2" t="s">
        <v>44</v>
      </c>
      <c r="CU18" s="2" t="s">
        <v>68</v>
      </c>
      <c r="CV18" s="2" t="s">
        <v>69</v>
      </c>
      <c r="CX18" s="13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65</v>
      </c>
      <c r="EY18" s="3">
        <f>CHIDIST(EY17,Subgroup_k-1)</f>
        <v>0.98968385924026681</v>
      </c>
      <c r="FA18" s="13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3"/>
      <c r="FS18" s="128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2" t="s">
        <v>63</v>
      </c>
      <c r="GW18" s="11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6"/>
      <c r="IB18" s="12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3"/>
      <c r="I19" s="128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3"/>
      <c r="BE19" s="128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64</v>
      </c>
      <c r="BM19" s="3">
        <f>SUMPRODUCT(Weightf,Model_Effect_size,Model_Effect_size)-SUMPRODUCT(Weightf,Model_Effect_size)^2/SUM(Weightf)</f>
        <v>2.0739441904466416E-2</v>
      </c>
      <c r="BO19" s="12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64</v>
      </c>
      <c r="CB19" s="3">
        <f>SUM(Weighted_squared_residual)</f>
        <v>2.0739443543037656E-2</v>
      </c>
      <c r="CD19" s="12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64</v>
      </c>
      <c r="CN19" s="3">
        <f>SUMPRODUCT(Weightf_Peto,LogPetoOddsRatio,LogPetoOddsRatio)-SUMPRODUCT(Weightf_Peto,LogPetoOddsRatio)^2/SUM(Weightf_Peto)</f>
        <v>2.0740438812781647E-2</v>
      </c>
      <c r="CP19" s="126"/>
      <c r="CQ19" s="52" t="str">
        <f t="shared" si="52"/>
        <v/>
      </c>
      <c r="CS19" s="2" t="s">
        <v>287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-5.1129459434698238E-3</v>
      </c>
      <c r="CU19" s="3">
        <f>IF(Model_effect_size_measure="Odds Ratio",CU11*MEDIAN(Control_group_risk)-MEDIAN(Control_group_risk),NA())</f>
        <v>-5.1129459434698238E-3</v>
      </c>
      <c r="CV19" s="3" t="e">
        <f>IF(Model_effect_size_measure="Peto Odds Ratio",CV11*MEDIAN(Control_group_risk)-MEDIAN(Control_group_risk),NA())</f>
        <v>#N/A</v>
      </c>
      <c r="CX19" s="13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66</v>
      </c>
      <c r="EY19" s="9">
        <f>MAX(0,(EY17-(Subgroup_k-1))/EY17)</f>
        <v>0</v>
      </c>
      <c r="FA19" s="13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3"/>
      <c r="FS19" s="128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2" t="s">
        <v>326</v>
      </c>
      <c r="GH19" s="112"/>
      <c r="GK19" s="12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64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2.0739441904466416E-2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6"/>
      <c r="IB19" s="12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3"/>
      <c r="I20" s="128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3"/>
      <c r="BE20" s="128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152</v>
      </c>
      <c r="BM20" s="3">
        <f>MAX((Q_-(k_-1))/(SUM(Weightf)-SUMPRODUCT(Weightf,Weightf)/SUM(Weightf)),0)</f>
        <v>0</v>
      </c>
      <c r="BO20" s="12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152</v>
      </c>
      <c r="CB20" s="3">
        <f>MAX((Q_MH-(k_-1))/(SUM(Weightf_MH)-SUMPRODUCT(Weightf_MH,Weightf_MH)/SUM(Weightf_MH)),0)</f>
        <v>0</v>
      </c>
      <c r="CD20" s="12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152</v>
      </c>
      <c r="CN20" s="3">
        <f>MAX((Q_Peto-(k_-1))/(SUM(Weightf_Peto)-SUMPRODUCT(Weightf_Peto,Weightf_Peto)/SUM(Weightf_Peto)),0)</f>
        <v>0</v>
      </c>
      <c r="CP20" s="126"/>
      <c r="CQ20" s="52" t="str">
        <f t="shared" si="52"/>
        <v/>
      </c>
      <c r="CS20" s="2" t="s">
        <v>327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7.0935786296477091E-4</v>
      </c>
      <c r="CU20" s="3">
        <f>IF(Model_effect_size_measure="Odds Ratio",CU19/Z_value_MH,"")</f>
        <v>7.0935786296477037E-4</v>
      </c>
      <c r="CV20" s="3" t="str">
        <f>IF(Model_effect_size_measure="Peto Odds Ratio",CV19/Z_value_Peto,"")</f>
        <v/>
      </c>
      <c r="CX20" s="13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152</v>
      </c>
      <c r="EY20" s="3">
        <f>MAX(0,(EY17-(Subgroup_k-1))/(SUM(Subgroup_weightf)-(SUMPRODUCT(Subgroup_weightf,Subgroup_weightf)/SUM(Subgroup_weightf))))</f>
        <v>0</v>
      </c>
      <c r="FA20" s="13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3"/>
      <c r="FS20" s="128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328</v>
      </c>
      <c r="GH20" s="3">
        <f>IF(AND(Trim_and_fill="On",Additional_valid_options="Yes"),'Publication Bias Analysis'!I37-'Publication Bias Analysis'!I39,NA())</f>
        <v>0.41864257242159136</v>
      </c>
      <c r="GK20" s="12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152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6"/>
      <c r="IB20" s="12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3"/>
      <c r="I21" s="128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3"/>
      <c r="BE21" s="128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6"/>
      <c r="CQ21" s="52" t="str">
        <f t="shared" si="52"/>
        <v/>
      </c>
      <c r="CS21" s="2" t="s">
        <v>101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-8.1650664889244395E-3</v>
      </c>
      <c r="CU21" s="3">
        <f>IF(Model_effect_size_measure="Odds Ratio",CU19-CU20*ABS(TINV((1-Confidence_level),k_-1)),"")</f>
        <v>-8.1650664889244377E-3</v>
      </c>
      <c r="CV21" s="3" t="str">
        <f>IF(Model_effect_size_measure="Peto Odds Ratio",CV19-CV20*ABS(TINV((1-Confidence_level),k_-1)),"")</f>
        <v/>
      </c>
      <c r="CX21" s="13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76</v>
      </c>
      <c r="EY21" s="3">
        <f>SQRT(EY20)</f>
        <v>0</v>
      </c>
      <c r="FA21" s="13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3"/>
      <c r="FS21" s="128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329</v>
      </c>
      <c r="GH21" s="3">
        <f>IF(AND(Trim_and_fill="On",Additional_valid_options="Yes"),'Publication Bias Analysis'!I37-'Publication Bias Analysis'!I41,NA())</f>
        <v>0.41864257242159136</v>
      </c>
      <c r="GK21" s="12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6"/>
      <c r="IB21" s="12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3"/>
      <c r="I22" s="128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3"/>
      <c r="BE22" s="128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6"/>
      <c r="CQ22" s="52" t="str">
        <f t="shared" si="52"/>
        <v/>
      </c>
      <c r="CS22" s="2" t="s">
        <v>102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-2.0608253980152077E-3</v>
      </c>
      <c r="CU22" s="3">
        <f>IF(Model_effect_size_measure="Odds Ratio",CU19+CU20*ABS(TINV((1-Confidence_level),k_-1)),"")</f>
        <v>-2.0608253980152098E-3</v>
      </c>
      <c r="CV22" s="3" t="str">
        <f>IF(Model_effect_size_measure="Peto Odds Ratio",CV19+CV20*ABS(TINV((1-Confidence_level),k_-1)),"")</f>
        <v/>
      </c>
      <c r="CX22" s="13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3"/>
      <c r="FS22" s="128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330</v>
      </c>
      <c r="GH22" s="3">
        <f>IF(AND(Trim_and_fill="On",Additional_valid_options="Yes"),MAX('Publication Bias Analysis'!F:F)*1.2,NA())</f>
        <v>0.20557303222218498</v>
      </c>
      <c r="GK22" s="12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6"/>
      <c r="IB22" s="12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3"/>
      <c r="I23" s="128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3"/>
      <c r="BE23" s="128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6"/>
      <c r="CQ23" s="52" t="str">
        <f t="shared" si="52"/>
        <v/>
      </c>
      <c r="CS23" s="2" t="s">
        <v>300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-8.1650664889244395E-3</v>
      </c>
      <c r="CU23" s="3">
        <f>IF(Model_effect_size_measure="Odds Ratio",CU19-((lnCES_OddsRatio_MH-PIlnCES_LL_MH)/SElnCES_MH)*CU20,"")</f>
        <v>-8.1650664889244377E-3</v>
      </c>
      <c r="CV23" s="3" t="str">
        <f>IF(Model_effect_size_measure="Peto Odds Ratio",CV19-((lnCES_PetoOddsRatio-PIlnCES_LL_Peto)/SElnCES_Peto)*CV20,"")</f>
        <v/>
      </c>
      <c r="CX23" s="13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2" t="s">
        <v>331</v>
      </c>
      <c r="EY23" s="112"/>
      <c r="FA23" s="13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3"/>
      <c r="FS23" s="128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6"/>
      <c r="IB23" s="12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3"/>
      <c r="I24" s="128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3"/>
      <c r="BE24" s="128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6"/>
      <c r="CQ24" s="52" t="str">
        <f t="shared" si="52"/>
        <v/>
      </c>
      <c r="CS24" s="2" t="s">
        <v>305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-2.0608253980152077E-3</v>
      </c>
      <c r="CU24" s="3">
        <f>IF(Model_effect_size_measure="Odds Ratio",CU19+((lnCES_OddsRatio_MH-PIlnCES_LL_MH)/SElnCES_MH)*CU20,"")</f>
        <v>-2.0608253980152103E-3</v>
      </c>
      <c r="CV24" s="3" t="str">
        <f>IF(Model_effect_size_measure="Peto Odds Ratio",CV19+((lnCES_PetoOddsRatio-PIlnCES_LL_Peto)/SElnCES_Peto)*CV20,"")</f>
        <v/>
      </c>
      <c r="CX24" s="13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268</v>
      </c>
      <c r="EY24" s="3">
        <f>EY9</f>
        <v>0.9310743433617068</v>
      </c>
      <c r="FA24" s="13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3"/>
      <c r="FS24" s="128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6"/>
      <c r="IB24" s="12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3"/>
      <c r="I25" s="128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3"/>
      <c r="BE25" s="128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6"/>
      <c r="CQ25" s="52" t="str">
        <f t="shared" si="52"/>
        <v/>
      </c>
      <c r="CX25" s="13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285</v>
      </c>
      <c r="EY25" s="6">
        <f>IF(Subgroup_valid_options="Yes",MAX(DP:DP)+1,"")</f>
        <v>5</v>
      </c>
      <c r="FA25" s="13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3"/>
      <c r="FS25" s="128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6"/>
      <c r="IB25" s="12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3"/>
      <c r="I26" s="128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3"/>
      <c r="BE26" s="128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6"/>
      <c r="CQ26" s="52" t="str">
        <f t="shared" si="52"/>
        <v/>
      </c>
      <c r="CX26" s="13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332</v>
      </c>
      <c r="EY26" s="6">
        <f>IF(Subgroup_valid_options="Yes",MAX(DR:DR)+1,"")</f>
        <v>2</v>
      </c>
      <c r="FA26" s="13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3"/>
      <c r="FS26" s="128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6"/>
      <c r="IB26" s="12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3"/>
      <c r="I27" s="128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3"/>
      <c r="BE27" s="128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6"/>
      <c r="CQ27" s="52" t="str">
        <f t="shared" si="52"/>
        <v/>
      </c>
      <c r="CX27" s="13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290</v>
      </c>
      <c r="EY27" s="3">
        <f>IF(Subgroup_valid_options="Yes",EY9-EY11,"")</f>
        <v>0</v>
      </c>
      <c r="FA27" s="13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3"/>
      <c r="FS27" s="128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6"/>
      <c r="IB27" s="12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3"/>
      <c r="I28" s="128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3"/>
      <c r="BE28" s="128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6"/>
      <c r="CQ28" s="52" t="str">
        <f t="shared" si="52"/>
        <v/>
      </c>
      <c r="CX28" s="13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293</v>
      </c>
      <c r="EY28" s="3">
        <f>IF(Subgroup_valid_options="Yes",EY12-EY9,"")</f>
        <v>0</v>
      </c>
      <c r="FA28" s="13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3"/>
      <c r="FS28" s="128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6"/>
      <c r="IB28" s="12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3"/>
      <c r="I29" s="128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3"/>
      <c r="BE29" s="128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6"/>
      <c r="CQ29" s="52" t="str">
        <f t="shared" si="52"/>
        <v/>
      </c>
      <c r="CX29" s="13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298</v>
      </c>
      <c r="EY29" s="3">
        <f>IF(Subgroup_valid_options="Yes",EY9-EY13,"")</f>
        <v>0</v>
      </c>
      <c r="FA29" s="13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3"/>
      <c r="FS29" s="128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6"/>
      <c r="IB29" s="12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3"/>
      <c r="I30" s="128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3"/>
      <c r="BE30" s="128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6"/>
      <c r="CQ30" s="52" t="str">
        <f t="shared" si="52"/>
        <v/>
      </c>
      <c r="CX30" s="13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303</v>
      </c>
      <c r="EY30" s="3">
        <f>IF(Subgroup_valid_options="Yes",EY14-EY9,"")</f>
        <v>0</v>
      </c>
      <c r="FA30" s="13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3"/>
      <c r="FS30" s="128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6"/>
      <c r="IB30" s="12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3"/>
      <c r="I31" s="128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3"/>
      <c r="BE31" s="128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6"/>
      <c r="CQ31" s="52" t="str">
        <f t="shared" si="52"/>
        <v/>
      </c>
      <c r="CX31" s="13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333</v>
      </c>
      <c r="EY31" s="3">
        <f>IF(Subgroup_valid_options="Yes",MAX(ER:ER),"")</f>
        <v>0.5</v>
      </c>
      <c r="FA31" s="13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3"/>
      <c r="FS31" s="128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6"/>
      <c r="IB31" s="12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3"/>
      <c r="I32" s="128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3"/>
      <c r="BE32" s="128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6"/>
      <c r="CQ32" s="52" t="str">
        <f t="shared" si="52"/>
        <v/>
      </c>
      <c r="CX32" s="13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3"/>
      <c r="FS32" s="128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6"/>
      <c r="IB32" s="12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3"/>
      <c r="I33" s="128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3"/>
      <c r="BE33" s="128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6"/>
      <c r="CQ33" s="52" t="str">
        <f t="shared" si="52"/>
        <v/>
      </c>
      <c r="CX33" s="13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2" t="s">
        <v>334</v>
      </c>
      <c r="EY33" s="112"/>
      <c r="FA33" s="13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3"/>
      <c r="FS33" s="128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6"/>
      <c r="IB33" s="12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3"/>
      <c r="I34" s="128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3"/>
      <c r="BE34" s="128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6"/>
      <c r="CQ34" s="52" t="str">
        <f t="shared" ref="CQ34:CQ97" si="175">IF(AND(Sufficient_data="Yes",Include_study?="Yes"),c_/(c_+d_),"")</f>
        <v/>
      </c>
      <c r="CX34" s="13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335</v>
      </c>
      <c r="EY34" s="3">
        <f>IF(Subgroup_valid_options="Yes",SUMPRODUCT(ES:ES,DZ:DZ,DZ:DZ)-SUMPRODUCT(ES:ES,DZ:DZ)^2/SUM(ES:ES),"")</f>
        <v>1.4210854715202004E-14</v>
      </c>
      <c r="FA34" s="13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3"/>
      <c r="FS34" s="128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6"/>
      <c r="IB34" s="12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3"/>
      <c r="I35" s="128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3"/>
      <c r="BE35" s="128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6"/>
      <c r="CQ35" s="52" t="str">
        <f t="shared" si="175"/>
        <v/>
      </c>
      <c r="CX35" s="13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152</v>
      </c>
      <c r="EY35" s="3">
        <f>IF(Subgroup_valid_options="Yes",MAX(0,(EY34-(COUNT(DT:DT)-1))/(SUM(ES:ES)-(SUMPRODUCT(ES:ES,ES:ES)/SUM(ES:ES)))),"")</f>
        <v>0</v>
      </c>
      <c r="FA35" s="13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3"/>
      <c r="FS35" s="128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6"/>
      <c r="IB35" s="12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3"/>
      <c r="I36" s="128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3"/>
      <c r="BE36" s="128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6"/>
      <c r="CQ36" s="52" t="str">
        <f t="shared" si="175"/>
        <v/>
      </c>
      <c r="CX36" s="13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3"/>
      <c r="FS36" s="128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6"/>
      <c r="IB36" s="12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3"/>
      <c r="I37" s="128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3"/>
      <c r="BE37" s="128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6"/>
      <c r="CQ37" s="52" t="str">
        <f t="shared" si="175"/>
        <v/>
      </c>
      <c r="CX37" s="13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2" t="s">
        <v>336</v>
      </c>
      <c r="EY37" s="112"/>
      <c r="FA37" s="13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3"/>
      <c r="FS37" s="128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6"/>
      <c r="IB37" s="12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3"/>
      <c r="I38" s="128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3"/>
      <c r="BE38" s="128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6"/>
      <c r="CQ38" s="52" t="str">
        <f t="shared" si="175"/>
        <v/>
      </c>
      <c r="CX38" s="13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98</v>
      </c>
      <c r="EY38" s="3"/>
      <c r="FA38" s="13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3"/>
      <c r="FS38" s="128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6"/>
      <c r="IB38" s="12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3"/>
      <c r="I39" s="128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3"/>
      <c r="BE39" s="128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6"/>
      <c r="CQ39" s="52" t="str">
        <f t="shared" si="175"/>
        <v/>
      </c>
      <c r="CX39" s="13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86</v>
      </c>
      <c r="EY39" s="3"/>
      <c r="FA39" s="13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3"/>
      <c r="FS39" s="128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6"/>
      <c r="IB39" s="12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3"/>
      <c r="I40" s="128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3"/>
      <c r="BE40" s="128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6"/>
      <c r="CQ40" s="52" t="str">
        <f t="shared" si="175"/>
        <v/>
      </c>
      <c r="CX40" s="13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3"/>
      <c r="FS40" s="128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6"/>
      <c r="IB40" s="12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3"/>
      <c r="I41" s="128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3"/>
      <c r="BE41" s="128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6"/>
      <c r="CQ41" s="52" t="str">
        <f t="shared" si="175"/>
        <v/>
      </c>
      <c r="CX41" s="13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2" t="s">
        <v>337</v>
      </c>
      <c r="EY41" s="112"/>
      <c r="FA41" s="13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3"/>
      <c r="FS41" s="128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6"/>
      <c r="IB41" s="12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3"/>
      <c r="I42" s="128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3"/>
      <c r="BE42" s="128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6"/>
      <c r="CQ42" s="52" t="str">
        <f t="shared" si="175"/>
        <v/>
      </c>
      <c r="CX42" s="13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98</v>
      </c>
      <c r="EY42" s="30"/>
      <c r="FA42" s="13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3"/>
      <c r="FS42" s="128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6"/>
      <c r="IB42" s="12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3"/>
      <c r="I43" s="128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3"/>
      <c r="BE43" s="128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6"/>
      <c r="CQ43" s="52" t="str">
        <f t="shared" si="175"/>
        <v/>
      </c>
      <c r="CX43" s="13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88</v>
      </c>
      <c r="EY43" s="31"/>
      <c r="FA43" s="13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3"/>
      <c r="FS43" s="128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6"/>
      <c r="IB43" s="12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3"/>
      <c r="I44" s="128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3"/>
      <c r="BE44" s="128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6"/>
      <c r="CQ44" s="52" t="str">
        <f t="shared" si="175"/>
        <v/>
      </c>
      <c r="CX44" s="13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338</v>
      </c>
      <c r="EY44" s="31"/>
      <c r="FA44" s="13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3"/>
      <c r="FS44" s="128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6"/>
      <c r="IB44" s="12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3"/>
      <c r="I45" s="128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3"/>
      <c r="BE45" s="128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6"/>
      <c r="CQ45" s="52" t="str">
        <f t="shared" si="175"/>
        <v/>
      </c>
      <c r="CX45" s="13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3"/>
      <c r="FS45" s="128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6"/>
      <c r="IB45" s="12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3"/>
      <c r="I46" s="128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3"/>
      <c r="BE46" s="128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6"/>
      <c r="CQ46" s="52" t="str">
        <f t="shared" si="175"/>
        <v/>
      </c>
      <c r="CX46" s="13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3"/>
      <c r="FS46" s="128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6"/>
      <c r="IB46" s="12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3"/>
      <c r="I47" s="128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3"/>
      <c r="BE47" s="128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6"/>
      <c r="CQ47" s="52" t="str">
        <f t="shared" si="175"/>
        <v/>
      </c>
      <c r="CX47" s="13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3"/>
      <c r="FS47" s="128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6"/>
      <c r="IB47" s="12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3"/>
      <c r="I48" s="128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3"/>
      <c r="BE48" s="128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6"/>
      <c r="CQ48" s="52" t="str">
        <f t="shared" si="175"/>
        <v/>
      </c>
      <c r="CX48" s="13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3"/>
      <c r="FS48" s="128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6"/>
      <c r="IB48" s="12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3"/>
      <c r="I49" s="128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3"/>
      <c r="BE49" s="128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6"/>
      <c r="CQ49" s="52" t="str">
        <f t="shared" si="175"/>
        <v/>
      </c>
      <c r="CX49" s="13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3"/>
      <c r="FS49" s="128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6"/>
      <c r="IB49" s="12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3"/>
      <c r="I50" s="128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3"/>
      <c r="BE50" s="128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6"/>
      <c r="CQ50" s="52" t="str">
        <f t="shared" si="175"/>
        <v/>
      </c>
      <c r="CX50" s="13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3"/>
      <c r="FS50" s="128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6"/>
      <c r="IB50" s="12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3"/>
      <c r="I51" s="128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3"/>
      <c r="BE51" s="128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6"/>
      <c r="CQ51" s="52" t="str">
        <f t="shared" si="175"/>
        <v/>
      </c>
      <c r="CX51" s="13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3"/>
      <c r="FS51" s="128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6"/>
      <c r="IB51" s="12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3"/>
      <c r="I52" s="128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3"/>
      <c r="BE52" s="128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6"/>
      <c r="CQ52" s="52" t="str">
        <f t="shared" si="175"/>
        <v/>
      </c>
      <c r="CX52" s="13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3"/>
      <c r="FS52" s="128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6"/>
      <c r="IB52" s="12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3"/>
      <c r="I53" s="128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3"/>
      <c r="BE53" s="128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6"/>
      <c r="CQ53" s="52" t="str">
        <f t="shared" si="175"/>
        <v/>
      </c>
      <c r="CX53" s="13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3"/>
      <c r="FS53" s="128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6"/>
      <c r="IB53" s="12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3"/>
      <c r="I54" s="128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3"/>
      <c r="BE54" s="128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6"/>
      <c r="CQ54" s="52" t="str">
        <f t="shared" si="175"/>
        <v/>
      </c>
      <c r="CX54" s="13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3"/>
      <c r="FS54" s="128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6"/>
      <c r="IB54" s="12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3"/>
      <c r="I55" s="128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3"/>
      <c r="BE55" s="128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6"/>
      <c r="CQ55" s="52" t="str">
        <f t="shared" si="175"/>
        <v/>
      </c>
      <c r="CX55" s="13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3"/>
      <c r="FS55" s="128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6"/>
      <c r="IB55" s="12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3"/>
      <c r="I56" s="128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3"/>
      <c r="BE56" s="128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6"/>
      <c r="CQ56" s="52" t="str">
        <f t="shared" si="175"/>
        <v/>
      </c>
      <c r="CX56" s="13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3"/>
      <c r="FS56" s="128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6"/>
      <c r="IB56" s="12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3"/>
      <c r="I57" s="128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3"/>
      <c r="BE57" s="128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6"/>
      <c r="CQ57" s="52" t="str">
        <f t="shared" si="175"/>
        <v/>
      </c>
      <c r="CX57" s="13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3"/>
      <c r="FS57" s="128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6"/>
      <c r="IB57" s="12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3"/>
      <c r="I58" s="128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3"/>
      <c r="BE58" s="128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6"/>
      <c r="CQ58" s="52" t="str">
        <f t="shared" si="175"/>
        <v/>
      </c>
      <c r="CX58" s="13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3"/>
      <c r="FS58" s="128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6"/>
      <c r="IB58" s="12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3"/>
      <c r="I59" s="128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3"/>
      <c r="BE59" s="128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6"/>
      <c r="CQ59" s="52" t="str">
        <f t="shared" si="175"/>
        <v/>
      </c>
      <c r="CX59" s="13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3"/>
      <c r="FS59" s="128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6"/>
      <c r="IB59" s="12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3"/>
      <c r="I60" s="128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3"/>
      <c r="BE60" s="128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6"/>
      <c r="CQ60" s="52" t="str">
        <f t="shared" si="175"/>
        <v/>
      </c>
      <c r="CX60" s="13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3"/>
      <c r="FS60" s="128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6"/>
      <c r="IB60" s="12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3"/>
      <c r="I61" s="128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3"/>
      <c r="BE61" s="128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6"/>
      <c r="CQ61" s="52" t="str">
        <f t="shared" si="175"/>
        <v/>
      </c>
      <c r="CX61" s="13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3"/>
      <c r="FS61" s="128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6"/>
      <c r="IB61" s="12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3"/>
      <c r="I62" s="128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3"/>
      <c r="BE62" s="128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6"/>
      <c r="CQ62" s="52" t="str">
        <f t="shared" si="175"/>
        <v/>
      </c>
      <c r="CX62" s="13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3"/>
      <c r="FS62" s="128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6"/>
      <c r="IB62" s="12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3"/>
      <c r="I63" s="128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3"/>
      <c r="BE63" s="128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6"/>
      <c r="CQ63" s="52" t="str">
        <f t="shared" si="175"/>
        <v/>
      </c>
      <c r="CX63" s="13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3"/>
      <c r="FS63" s="128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6"/>
      <c r="IB63" s="12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3"/>
      <c r="I64" s="128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3"/>
      <c r="BE64" s="128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6"/>
      <c r="CQ64" s="52" t="str">
        <f t="shared" si="175"/>
        <v/>
      </c>
      <c r="CX64" s="13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3"/>
      <c r="FS64" s="128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6"/>
      <c r="IB64" s="12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3"/>
      <c r="I65" s="128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3"/>
      <c r="BE65" s="128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6"/>
      <c r="CQ65" s="52" t="str">
        <f t="shared" si="175"/>
        <v/>
      </c>
      <c r="CX65" s="13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3"/>
      <c r="FS65" s="128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6"/>
      <c r="IB65" s="12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3"/>
      <c r="I66" s="128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3"/>
      <c r="BE66" s="128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6"/>
      <c r="CQ66" s="52" t="str">
        <f t="shared" si="175"/>
        <v/>
      </c>
      <c r="CX66" s="13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3"/>
      <c r="FS66" s="128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6"/>
      <c r="IB66" s="12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3"/>
      <c r="I67" s="128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3"/>
      <c r="BE67" s="128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6"/>
      <c r="CQ67" s="52" t="str">
        <f t="shared" si="175"/>
        <v/>
      </c>
      <c r="CX67" s="13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3"/>
      <c r="FS67" s="128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6"/>
      <c r="IB67" s="12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3"/>
      <c r="I68" s="128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3"/>
      <c r="BE68" s="128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6"/>
      <c r="CQ68" s="52" t="str">
        <f t="shared" si="175"/>
        <v/>
      </c>
      <c r="CX68" s="13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3"/>
      <c r="FS68" s="128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6"/>
      <c r="IB68" s="12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3"/>
      <c r="I69" s="128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3"/>
      <c r="BE69" s="128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6"/>
      <c r="CQ69" s="52" t="str">
        <f t="shared" si="175"/>
        <v/>
      </c>
      <c r="CX69" s="13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3"/>
      <c r="FS69" s="128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6"/>
      <c r="IB69" s="12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3"/>
      <c r="I70" s="128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3"/>
      <c r="BE70" s="128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6"/>
      <c r="CQ70" s="52" t="str">
        <f t="shared" si="175"/>
        <v/>
      </c>
      <c r="CX70" s="13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3"/>
      <c r="FS70" s="128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6"/>
      <c r="IB70" s="12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3"/>
      <c r="I71" s="128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3"/>
      <c r="BE71" s="128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6"/>
      <c r="CQ71" s="52" t="str">
        <f t="shared" si="175"/>
        <v/>
      </c>
      <c r="CX71" s="13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3"/>
      <c r="FS71" s="128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6"/>
      <c r="IB71" s="12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3"/>
      <c r="I72" s="128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3"/>
      <c r="BE72" s="128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6"/>
      <c r="CQ72" s="52" t="str">
        <f t="shared" si="175"/>
        <v/>
      </c>
      <c r="CX72" s="13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3"/>
      <c r="FS72" s="128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6"/>
      <c r="IB72" s="12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3"/>
      <c r="I73" s="128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3"/>
      <c r="BE73" s="128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6"/>
      <c r="CQ73" s="52" t="str">
        <f t="shared" si="175"/>
        <v/>
      </c>
      <c r="CX73" s="13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3"/>
      <c r="FS73" s="128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6"/>
      <c r="IB73" s="12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3"/>
      <c r="I74" s="128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3"/>
      <c r="BE74" s="128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6"/>
      <c r="CQ74" s="52" t="str">
        <f t="shared" si="175"/>
        <v/>
      </c>
      <c r="CX74" s="13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3"/>
      <c r="FS74" s="128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6"/>
      <c r="IB74" s="12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3"/>
      <c r="I75" s="128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3"/>
      <c r="BE75" s="128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6"/>
      <c r="CQ75" s="52" t="str">
        <f t="shared" si="175"/>
        <v/>
      </c>
      <c r="CX75" s="13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3"/>
      <c r="FS75" s="128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6"/>
      <c r="IB75" s="12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3"/>
      <c r="I76" s="128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3"/>
      <c r="BE76" s="128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6"/>
      <c r="CQ76" s="52" t="str">
        <f t="shared" si="175"/>
        <v/>
      </c>
      <c r="CX76" s="13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3"/>
      <c r="FS76" s="128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6"/>
      <c r="IB76" s="12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3"/>
      <c r="I77" s="128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3"/>
      <c r="BE77" s="128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6"/>
      <c r="CQ77" s="52" t="str">
        <f t="shared" si="175"/>
        <v/>
      </c>
      <c r="CX77" s="13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3"/>
      <c r="FS77" s="128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6"/>
      <c r="IB77" s="12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3"/>
      <c r="I78" s="128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3"/>
      <c r="BE78" s="128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6"/>
      <c r="CQ78" s="52" t="str">
        <f t="shared" si="175"/>
        <v/>
      </c>
      <c r="CX78" s="13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3"/>
      <c r="FS78" s="128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6"/>
      <c r="IB78" s="12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3"/>
      <c r="I79" s="128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3"/>
      <c r="BE79" s="128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6"/>
      <c r="CQ79" s="52" t="str">
        <f t="shared" si="175"/>
        <v/>
      </c>
      <c r="CX79" s="13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3"/>
      <c r="FS79" s="128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6"/>
      <c r="IB79" s="12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3"/>
      <c r="I80" s="128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3"/>
      <c r="BE80" s="128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6"/>
      <c r="CQ80" s="52" t="str">
        <f t="shared" si="175"/>
        <v/>
      </c>
      <c r="CX80" s="13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3"/>
      <c r="FS80" s="128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6"/>
      <c r="IB80" s="12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3"/>
      <c r="I81" s="128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3"/>
      <c r="BE81" s="128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6"/>
      <c r="CQ81" s="52" t="str">
        <f t="shared" si="175"/>
        <v/>
      </c>
      <c r="CX81" s="13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3"/>
      <c r="FS81" s="128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6"/>
      <c r="IB81" s="12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3"/>
      <c r="I82" s="128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3"/>
      <c r="BE82" s="128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6"/>
      <c r="CQ82" s="52" t="str">
        <f t="shared" si="175"/>
        <v/>
      </c>
      <c r="CX82" s="13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3"/>
      <c r="FS82" s="128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6"/>
      <c r="IB82" s="12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3"/>
      <c r="I83" s="128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3"/>
      <c r="BE83" s="128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6"/>
      <c r="CQ83" s="52" t="str">
        <f t="shared" si="175"/>
        <v/>
      </c>
      <c r="CX83" s="13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3"/>
      <c r="FS83" s="128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6"/>
      <c r="IB83" s="12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3"/>
      <c r="I84" s="128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3"/>
      <c r="BE84" s="128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6"/>
      <c r="CQ84" s="52" t="str">
        <f t="shared" si="175"/>
        <v/>
      </c>
      <c r="CX84" s="13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3"/>
      <c r="FS84" s="128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6"/>
      <c r="IB84" s="12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3"/>
      <c r="I85" s="128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3"/>
      <c r="BE85" s="128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6"/>
      <c r="CQ85" s="52" t="str">
        <f t="shared" si="175"/>
        <v/>
      </c>
      <c r="CX85" s="13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3"/>
      <c r="FS85" s="128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6"/>
      <c r="IB85" s="12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3"/>
      <c r="I86" s="128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3"/>
      <c r="BE86" s="128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6"/>
      <c r="CQ86" s="52" t="str">
        <f t="shared" si="175"/>
        <v/>
      </c>
      <c r="CX86" s="13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3"/>
      <c r="FS86" s="128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6"/>
      <c r="IB86" s="12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3"/>
      <c r="I87" s="128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3"/>
      <c r="BE87" s="128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6"/>
      <c r="CQ87" s="52" t="str">
        <f t="shared" si="175"/>
        <v/>
      </c>
      <c r="CX87" s="13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3"/>
      <c r="FS87" s="128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6"/>
      <c r="IB87" s="12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3"/>
      <c r="I88" s="128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3"/>
      <c r="BE88" s="128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6"/>
      <c r="CQ88" s="52" t="str">
        <f t="shared" si="175"/>
        <v/>
      </c>
      <c r="CX88" s="13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3"/>
      <c r="FS88" s="128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6"/>
      <c r="IB88" s="12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3"/>
      <c r="I89" s="128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3"/>
      <c r="BE89" s="128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6"/>
      <c r="CQ89" s="52" t="str">
        <f t="shared" si="175"/>
        <v/>
      </c>
      <c r="CX89" s="13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3"/>
      <c r="FS89" s="128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6"/>
      <c r="IB89" s="12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3"/>
      <c r="I90" s="128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3"/>
      <c r="BE90" s="128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6"/>
      <c r="CQ90" s="52" t="str">
        <f t="shared" si="175"/>
        <v/>
      </c>
      <c r="CX90" s="13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3"/>
      <c r="FS90" s="128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6"/>
      <c r="IB90" s="12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3"/>
      <c r="I91" s="128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3"/>
      <c r="BE91" s="128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6"/>
      <c r="CQ91" s="52" t="str">
        <f t="shared" si="175"/>
        <v/>
      </c>
      <c r="CX91" s="13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3"/>
      <c r="FS91" s="128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6"/>
      <c r="IB91" s="12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3"/>
      <c r="I92" s="128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3"/>
      <c r="BE92" s="128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6"/>
      <c r="CQ92" s="52" t="str">
        <f t="shared" si="175"/>
        <v/>
      </c>
      <c r="CX92" s="13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3"/>
      <c r="FS92" s="128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6"/>
      <c r="IB92" s="12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3"/>
      <c r="I93" s="128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3"/>
      <c r="BE93" s="128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6"/>
      <c r="CQ93" s="52" t="str">
        <f t="shared" si="175"/>
        <v/>
      </c>
      <c r="CX93" s="13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3"/>
      <c r="FS93" s="128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6"/>
      <c r="IB93" s="12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3"/>
      <c r="I94" s="128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3"/>
      <c r="BE94" s="128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6"/>
      <c r="CQ94" s="52" t="str">
        <f t="shared" si="175"/>
        <v/>
      </c>
      <c r="CX94" s="13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3"/>
      <c r="FS94" s="128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6"/>
      <c r="IB94" s="12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3"/>
      <c r="I95" s="128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3"/>
      <c r="BE95" s="128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6"/>
      <c r="CQ95" s="52" t="str">
        <f t="shared" si="175"/>
        <v/>
      </c>
      <c r="CX95" s="13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3"/>
      <c r="FS95" s="128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6"/>
      <c r="IB95" s="12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3"/>
      <c r="I96" s="128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3"/>
      <c r="BE96" s="128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6"/>
      <c r="CQ96" s="52" t="str">
        <f t="shared" si="175"/>
        <v/>
      </c>
      <c r="CX96" s="13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3"/>
      <c r="FS96" s="128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6"/>
      <c r="IB96" s="12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3"/>
      <c r="I97" s="128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3"/>
      <c r="BE97" s="128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6"/>
      <c r="CQ97" s="52" t="str">
        <f t="shared" si="175"/>
        <v/>
      </c>
      <c r="CX97" s="13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3"/>
      <c r="FS97" s="128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6"/>
      <c r="IB97" s="12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3"/>
      <c r="I98" s="128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3"/>
      <c r="BE98" s="128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6"/>
      <c r="CQ98" s="52" t="str">
        <f t="shared" ref="CQ98:CQ161" si="383">IF(AND(Sufficient_data="Yes",Include_study?="Yes"),c_/(c_+d_),"")</f>
        <v/>
      </c>
      <c r="CX98" s="13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3"/>
      <c r="FS98" s="128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6"/>
      <c r="IB98" s="12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3"/>
      <c r="I99" s="128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3"/>
      <c r="BE99" s="128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6"/>
      <c r="CQ99" s="52" t="str">
        <f t="shared" si="383"/>
        <v/>
      </c>
      <c r="CX99" s="13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3"/>
      <c r="FS99" s="128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6"/>
      <c r="IB99" s="12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3"/>
      <c r="I100" s="128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3"/>
      <c r="BE100" s="128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6"/>
      <c r="CQ100" s="52" t="str">
        <f t="shared" si="383"/>
        <v/>
      </c>
      <c r="CX100" s="13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3"/>
      <c r="FS100" s="128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6"/>
      <c r="IB100" s="12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3"/>
      <c r="I101" s="128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3"/>
      <c r="BE101" s="128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6"/>
      <c r="CQ101" s="52" t="str">
        <f t="shared" si="383"/>
        <v/>
      </c>
      <c r="CX101" s="13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3"/>
      <c r="FS101" s="128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6"/>
      <c r="IB101" s="12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3"/>
      <c r="I102" s="128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3"/>
      <c r="BE102" s="128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6"/>
      <c r="CQ102" s="52" t="str">
        <f t="shared" si="383"/>
        <v/>
      </c>
      <c r="CX102" s="13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3"/>
      <c r="FS102" s="128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6"/>
      <c r="IB102" s="12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3"/>
      <c r="I103" s="128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3"/>
      <c r="BE103" s="128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6"/>
      <c r="CQ103" s="52" t="str">
        <f t="shared" si="383"/>
        <v/>
      </c>
      <c r="CX103" s="13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3"/>
      <c r="FS103" s="128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6"/>
      <c r="IB103" s="12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3"/>
      <c r="I104" s="128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3"/>
      <c r="BE104" s="128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6"/>
      <c r="CQ104" s="52" t="str">
        <f t="shared" si="383"/>
        <v/>
      </c>
      <c r="CX104" s="13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3"/>
      <c r="FS104" s="128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6"/>
      <c r="IB104" s="12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3"/>
      <c r="I105" s="128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3"/>
      <c r="BE105" s="128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6"/>
      <c r="CQ105" s="52" t="str">
        <f t="shared" si="383"/>
        <v/>
      </c>
      <c r="CX105" s="13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3"/>
      <c r="FS105" s="128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6"/>
      <c r="IB105" s="12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3"/>
      <c r="I106" s="128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3"/>
      <c r="BE106" s="128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6"/>
      <c r="CQ106" s="52" t="str">
        <f t="shared" si="383"/>
        <v/>
      </c>
      <c r="CX106" s="13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3"/>
      <c r="FS106" s="128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6"/>
      <c r="IB106" s="12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3"/>
      <c r="I107" s="128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3"/>
      <c r="BE107" s="128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6"/>
      <c r="CQ107" s="52" t="str">
        <f t="shared" si="383"/>
        <v/>
      </c>
      <c r="CX107" s="13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3"/>
      <c r="FS107" s="128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6"/>
      <c r="IB107" s="12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3"/>
      <c r="I108" s="128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3"/>
      <c r="BE108" s="128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6"/>
      <c r="CQ108" s="52" t="str">
        <f t="shared" si="383"/>
        <v/>
      </c>
      <c r="CX108" s="13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3"/>
      <c r="FS108" s="128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6"/>
      <c r="IB108" s="12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3"/>
      <c r="I109" s="128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3"/>
      <c r="BE109" s="128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6"/>
      <c r="CQ109" s="52" t="str">
        <f t="shared" si="383"/>
        <v/>
      </c>
      <c r="CX109" s="13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3"/>
      <c r="FS109" s="128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6"/>
      <c r="IB109" s="12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3"/>
      <c r="I110" s="128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3"/>
      <c r="BE110" s="128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6"/>
      <c r="CQ110" s="52" t="str">
        <f t="shared" si="383"/>
        <v/>
      </c>
      <c r="CX110" s="13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3"/>
      <c r="FS110" s="128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6"/>
      <c r="IB110" s="12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3"/>
      <c r="I111" s="128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3"/>
      <c r="BE111" s="128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6"/>
      <c r="CQ111" s="52" t="str">
        <f t="shared" si="383"/>
        <v/>
      </c>
      <c r="CX111" s="13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3"/>
      <c r="FS111" s="128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6"/>
      <c r="IB111" s="12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3"/>
      <c r="I112" s="128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3"/>
      <c r="BE112" s="128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6"/>
      <c r="CQ112" s="52" t="str">
        <f t="shared" si="383"/>
        <v/>
      </c>
      <c r="CX112" s="13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3"/>
      <c r="FS112" s="128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6"/>
      <c r="IB112" s="12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3"/>
      <c r="I113" s="128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3"/>
      <c r="BE113" s="128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6"/>
      <c r="CQ113" s="52" t="str">
        <f t="shared" si="383"/>
        <v/>
      </c>
      <c r="CX113" s="13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3"/>
      <c r="FS113" s="128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6"/>
      <c r="IB113" s="12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3"/>
      <c r="I114" s="128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3"/>
      <c r="BE114" s="128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6"/>
      <c r="CQ114" s="52" t="str">
        <f t="shared" si="383"/>
        <v/>
      </c>
      <c r="CX114" s="13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3"/>
      <c r="FS114" s="128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6"/>
      <c r="IB114" s="12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3"/>
      <c r="I115" s="128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3"/>
      <c r="BE115" s="128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6"/>
      <c r="CQ115" s="52" t="str">
        <f t="shared" si="383"/>
        <v/>
      </c>
      <c r="CX115" s="13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3"/>
      <c r="FS115" s="128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6"/>
      <c r="IB115" s="12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3"/>
      <c r="I116" s="128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3"/>
      <c r="BE116" s="128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6"/>
      <c r="CQ116" s="52" t="str">
        <f t="shared" si="383"/>
        <v/>
      </c>
      <c r="CX116" s="13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3"/>
      <c r="FS116" s="128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6"/>
      <c r="IB116" s="12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3"/>
      <c r="I117" s="128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3"/>
      <c r="BE117" s="128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6"/>
      <c r="CQ117" s="52" t="str">
        <f t="shared" si="383"/>
        <v/>
      </c>
      <c r="CX117" s="13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3"/>
      <c r="FS117" s="128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6"/>
      <c r="IB117" s="12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3"/>
      <c r="I118" s="128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3"/>
      <c r="BE118" s="128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6"/>
      <c r="CQ118" s="52" t="str">
        <f t="shared" si="383"/>
        <v/>
      </c>
      <c r="CX118" s="13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3"/>
      <c r="FS118" s="128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6"/>
      <c r="IB118" s="12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3"/>
      <c r="I119" s="128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3"/>
      <c r="BE119" s="128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6"/>
      <c r="CQ119" s="52" t="str">
        <f t="shared" si="383"/>
        <v/>
      </c>
      <c r="CX119" s="13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3"/>
      <c r="FS119" s="128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6"/>
      <c r="IB119" s="12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3"/>
      <c r="I120" s="128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3"/>
      <c r="BE120" s="128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6"/>
      <c r="CQ120" s="52" t="str">
        <f t="shared" si="383"/>
        <v/>
      </c>
      <c r="CX120" s="13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3"/>
      <c r="FS120" s="128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6"/>
      <c r="IB120" s="12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3"/>
      <c r="I121" s="128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3"/>
      <c r="BE121" s="128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6"/>
      <c r="CQ121" s="52" t="str">
        <f t="shared" si="383"/>
        <v/>
      </c>
      <c r="CX121" s="13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3"/>
      <c r="FS121" s="128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6"/>
      <c r="IB121" s="12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3"/>
      <c r="I122" s="128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3"/>
      <c r="BE122" s="128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6"/>
      <c r="CQ122" s="52" t="str">
        <f t="shared" si="383"/>
        <v/>
      </c>
      <c r="CX122" s="13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3"/>
      <c r="FS122" s="128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6"/>
      <c r="IB122" s="12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3"/>
      <c r="I123" s="128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3"/>
      <c r="BE123" s="128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6"/>
      <c r="CQ123" s="52" t="str">
        <f t="shared" si="383"/>
        <v/>
      </c>
      <c r="CX123" s="13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3"/>
      <c r="FS123" s="128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6"/>
      <c r="IB123" s="12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3"/>
      <c r="I124" s="128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3"/>
      <c r="BE124" s="128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6"/>
      <c r="CQ124" s="52" t="str">
        <f t="shared" si="383"/>
        <v/>
      </c>
      <c r="CX124" s="13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3"/>
      <c r="FS124" s="128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6"/>
      <c r="IB124" s="12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3"/>
      <c r="I125" s="128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3"/>
      <c r="BE125" s="128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6"/>
      <c r="CQ125" s="52" t="str">
        <f t="shared" si="383"/>
        <v/>
      </c>
      <c r="CX125" s="13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3"/>
      <c r="FS125" s="128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6"/>
      <c r="IB125" s="12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3"/>
      <c r="I126" s="128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3"/>
      <c r="BE126" s="128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6"/>
      <c r="CQ126" s="52" t="str">
        <f t="shared" si="383"/>
        <v/>
      </c>
      <c r="CX126" s="13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3"/>
      <c r="FS126" s="128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6"/>
      <c r="IB126" s="12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3"/>
      <c r="I127" s="128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3"/>
      <c r="BE127" s="128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6"/>
      <c r="CQ127" s="52" t="str">
        <f t="shared" si="383"/>
        <v/>
      </c>
      <c r="CX127" s="13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3"/>
      <c r="FS127" s="128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6"/>
      <c r="IB127" s="12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3"/>
      <c r="I128" s="128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3"/>
      <c r="BE128" s="128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6"/>
      <c r="CQ128" s="52" t="str">
        <f t="shared" si="383"/>
        <v/>
      </c>
      <c r="CX128" s="13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3"/>
      <c r="FS128" s="128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6"/>
      <c r="IB128" s="12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3"/>
      <c r="I129" s="128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3"/>
      <c r="BE129" s="128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6"/>
      <c r="CQ129" s="52" t="str">
        <f t="shared" si="383"/>
        <v/>
      </c>
      <c r="CX129" s="13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3"/>
      <c r="FS129" s="128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6"/>
      <c r="IB129" s="12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3"/>
      <c r="I130" s="128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3"/>
      <c r="BE130" s="128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6"/>
      <c r="CQ130" s="52" t="str">
        <f t="shared" si="383"/>
        <v/>
      </c>
      <c r="CX130" s="13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3"/>
      <c r="FS130" s="128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6"/>
      <c r="IB130" s="12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3"/>
      <c r="I131" s="128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3"/>
      <c r="BE131" s="128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6"/>
      <c r="CQ131" s="52" t="str">
        <f t="shared" si="383"/>
        <v/>
      </c>
      <c r="CX131" s="13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3"/>
      <c r="FS131" s="128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6"/>
      <c r="IB131" s="12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3"/>
      <c r="I132" s="128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3"/>
      <c r="BE132" s="128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6"/>
      <c r="CQ132" s="52" t="str">
        <f t="shared" si="383"/>
        <v/>
      </c>
      <c r="CX132" s="13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3"/>
      <c r="FS132" s="128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6"/>
      <c r="IB132" s="12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3"/>
      <c r="I133" s="128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3"/>
      <c r="BE133" s="128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6"/>
      <c r="CQ133" s="52" t="str">
        <f t="shared" si="383"/>
        <v/>
      </c>
      <c r="CX133" s="13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3"/>
      <c r="FS133" s="128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6"/>
      <c r="IB133" s="12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3"/>
      <c r="I134" s="128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3"/>
      <c r="BE134" s="128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6"/>
      <c r="CQ134" s="52" t="str">
        <f t="shared" si="383"/>
        <v/>
      </c>
      <c r="CX134" s="13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3"/>
      <c r="FS134" s="128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6"/>
      <c r="IB134" s="12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3"/>
      <c r="I135" s="128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3"/>
      <c r="BE135" s="128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6"/>
      <c r="CQ135" s="52" t="str">
        <f t="shared" si="383"/>
        <v/>
      </c>
      <c r="CX135" s="13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3"/>
      <c r="FS135" s="128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6"/>
      <c r="IB135" s="12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3"/>
      <c r="I136" s="128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3"/>
      <c r="BE136" s="128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6"/>
      <c r="CQ136" s="52" t="str">
        <f t="shared" si="383"/>
        <v/>
      </c>
      <c r="CX136" s="13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3"/>
      <c r="FS136" s="128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6"/>
      <c r="IB136" s="12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3"/>
      <c r="I137" s="128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3"/>
      <c r="BE137" s="128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6"/>
      <c r="CQ137" s="52" t="str">
        <f t="shared" si="383"/>
        <v/>
      </c>
      <c r="CX137" s="13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3"/>
      <c r="FS137" s="128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6"/>
      <c r="IB137" s="12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3"/>
      <c r="I138" s="128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3"/>
      <c r="BE138" s="128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6"/>
      <c r="CQ138" s="52" t="str">
        <f t="shared" si="383"/>
        <v/>
      </c>
      <c r="CX138" s="13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3"/>
      <c r="FS138" s="128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6"/>
      <c r="IB138" s="12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3"/>
      <c r="I139" s="128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3"/>
      <c r="BE139" s="128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6"/>
      <c r="CQ139" s="52" t="str">
        <f t="shared" si="383"/>
        <v/>
      </c>
      <c r="CX139" s="13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3"/>
      <c r="FS139" s="128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6"/>
      <c r="IB139" s="12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3"/>
      <c r="I140" s="128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3"/>
      <c r="BE140" s="128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6"/>
      <c r="CQ140" s="52" t="str">
        <f t="shared" si="383"/>
        <v/>
      </c>
      <c r="CX140" s="13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3"/>
      <c r="FS140" s="128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6"/>
      <c r="IB140" s="12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3"/>
      <c r="I141" s="128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3"/>
      <c r="BE141" s="128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6"/>
      <c r="CQ141" s="52" t="str">
        <f t="shared" si="383"/>
        <v/>
      </c>
      <c r="CX141" s="13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3"/>
      <c r="FS141" s="128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6"/>
      <c r="IB141" s="12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3"/>
      <c r="I142" s="128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3"/>
      <c r="BE142" s="128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6"/>
      <c r="CQ142" s="52" t="str">
        <f t="shared" si="383"/>
        <v/>
      </c>
      <c r="CX142" s="13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3"/>
      <c r="FS142" s="128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6"/>
      <c r="IB142" s="12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3"/>
      <c r="I143" s="128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3"/>
      <c r="BE143" s="128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6"/>
      <c r="CQ143" s="52" t="str">
        <f t="shared" si="383"/>
        <v/>
      </c>
      <c r="CX143" s="13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3"/>
      <c r="FS143" s="128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6"/>
      <c r="IB143" s="12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3"/>
      <c r="I144" s="128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3"/>
      <c r="BE144" s="128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6"/>
      <c r="CQ144" s="52" t="str">
        <f t="shared" si="383"/>
        <v/>
      </c>
      <c r="CX144" s="13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3"/>
      <c r="FS144" s="128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6"/>
      <c r="IB144" s="12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3"/>
      <c r="I145" s="128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3"/>
      <c r="BE145" s="128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6"/>
      <c r="CQ145" s="52" t="str">
        <f t="shared" si="383"/>
        <v/>
      </c>
      <c r="CX145" s="13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3"/>
      <c r="FS145" s="128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6"/>
      <c r="IB145" s="12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3"/>
      <c r="I146" s="128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3"/>
      <c r="BE146" s="128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6"/>
      <c r="CQ146" s="52" t="str">
        <f t="shared" si="383"/>
        <v/>
      </c>
      <c r="CX146" s="13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3"/>
      <c r="FS146" s="128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6"/>
      <c r="IB146" s="12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3"/>
      <c r="I147" s="128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3"/>
      <c r="BE147" s="128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6"/>
      <c r="CQ147" s="52" t="str">
        <f t="shared" si="383"/>
        <v/>
      </c>
      <c r="CX147" s="13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3"/>
      <c r="FS147" s="128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6"/>
      <c r="IB147" s="12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3"/>
      <c r="I148" s="128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3"/>
      <c r="BE148" s="128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6"/>
      <c r="CQ148" s="52" t="str">
        <f t="shared" si="383"/>
        <v/>
      </c>
      <c r="CX148" s="13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3"/>
      <c r="FS148" s="128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6"/>
      <c r="IB148" s="12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3"/>
      <c r="I149" s="128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3"/>
      <c r="BE149" s="128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6"/>
      <c r="CQ149" s="52" t="str">
        <f t="shared" si="383"/>
        <v/>
      </c>
      <c r="CX149" s="13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3"/>
      <c r="FS149" s="128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6"/>
      <c r="IB149" s="12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3"/>
      <c r="I150" s="128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3"/>
      <c r="BE150" s="128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6"/>
      <c r="CQ150" s="52" t="str">
        <f t="shared" si="383"/>
        <v/>
      </c>
      <c r="CX150" s="13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3"/>
      <c r="FS150" s="128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6"/>
      <c r="IB150" s="12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3"/>
      <c r="I151" s="128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3"/>
      <c r="BE151" s="128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6"/>
      <c r="CQ151" s="52" t="str">
        <f t="shared" si="383"/>
        <v/>
      </c>
      <c r="CX151" s="13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3"/>
      <c r="FS151" s="128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6"/>
      <c r="IB151" s="12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3"/>
      <c r="I152" s="128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3"/>
      <c r="BE152" s="128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6"/>
      <c r="CQ152" s="52" t="str">
        <f t="shared" si="383"/>
        <v/>
      </c>
      <c r="CX152" s="13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3"/>
      <c r="FS152" s="128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6"/>
      <c r="IB152" s="12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3"/>
      <c r="I153" s="128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3"/>
      <c r="BE153" s="128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6"/>
      <c r="CQ153" s="52" t="str">
        <f t="shared" si="383"/>
        <v/>
      </c>
      <c r="CX153" s="13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3"/>
      <c r="FS153" s="128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6"/>
      <c r="IB153" s="12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3"/>
      <c r="I154" s="128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3"/>
      <c r="BE154" s="128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6"/>
      <c r="CQ154" s="52" t="str">
        <f t="shared" si="383"/>
        <v/>
      </c>
      <c r="CX154" s="13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3"/>
      <c r="FS154" s="128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6"/>
      <c r="IB154" s="12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3"/>
      <c r="I155" s="128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3"/>
      <c r="BE155" s="128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6"/>
      <c r="CQ155" s="52" t="str">
        <f t="shared" si="383"/>
        <v/>
      </c>
      <c r="CX155" s="13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3"/>
      <c r="FS155" s="128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6"/>
      <c r="IB155" s="12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3"/>
      <c r="I156" s="128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3"/>
      <c r="BE156" s="128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6"/>
      <c r="CQ156" s="52" t="str">
        <f t="shared" si="383"/>
        <v/>
      </c>
      <c r="CX156" s="13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3"/>
      <c r="FS156" s="128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6"/>
      <c r="IB156" s="12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3"/>
      <c r="I157" s="128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3"/>
      <c r="BE157" s="128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6"/>
      <c r="CQ157" s="52" t="str">
        <f t="shared" si="383"/>
        <v/>
      </c>
      <c r="CX157" s="13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3"/>
      <c r="FS157" s="128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6"/>
      <c r="IB157" s="12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3"/>
      <c r="I158" s="128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3"/>
      <c r="BE158" s="128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6"/>
      <c r="CQ158" s="52" t="str">
        <f t="shared" si="383"/>
        <v/>
      </c>
      <c r="CX158" s="13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3"/>
      <c r="FS158" s="128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6"/>
      <c r="IB158" s="12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3"/>
      <c r="I159" s="128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3"/>
      <c r="BE159" s="128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6"/>
      <c r="CQ159" s="52" t="str">
        <f t="shared" si="383"/>
        <v/>
      </c>
      <c r="CX159" s="13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3"/>
      <c r="FS159" s="128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6"/>
      <c r="IB159" s="12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3"/>
      <c r="I160" s="128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3"/>
      <c r="BE160" s="128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6"/>
      <c r="CQ160" s="52" t="str">
        <f t="shared" si="383"/>
        <v/>
      </c>
      <c r="CX160" s="13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3"/>
      <c r="FS160" s="128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6"/>
      <c r="IB160" s="12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3"/>
      <c r="I161" s="128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3"/>
      <c r="BE161" s="128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6"/>
      <c r="CQ161" s="52" t="str">
        <f t="shared" si="383"/>
        <v/>
      </c>
      <c r="CX161" s="13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3"/>
      <c r="FS161" s="128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6"/>
      <c r="IB161" s="12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3"/>
      <c r="I162" s="128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3"/>
      <c r="BE162" s="128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6"/>
      <c r="CQ162" s="52" t="str">
        <f t="shared" ref="CQ162:CQ201" si="582">IF(AND(Sufficient_data="Yes",Include_study?="Yes"),c_/(c_+d_),"")</f>
        <v/>
      </c>
      <c r="CX162" s="13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3"/>
      <c r="FS162" s="128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6"/>
      <c r="IB162" s="12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3"/>
      <c r="I163" s="128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3"/>
      <c r="BE163" s="128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6"/>
      <c r="CQ163" s="52" t="str">
        <f t="shared" si="582"/>
        <v/>
      </c>
      <c r="CX163" s="13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3"/>
      <c r="FS163" s="128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6"/>
      <c r="IB163" s="12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3"/>
      <c r="I164" s="128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3"/>
      <c r="BE164" s="128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6"/>
      <c r="CQ164" s="52" t="str">
        <f t="shared" si="582"/>
        <v/>
      </c>
      <c r="CX164" s="13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3"/>
      <c r="FS164" s="128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6"/>
      <c r="IB164" s="12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3"/>
      <c r="I165" s="128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3"/>
      <c r="BE165" s="128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6"/>
      <c r="CQ165" s="52" t="str">
        <f t="shared" si="582"/>
        <v/>
      </c>
      <c r="CX165" s="13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3"/>
      <c r="FS165" s="128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6"/>
      <c r="IB165" s="12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3"/>
      <c r="I166" s="128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3"/>
      <c r="BE166" s="128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6"/>
      <c r="CQ166" s="52" t="str">
        <f t="shared" si="582"/>
        <v/>
      </c>
      <c r="CX166" s="13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3"/>
      <c r="FS166" s="128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6"/>
      <c r="IB166" s="12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3"/>
      <c r="I167" s="128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3"/>
      <c r="BE167" s="128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6"/>
      <c r="CQ167" s="52" t="str">
        <f t="shared" si="582"/>
        <v/>
      </c>
      <c r="CX167" s="13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3"/>
      <c r="FS167" s="128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6"/>
      <c r="IB167" s="12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3"/>
      <c r="I168" s="128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3"/>
      <c r="BE168" s="128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6"/>
      <c r="CQ168" s="52" t="str">
        <f t="shared" si="582"/>
        <v/>
      </c>
      <c r="CX168" s="13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3"/>
      <c r="FS168" s="128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6"/>
      <c r="IB168" s="12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3"/>
      <c r="I169" s="128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3"/>
      <c r="BE169" s="128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6"/>
      <c r="CQ169" s="52" t="str">
        <f t="shared" si="582"/>
        <v/>
      </c>
      <c r="CX169" s="13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3"/>
      <c r="FS169" s="128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6"/>
      <c r="IB169" s="12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3"/>
      <c r="I170" s="128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3"/>
      <c r="BE170" s="128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6"/>
      <c r="CQ170" s="52" t="str">
        <f t="shared" si="582"/>
        <v/>
      </c>
      <c r="CX170" s="13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3"/>
      <c r="FS170" s="128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6"/>
      <c r="IB170" s="12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3"/>
      <c r="I171" s="128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3"/>
      <c r="BE171" s="128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6"/>
      <c r="CQ171" s="52" t="str">
        <f t="shared" si="582"/>
        <v/>
      </c>
      <c r="CX171" s="13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3"/>
      <c r="FS171" s="128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6"/>
      <c r="IB171" s="12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3"/>
      <c r="I172" s="128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3"/>
      <c r="BE172" s="128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6"/>
      <c r="CQ172" s="52" t="str">
        <f t="shared" si="582"/>
        <v/>
      </c>
      <c r="CX172" s="13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3"/>
      <c r="FS172" s="128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6"/>
      <c r="IB172" s="12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3"/>
      <c r="I173" s="128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3"/>
      <c r="BE173" s="128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6"/>
      <c r="CQ173" s="52" t="str">
        <f t="shared" si="582"/>
        <v/>
      </c>
      <c r="CX173" s="13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3"/>
      <c r="FS173" s="128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6"/>
      <c r="IB173" s="12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3"/>
      <c r="I174" s="128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3"/>
      <c r="BE174" s="128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6"/>
      <c r="CQ174" s="52" t="str">
        <f t="shared" si="582"/>
        <v/>
      </c>
      <c r="CX174" s="13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3"/>
      <c r="FS174" s="128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6"/>
      <c r="IB174" s="12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3"/>
      <c r="I175" s="128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3"/>
      <c r="BE175" s="128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6"/>
      <c r="CQ175" s="52" t="str">
        <f t="shared" si="582"/>
        <v/>
      </c>
      <c r="CX175" s="13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3"/>
      <c r="FS175" s="128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6"/>
      <c r="IB175" s="12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3"/>
      <c r="I176" s="128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3"/>
      <c r="BE176" s="128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6"/>
      <c r="CQ176" s="52" t="str">
        <f t="shared" si="582"/>
        <v/>
      </c>
      <c r="CX176" s="13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3"/>
      <c r="FS176" s="128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6"/>
      <c r="IB176" s="12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3"/>
      <c r="I177" s="128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3"/>
      <c r="BE177" s="128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6"/>
      <c r="CQ177" s="52" t="str">
        <f t="shared" si="582"/>
        <v/>
      </c>
      <c r="CX177" s="13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3"/>
      <c r="FS177" s="128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6"/>
      <c r="IB177" s="12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3"/>
      <c r="I178" s="128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3"/>
      <c r="BE178" s="128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6"/>
      <c r="CQ178" s="52" t="str">
        <f t="shared" si="582"/>
        <v/>
      </c>
      <c r="CX178" s="13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3"/>
      <c r="FS178" s="128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6"/>
      <c r="IB178" s="12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3"/>
      <c r="I179" s="128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3"/>
      <c r="BE179" s="128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6"/>
      <c r="CQ179" s="52" t="str">
        <f t="shared" si="582"/>
        <v/>
      </c>
      <c r="CX179" s="13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3"/>
      <c r="FS179" s="128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6"/>
      <c r="IB179" s="12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3"/>
      <c r="I180" s="128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3"/>
      <c r="BE180" s="128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6"/>
      <c r="CQ180" s="52" t="str">
        <f t="shared" si="582"/>
        <v/>
      </c>
      <c r="CX180" s="13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3"/>
      <c r="FS180" s="128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6"/>
      <c r="IB180" s="12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3"/>
      <c r="I181" s="128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3"/>
      <c r="BE181" s="128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6"/>
      <c r="CQ181" s="52" t="str">
        <f t="shared" si="582"/>
        <v/>
      </c>
      <c r="CX181" s="13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3"/>
      <c r="FS181" s="128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6"/>
      <c r="IB181" s="12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3"/>
      <c r="I182" s="128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3"/>
      <c r="BE182" s="128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6"/>
      <c r="CQ182" s="52" t="str">
        <f t="shared" si="582"/>
        <v/>
      </c>
      <c r="CX182" s="13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3"/>
      <c r="FS182" s="128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6"/>
      <c r="IB182" s="12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3"/>
      <c r="I183" s="128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3"/>
      <c r="BE183" s="128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6"/>
      <c r="CQ183" s="52" t="str">
        <f t="shared" si="582"/>
        <v/>
      </c>
      <c r="CX183" s="13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3"/>
      <c r="FS183" s="128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6"/>
      <c r="IB183" s="12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3"/>
      <c r="I184" s="128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3"/>
      <c r="BE184" s="128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6"/>
      <c r="CQ184" s="52" t="str">
        <f t="shared" si="582"/>
        <v/>
      </c>
      <c r="CX184" s="13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3"/>
      <c r="FS184" s="128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6"/>
      <c r="IB184" s="12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3"/>
      <c r="I185" s="128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3"/>
      <c r="BE185" s="128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6"/>
      <c r="CQ185" s="52" t="str">
        <f t="shared" si="582"/>
        <v/>
      </c>
      <c r="CX185" s="13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3"/>
      <c r="FS185" s="128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6"/>
      <c r="IB185" s="12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3"/>
      <c r="I186" s="128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3"/>
      <c r="BE186" s="128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6"/>
      <c r="CQ186" s="52" t="str">
        <f t="shared" si="582"/>
        <v/>
      </c>
      <c r="CX186" s="13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3"/>
      <c r="FS186" s="128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6"/>
      <c r="IB186" s="12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3"/>
      <c r="I187" s="128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3"/>
      <c r="BE187" s="128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6"/>
      <c r="CQ187" s="52" t="str">
        <f t="shared" si="582"/>
        <v/>
      </c>
      <c r="CX187" s="13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3"/>
      <c r="FS187" s="128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6"/>
      <c r="IB187" s="12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3"/>
      <c r="I188" s="128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3"/>
      <c r="BE188" s="128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6"/>
      <c r="CQ188" s="52" t="str">
        <f t="shared" si="582"/>
        <v/>
      </c>
      <c r="CX188" s="13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3"/>
      <c r="FS188" s="128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6"/>
      <c r="IB188" s="12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3"/>
      <c r="I189" s="128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3"/>
      <c r="BE189" s="128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6"/>
      <c r="CQ189" s="52" t="str">
        <f t="shared" si="582"/>
        <v/>
      </c>
      <c r="CX189" s="13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3"/>
      <c r="FS189" s="128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6"/>
      <c r="IB189" s="12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3"/>
      <c r="I190" s="128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3"/>
      <c r="BE190" s="128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6"/>
      <c r="CQ190" s="52" t="str">
        <f t="shared" si="582"/>
        <v/>
      </c>
      <c r="CX190" s="13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3"/>
      <c r="FS190" s="128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6"/>
      <c r="IB190" s="12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3"/>
      <c r="I191" s="128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3"/>
      <c r="BE191" s="128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6"/>
      <c r="CQ191" s="52" t="str">
        <f t="shared" si="582"/>
        <v/>
      </c>
      <c r="CX191" s="13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3"/>
      <c r="FS191" s="128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6"/>
      <c r="IB191" s="12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3"/>
      <c r="I192" s="128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3"/>
      <c r="BE192" s="128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6"/>
      <c r="CQ192" s="52" t="str">
        <f t="shared" si="582"/>
        <v/>
      </c>
      <c r="CX192" s="13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3"/>
      <c r="FS192" s="128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6"/>
      <c r="IB192" s="12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3"/>
      <c r="I193" s="128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3"/>
      <c r="BE193" s="128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6"/>
      <c r="CQ193" s="52" t="str">
        <f t="shared" si="582"/>
        <v/>
      </c>
      <c r="CX193" s="13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3"/>
      <c r="FS193" s="128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6"/>
      <c r="IB193" s="12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3"/>
      <c r="I194" s="128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3"/>
      <c r="BE194" s="128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6"/>
      <c r="CQ194" s="52" t="str">
        <f t="shared" si="582"/>
        <v/>
      </c>
      <c r="CX194" s="13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3"/>
      <c r="FS194" s="128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6"/>
      <c r="IB194" s="12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3"/>
      <c r="I195" s="128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3"/>
      <c r="BE195" s="128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6"/>
      <c r="CQ195" s="52" t="str">
        <f t="shared" si="582"/>
        <v/>
      </c>
      <c r="CX195" s="13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3"/>
      <c r="FS195" s="128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6"/>
      <c r="IB195" s="12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3"/>
      <c r="I196" s="128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3"/>
      <c r="BE196" s="128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6"/>
      <c r="CQ196" s="52" t="str">
        <f t="shared" si="582"/>
        <v/>
      </c>
      <c r="CX196" s="13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3"/>
      <c r="FS196" s="128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6"/>
      <c r="IB196" s="12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3"/>
      <c r="I197" s="128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3"/>
      <c r="BE197" s="128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6"/>
      <c r="CQ197" s="52" t="str">
        <f t="shared" si="582"/>
        <v/>
      </c>
      <c r="CX197" s="13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3"/>
      <c r="FS197" s="128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6"/>
      <c r="IB197" s="12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3"/>
      <c r="I198" s="128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3"/>
      <c r="BE198" s="128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6"/>
      <c r="CQ198" s="52" t="str">
        <f t="shared" si="582"/>
        <v/>
      </c>
      <c r="CX198" s="13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3"/>
      <c r="FS198" s="128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6"/>
      <c r="IB198" s="12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3"/>
      <c r="I199" s="128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3"/>
      <c r="BE199" s="128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6"/>
      <c r="CQ199" s="52" t="str">
        <f t="shared" si="582"/>
        <v/>
      </c>
      <c r="CX199" s="13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3"/>
      <c r="FS199" s="128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6"/>
      <c r="IB199" s="12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3"/>
      <c r="I200" s="128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3"/>
      <c r="BE200" s="128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6"/>
      <c r="CQ200" s="52" t="str">
        <f t="shared" si="582"/>
        <v/>
      </c>
      <c r="CX200" s="13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3"/>
      <c r="FS200" s="128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6"/>
      <c r="IB200" s="12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4"/>
      <c r="I201" s="13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4"/>
      <c r="BE201" s="13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7"/>
      <c r="CQ201" s="53" t="str">
        <f t="shared" si="582"/>
        <v/>
      </c>
      <c r="CX201" s="13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4"/>
      <c r="FS201" s="13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7"/>
      <c r="IB201" s="12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K17"/>
  <sheetViews>
    <sheetView showGridLines="0" zoomScale="112" workbookViewId="0">
      <selection activeCell="I20" sqref="I20"/>
    </sheetView>
  </sheetViews>
  <sheetFormatPr defaultRowHeight="12"/>
  <cols>
    <col min="3" max="3" width="19.6640625" customWidth="1"/>
    <col min="4" max="7" width="9.5" customWidth="1"/>
    <col min="9" max="9" width="19.6640625" customWidth="1"/>
    <col min="10" max="11" width="9.5" customWidth="1"/>
  </cols>
  <sheetData>
    <row r="4" spans="3:11" ht="24">
      <c r="C4" s="98" t="s">
        <v>1</v>
      </c>
      <c r="D4" s="105" t="s">
        <v>339</v>
      </c>
      <c r="E4" s="105" t="s">
        <v>340</v>
      </c>
      <c r="F4" s="105" t="s">
        <v>341</v>
      </c>
      <c r="G4" s="106" t="s">
        <v>34</v>
      </c>
      <c r="I4" s="98" t="s">
        <v>1</v>
      </c>
      <c r="J4" s="105" t="s">
        <v>342</v>
      </c>
      <c r="K4" s="105" t="s">
        <v>343</v>
      </c>
    </row>
    <row r="5" spans="3:11">
      <c r="C5" s="104" t="s">
        <v>22</v>
      </c>
      <c r="D5" s="107">
        <v>0.91448434886983176</v>
      </c>
      <c r="E5" s="107">
        <v>0.65364230521356326</v>
      </c>
      <c r="F5" s="107">
        <v>1.2794178370303673</v>
      </c>
      <c r="G5" s="108">
        <v>0.32258517046400015</v>
      </c>
      <c r="I5" s="104" t="s">
        <v>22</v>
      </c>
      <c r="J5" s="109">
        <v>-8.9394925710100992E-2</v>
      </c>
      <c r="K5" s="109">
        <v>0.17131086018515415</v>
      </c>
    </row>
    <row r="6" spans="3:11">
      <c r="C6" s="104" t="s">
        <v>26</v>
      </c>
      <c r="D6" s="107">
        <v>0.93156775834039651</v>
      </c>
      <c r="E6" s="107">
        <v>0.6694943358611587</v>
      </c>
      <c r="F6" s="107">
        <v>1.2962297690884748</v>
      </c>
      <c r="G6" s="108">
        <v>0.33366145532447161</v>
      </c>
      <c r="I6" s="104" t="s">
        <v>26</v>
      </c>
      <c r="J6" s="109">
        <v>-7.0886350479830787E-2</v>
      </c>
      <c r="K6" s="109">
        <v>0.16844342955969202</v>
      </c>
    </row>
    <row r="7" spans="3:11">
      <c r="C7" s="104" t="s">
        <v>26</v>
      </c>
      <c r="D7" s="107">
        <v>0.94642954261162782</v>
      </c>
      <c r="E7" s="107">
        <v>0.68350610128492861</v>
      </c>
      <c r="F7" s="107">
        <v>1.310491416893232</v>
      </c>
      <c r="G7" s="108">
        <v>0.34375337421152818</v>
      </c>
      <c r="I7" s="104" t="s">
        <v>26</v>
      </c>
      <c r="J7" s="109">
        <v>-5.5058751027871673E-2</v>
      </c>
      <c r="K7" s="109">
        <v>0.16595242774821717</v>
      </c>
    </row>
    <row r="8" spans="3:11">
      <c r="C8" s="104"/>
      <c r="D8" s="107"/>
      <c r="E8" s="107"/>
      <c r="F8" s="107"/>
      <c r="G8" s="108"/>
      <c r="I8" s="104"/>
      <c r="J8" s="109"/>
      <c r="K8" s="109"/>
    </row>
    <row r="9" spans="3:11">
      <c r="C9" s="104"/>
      <c r="D9" s="107"/>
      <c r="E9" s="107"/>
      <c r="F9" s="107"/>
      <c r="G9" s="108"/>
      <c r="I9" s="104"/>
      <c r="J9" s="109"/>
      <c r="K9" s="109"/>
    </row>
    <row r="10" spans="3:11">
      <c r="C10" s="104"/>
      <c r="D10" s="107"/>
      <c r="E10" s="107"/>
      <c r="F10" s="107"/>
      <c r="G10" s="108"/>
      <c r="I10" s="104"/>
      <c r="J10" s="109"/>
      <c r="K10" s="109"/>
    </row>
    <row r="11" spans="3:11">
      <c r="C11" s="104"/>
      <c r="D11" s="107"/>
      <c r="E11" s="107"/>
      <c r="F11" s="107"/>
      <c r="G11" s="108"/>
      <c r="I11" s="104"/>
      <c r="J11" s="109"/>
      <c r="K11" s="109"/>
    </row>
    <row r="12" spans="3:11">
      <c r="C12" s="104"/>
      <c r="D12" s="107"/>
      <c r="E12" s="107"/>
      <c r="F12" s="107"/>
      <c r="G12" s="108"/>
      <c r="I12" s="104"/>
      <c r="J12" s="109"/>
      <c r="K12" s="109"/>
    </row>
    <row r="13" spans="3:11">
      <c r="C13" s="104"/>
      <c r="D13" s="107"/>
      <c r="E13" s="107"/>
      <c r="F13" s="107"/>
      <c r="G13" s="108"/>
      <c r="I13" s="104"/>
      <c r="J13" s="109"/>
      <c r="K13" s="109"/>
    </row>
    <row r="14" spans="3:11">
      <c r="C14" s="104"/>
      <c r="D14" s="107"/>
      <c r="E14" s="107"/>
      <c r="F14" s="107"/>
      <c r="G14" s="108"/>
      <c r="I14" s="104"/>
      <c r="J14" s="109"/>
      <c r="K14" s="109"/>
    </row>
    <row r="15" spans="3:11">
      <c r="C15" s="104"/>
      <c r="D15" s="107"/>
      <c r="E15" s="107"/>
      <c r="F15" s="107"/>
      <c r="G15" s="108"/>
      <c r="I15" s="104"/>
      <c r="J15" s="109"/>
      <c r="K15" s="109"/>
    </row>
    <row r="16" spans="3:11">
      <c r="C16" s="104"/>
      <c r="D16" s="109"/>
      <c r="E16" s="109"/>
      <c r="F16" s="109"/>
      <c r="G16" s="110"/>
      <c r="I16" s="104"/>
      <c r="J16" s="109"/>
      <c r="K16" s="109"/>
    </row>
    <row r="17" spans="3:11">
      <c r="C17" s="104"/>
      <c r="D17" s="109"/>
      <c r="E17" s="109"/>
      <c r="F17" s="109"/>
      <c r="G17" s="110"/>
      <c r="I17" s="104"/>
      <c r="J17" s="109"/>
      <c r="K17" s="10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344</v>
      </c>
      <c r="F4" s="5" t="s">
        <v>23</v>
      </c>
      <c r="G4" s="27">
        <v>45.62</v>
      </c>
      <c r="H4" s="27">
        <v>54</v>
      </c>
      <c r="J4" s="92">
        <f>AVERAGE(G4:H4)</f>
        <v>49.81</v>
      </c>
    </row>
    <row r="5" spans="5:10">
      <c r="E5" s="12" t="s">
        <v>344</v>
      </c>
      <c r="F5" s="5" t="s">
        <v>23</v>
      </c>
      <c r="G5" s="27">
        <v>44</v>
      </c>
      <c r="H5" s="27">
        <v>50.8</v>
      </c>
      <c r="J5" s="92">
        <f t="shared" ref="J5:J14" si="0">AVERAGE(G5:H5)</f>
        <v>47.4</v>
      </c>
    </row>
    <row r="6" spans="5:10">
      <c r="E6" s="12" t="s">
        <v>345</v>
      </c>
      <c r="F6" s="5" t="s">
        <v>23</v>
      </c>
      <c r="G6" s="27">
        <v>66</v>
      </c>
      <c r="H6" s="27">
        <v>49</v>
      </c>
      <c r="J6" s="92">
        <f t="shared" si="0"/>
        <v>57.5</v>
      </c>
    </row>
    <row r="7" spans="5:10">
      <c r="E7" s="12" t="s">
        <v>346</v>
      </c>
      <c r="F7" s="5" t="s">
        <v>23</v>
      </c>
      <c r="G7" s="27">
        <v>66.099999999999994</v>
      </c>
      <c r="H7" s="27">
        <v>72.2</v>
      </c>
      <c r="J7" s="92">
        <f t="shared" si="0"/>
        <v>69.150000000000006</v>
      </c>
    </row>
    <row r="8" spans="5:10">
      <c r="E8" s="12" t="s">
        <v>347</v>
      </c>
      <c r="F8" s="5" t="s">
        <v>23</v>
      </c>
      <c r="G8" s="27">
        <v>64.5</v>
      </c>
      <c r="H8" s="27">
        <v>62.2</v>
      </c>
      <c r="J8" s="92">
        <f t="shared" si="0"/>
        <v>63.35</v>
      </c>
    </row>
    <row r="9" spans="5:10">
      <c r="E9" s="12" t="s">
        <v>347</v>
      </c>
      <c r="F9" s="5" t="s">
        <v>23</v>
      </c>
      <c r="G9" s="27">
        <v>54.6</v>
      </c>
      <c r="H9" s="27">
        <v>55.4</v>
      </c>
      <c r="J9" s="92">
        <f t="shared" si="0"/>
        <v>55</v>
      </c>
    </row>
    <row r="10" spans="5:10">
      <c r="E10" s="12" t="s">
        <v>348</v>
      </c>
      <c r="F10" s="5" t="s">
        <v>23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>
      <c r="E11" s="12" t="s">
        <v>349</v>
      </c>
      <c r="F11" s="5" t="s">
        <v>23</v>
      </c>
      <c r="G11" s="27">
        <v>69</v>
      </c>
      <c r="H11" s="27">
        <v>52</v>
      </c>
      <c r="J11" s="92">
        <f t="shared" si="0"/>
        <v>60.5</v>
      </c>
    </row>
    <row r="12" spans="5:10">
      <c r="E12" s="12" t="s">
        <v>349</v>
      </c>
      <c r="F12" s="5" t="s">
        <v>23</v>
      </c>
      <c r="G12" s="27">
        <v>65</v>
      </c>
      <c r="H12" s="27">
        <v>53</v>
      </c>
      <c r="J12" s="92">
        <f t="shared" si="0"/>
        <v>59</v>
      </c>
    </row>
    <row r="13" spans="5:10">
      <c r="E13" s="12" t="s">
        <v>350</v>
      </c>
      <c r="F13" s="5" t="s">
        <v>23</v>
      </c>
      <c r="G13" s="27">
        <v>70</v>
      </c>
      <c r="H13" s="27">
        <v>60.8</v>
      </c>
      <c r="J13" s="92">
        <f t="shared" si="0"/>
        <v>65.400000000000006</v>
      </c>
    </row>
    <row r="14" spans="5:10">
      <c r="E14" s="93" t="s">
        <v>351</v>
      </c>
      <c r="F14" s="5" t="s">
        <v>23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2023-07-28T05:58:42Z</dcterms:modified>
  <cp:category/>
  <cp:contentStatus/>
</cp:coreProperties>
</file>