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dc\Unidad Personal\glorenzo\Documents\UiPath\BotFacturador2.0\"/>
    </mc:Choice>
  </mc:AlternateContent>
  <xr:revisionPtr revIDLastSave="0" documentId="13_ncr:1_{197A45FB-5F96-43F3-A517-201D93D997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  <sheet name="Contribuyentes" sheetId="5" r:id="rId2"/>
    <sheet name="Puntos de Venta " sheetId="3" r:id="rId3"/>
    <sheet name="Concepto y Condiciones" sheetId="4" r:id="rId4"/>
  </sheets>
  <externalReferences>
    <externalReference r:id="rId5"/>
  </externalReferences>
  <definedNames>
    <definedName name="_xlnm._FilterDatabase" localSheetId="0" hidden="1">Factura!$A$1:$Z$19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2" l="1"/>
  <c r="AC7" i="2" s="1"/>
  <c r="AC2" i="2"/>
  <c r="AC3" i="2" s="1"/>
  <c r="AC4" i="2" s="1"/>
  <c r="AC5" i="2" s="1"/>
  <c r="O7" i="2"/>
  <c r="O6" i="2"/>
  <c r="O5" i="2"/>
  <c r="O4" i="2"/>
  <c r="V4" i="2" s="1"/>
  <c r="O3" i="2"/>
  <c r="AB7" i="2"/>
  <c r="AA7" i="2"/>
  <c r="AB6" i="2"/>
  <c r="AA6" i="2"/>
  <c r="AB5" i="2"/>
  <c r="AA5" i="2"/>
  <c r="AB4" i="2"/>
  <c r="AA4" i="2"/>
  <c r="AB3" i="2"/>
  <c r="AA3" i="2"/>
  <c r="Z5" i="2"/>
  <c r="X5" i="2" s="1"/>
  <c r="Y5" i="2"/>
  <c r="V5" i="2"/>
  <c r="S5" i="2"/>
  <c r="R5" i="2"/>
  <c r="T5" i="2" s="1"/>
  <c r="U5" i="2" s="1"/>
  <c r="W5" i="2" s="1"/>
  <c r="Z4" i="2"/>
  <c r="X4" i="2" s="1"/>
  <c r="Y4" i="2"/>
  <c r="R4" i="2"/>
  <c r="T4" i="2" s="1"/>
  <c r="O2" i="2"/>
  <c r="AB2" i="2"/>
  <c r="AA2" i="2"/>
  <c r="S4" i="2" l="1"/>
  <c r="U4" i="2" s="1"/>
  <c r="W4" i="2" s="1"/>
  <c r="R7" i="2" l="1"/>
  <c r="R6" i="2"/>
  <c r="R3" i="2"/>
  <c r="R2" i="2"/>
  <c r="T3" i="2" l="1"/>
  <c r="T7" i="2"/>
  <c r="T2" i="2"/>
  <c r="T6" i="2"/>
  <c r="AE7" i="2" l="1"/>
  <c r="AF7" i="2" s="1"/>
  <c r="AG7" i="2" s="1"/>
  <c r="AE6" i="2"/>
  <c r="AF6" i="2" s="1"/>
  <c r="AG6" i="2" s="1"/>
  <c r="AE3" i="2"/>
  <c r="AF3" i="2" s="1"/>
  <c r="AG3" i="2" s="1"/>
  <c r="AE2" i="2"/>
  <c r="AF2" i="2" s="1"/>
  <c r="AG2" i="2" s="1"/>
  <c r="S7" i="2"/>
  <c r="U7" i="2" s="1"/>
  <c r="V7" i="2" s="1"/>
  <c r="S6" i="2"/>
  <c r="S2" i="2"/>
  <c r="Y7" i="2"/>
  <c r="Z7" i="2"/>
  <c r="X7" i="2" s="1"/>
  <c r="S3" i="2"/>
  <c r="U3" i="2" l="1"/>
  <c r="W3" i="2" s="1"/>
  <c r="U2" i="2"/>
  <c r="W2" i="2" s="1"/>
  <c r="U6" i="2"/>
  <c r="W6" i="2" s="1"/>
  <c r="W7" i="2"/>
  <c r="Z6" i="2"/>
  <c r="X6" i="2" s="1"/>
  <c r="Z3" i="2"/>
  <c r="X3" i="2" s="1"/>
  <c r="Z2" i="2"/>
  <c r="X2" i="2" s="1"/>
  <c r="Y6" i="2"/>
  <c r="Y3" i="2"/>
  <c r="Y2" i="2"/>
  <c r="V6" i="2" l="1"/>
  <c r="V2" i="2"/>
  <c r="V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Gianfranco Lorenzo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Inspeccionar desde el navegador los nombres de los puntos de venta
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Inspeccionar desde el navegador</t>
        </r>
      </text>
    </comment>
    <comment ref="J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sin guiones
</t>
        </r>
      </text>
    </comment>
  </commentList>
</comments>
</file>

<file path=xl/sharedStrings.xml><?xml version="1.0" encoding="utf-8"?>
<sst xmlns="http://schemas.openxmlformats.org/spreadsheetml/2006/main" count="140" uniqueCount="72">
  <si>
    <t>Fecha</t>
  </si>
  <si>
    <t>Desde</t>
  </si>
  <si>
    <t>Hasta</t>
  </si>
  <si>
    <t>Tipo de comprobante</t>
  </si>
  <si>
    <t>CUIT</t>
  </si>
  <si>
    <t>Neto Gravado</t>
  </si>
  <si>
    <t>Factura A</t>
  </si>
  <si>
    <t>Unidades</t>
  </si>
  <si>
    <t>Precio unidad</t>
  </si>
  <si>
    <t>IVA</t>
  </si>
  <si>
    <t>Total</t>
  </si>
  <si>
    <t>Vencimiento</t>
  </si>
  <si>
    <t>Base</t>
  </si>
  <si>
    <t>Redondeo</t>
  </si>
  <si>
    <t>Fila</t>
  </si>
  <si>
    <t>AUX</t>
  </si>
  <si>
    <t>Tipo CUIT</t>
  </si>
  <si>
    <t>Alicuota IVA</t>
  </si>
  <si>
    <t>21%</t>
  </si>
  <si>
    <t>Aux neto</t>
  </si>
  <si>
    <t>Aux unidades</t>
  </si>
  <si>
    <t>Aux Total redondeado</t>
  </si>
  <si>
    <t>Concepto</t>
  </si>
  <si>
    <t>Punto de venta</t>
  </si>
  <si>
    <t> Productos y Servicios</t>
  </si>
  <si>
    <t> Productos</t>
  </si>
  <si>
    <t> Servicios</t>
  </si>
  <si>
    <t> 00002-Marañon 3807 - Villa De Mayo, Buenos Aires</t>
  </si>
  <si>
    <t> 00001-Marañon 3807 - Villa De Mayo, Buenos Aires</t>
  </si>
  <si>
    <t>Condicion IVA</t>
  </si>
  <si>
    <t>Denominacion</t>
  </si>
  <si>
    <t> IVA Responsable Inscripto</t>
  </si>
  <si>
    <t> Responsable Monotributo</t>
  </si>
  <si>
    <t>Descripcion del servicio</t>
  </si>
  <si>
    <t>Pilar MEP</t>
  </si>
  <si>
    <t xml:space="preserve">Empresa </t>
  </si>
  <si>
    <t>Condicion Frente al IVA</t>
  </si>
  <si>
    <t>Facturado</t>
  </si>
  <si>
    <t> 00004-Av De L 7010 - Nordelta (Tigre), Buenos Aires</t>
  </si>
  <si>
    <t> 00008-Av Pte Illia 5003 - San Miguel, Buenos Aires</t>
  </si>
  <si>
    <t> 00005-Ruta T 217 - Junin, Buenos Aires</t>
  </si>
  <si>
    <t>CAPI</t>
  </si>
  <si>
    <t> 00001-Otto Krause 4760 - Tortuguitas, Buenos Aires</t>
  </si>
  <si>
    <t>Bai Export</t>
  </si>
  <si>
    <t>Alicuota Percep IIBB</t>
  </si>
  <si>
    <t>Percep IIBB</t>
  </si>
  <si>
    <t>B. Imp. Percep</t>
  </si>
  <si>
    <t>Wayne</t>
  </si>
  <si>
    <t> 00003-San Jose 988 - San Miguel, Buenos Aires</t>
  </si>
  <si>
    <t> Consumidor Final</t>
  </si>
  <si>
    <t> 00010-Colectora Panamericana Km 49,5 0 Piso:2 Dpto:208 - Pilar, Buenos Aires</t>
  </si>
  <si>
    <t> 00006-Colectora Panamericana Km 49,5 0 Piso:2 Dpto:208 - Pilar, Buenos Aires</t>
  </si>
  <si>
    <t> 00018-Colectora Panamericana Km 49,5 0 Piso:2 Dpto:208 - Pilar, Buenos Aires</t>
  </si>
  <si>
    <t>Bai Logistica</t>
  </si>
  <si>
    <t>Cuit</t>
  </si>
  <si>
    <t>Contribuyente</t>
  </si>
  <si>
    <t>Conurbano Distribucion SA</t>
  </si>
  <si>
    <t>Bai Logistica S.A</t>
  </si>
  <si>
    <t>Bai Export S.A</t>
  </si>
  <si>
    <t>Winerod SRL</t>
  </si>
  <si>
    <t>28/02/2023</t>
  </si>
  <si>
    <t>01/02/2023</t>
  </si>
  <si>
    <t>HONORARIOS MENSUALES 02.2023</t>
  </si>
  <si>
    <t>28/03/2023</t>
  </si>
  <si>
    <t>Anterior</t>
  </si>
  <si>
    <t>Posterior</t>
  </si>
  <si>
    <t>HONORARIOS MENSUALES 03.2023</t>
  </si>
  <si>
    <t>HONORARIOS MENSUALES 04.2023</t>
  </si>
  <si>
    <t>HONORARIOS MENSUALES 05.2023</t>
  </si>
  <si>
    <t>Nro Item</t>
  </si>
  <si>
    <t>Mercado Libre SRL</t>
  </si>
  <si>
    <t>Cencosud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</si>
</sst>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9"/>
      <color rgb="FF202124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6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13" fillId="33" borderId="0" xfId="0" applyFont="1" applyFill="1"/>
    <xf numFmtId="0" fontId="0" fillId="35" borderId="10" xfId="0" applyFill="1" applyBorder="1"/>
    <xf numFmtId="164" fontId="0" fillId="35" borderId="10" xfId="42" applyFont="1" applyFill="1" applyBorder="1"/>
    <xf numFmtId="164" fontId="0" fillId="35" borderId="10" xfId="0" applyNumberFormat="1" applyFill="1" applyBorder="1" applyAlignment="1">
      <alignment horizontal="right"/>
    </xf>
    <xf numFmtId="0" fontId="18" fillId="35" borderId="10" xfId="0" applyFont="1" applyFill="1" applyBorder="1"/>
    <xf numFmtId="49" fontId="0" fillId="0" borderId="10" xfId="42" applyNumberFormat="1" applyFont="1" applyBorder="1"/>
    <xf numFmtId="165" fontId="0" fillId="35" borderId="0" xfId="42" applyNumberFormat="1" applyFont="1" applyFill="1"/>
    <xf numFmtId="0" fontId="13" fillId="36" borderId="0" xfId="0" applyFont="1" applyFill="1"/>
    <xf numFmtId="164" fontId="0" fillId="35" borderId="0" xfId="42" applyNumberFormat="1" applyFont="1" applyFill="1"/>
    <xf numFmtId="0" fontId="19" fillId="0" borderId="0" xfId="0" applyFont="1"/>
    <xf numFmtId="0" fontId="0" fillId="37" borderId="10" xfId="0" applyFill="1" applyBorder="1"/>
    <xf numFmtId="0" fontId="0" fillId="37" borderId="0" xfId="0" applyFill="1"/>
    <xf numFmtId="0" fontId="13" fillId="38" borderId="0" xfId="0" applyFont="1" applyFill="1"/>
    <xf numFmtId="0" fontId="13" fillId="38" borderId="10" xfId="0" applyFont="1" applyFill="1" applyBorder="1" applyAlignment="1">
      <alignment horizontal="center"/>
    </xf>
    <xf numFmtId="14" fontId="0" fillId="34" borderId="10" xfId="0" quotePrefix="1" applyNumberFormat="1" applyFill="1" applyBorder="1"/>
    <xf numFmtId="0" fontId="13" fillId="38" borderId="0" xfId="0" applyFont="1" applyFill="1" applyBorder="1" applyAlignment="1">
      <alignment horizontal="center"/>
    </xf>
    <xf numFmtId="0" fontId="0" fillId="37" borderId="0" xfId="0" applyFill="1" applyBorder="1"/>
    <xf numFmtId="2" fontId="0" fillId="0" borderId="10" xfId="42" applyNumberFormat="1" applyFont="1" applyBorder="1"/>
    <xf numFmtId="0" fontId="23" fillId="0" borderId="0" xfId="0" applyFont="1"/>
    <xf numFmtId="14" fontId="0" fillId="0" borderId="10" xfId="0" quotePrefix="1" applyNumberFormat="1" applyFill="1" applyBorder="1"/>
    <xf numFmtId="0" fontId="22" fillId="0" borderId="10" xfId="0" applyFont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10" xfId="0" applyFont="1" applyBorder="1"/>
    <xf numFmtId="164" fontId="22" fillId="0" borderId="10" xfId="42" applyFont="1" applyFill="1" applyBorder="1"/>
    <xf numFmtId="0" fontId="0" fillId="35" borderId="0" xfId="0" applyFill="1" applyBorder="1"/>
    <xf numFmtId="164" fontId="0" fillId="0" borderId="10" xfId="42" applyFon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6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Factu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2">
          <cell r="D2"/>
        </row>
        <row r="3">
          <cell r="D3"/>
        </row>
        <row r="4">
          <cell r="D4"/>
        </row>
        <row r="5">
          <cell r="D5"/>
        </row>
        <row r="6">
          <cell r="D6"/>
        </row>
        <row r="7">
          <cell r="D7"/>
        </row>
        <row r="8">
          <cell r="D8"/>
        </row>
        <row r="9">
          <cell r="D9"/>
        </row>
        <row r="10">
          <cell r="D10"/>
        </row>
        <row r="11">
          <cell r="D11"/>
        </row>
        <row r="12">
          <cell r="D12"/>
        </row>
        <row r="13">
          <cell r="D13"/>
        </row>
        <row r="14">
          <cell r="D14"/>
        </row>
        <row r="15">
          <cell r="D15"/>
        </row>
        <row r="16">
          <cell r="D16"/>
        </row>
        <row r="17">
          <cell r="D17"/>
        </row>
        <row r="18">
          <cell r="D18"/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showGridLines="0" tabSelected="1" zoomScaleNormal="100" workbookViewId="0">
      <pane ySplit="1" topLeftCell="A2" activePane="bottomLeft" state="frozen"/>
      <selection pane="bottomLeft" activeCell="A6" sqref="A6"/>
    </sheetView>
  </sheetViews>
  <sheetFormatPr baseColWidth="10" defaultRowHeight="15" x14ac:dyDescent="0.25"/>
  <cols>
    <col min="2" max="3" width="10.7109375" bestFit="1" customWidth="1"/>
    <col min="4" max="4" width="14.7109375" bestFit="1" customWidth="1"/>
    <col min="5" max="5" width="54.140625" bestFit="1" customWidth="1"/>
    <col min="6" max="6" width="14.85546875" customWidth="1"/>
    <col min="7" max="7" width="24.7109375" customWidth="1"/>
    <col min="8" max="8" width="27.42578125" bestFit="1" customWidth="1"/>
    <col min="9" max="9" width="11.7109375" bestFit="1" customWidth="1"/>
    <col min="10" max="10" width="20.140625" customWidth="1"/>
    <col min="11" max="11" width="35.140625" customWidth="1"/>
    <col min="12" max="12" width="50.140625" bestFit="1" customWidth="1"/>
    <col min="15" max="15" width="15.5703125" bestFit="1" customWidth="1"/>
    <col min="16" max="16" width="14.140625" bestFit="1" customWidth="1"/>
    <col min="17" max="17" width="14.140625" customWidth="1"/>
    <col min="18" max="18" width="16" bestFit="1" customWidth="1"/>
    <col min="21" max="21" width="12.5703125" bestFit="1" customWidth="1"/>
    <col min="23" max="23" width="11.85546875" bestFit="1" customWidth="1"/>
    <col min="26" max="26" width="14.7109375" bestFit="1" customWidth="1"/>
    <col min="27" max="29" width="14.7109375" customWidth="1"/>
    <col min="31" max="31" width="14" bestFit="1" customWidth="1"/>
    <col min="32" max="32" width="9" bestFit="1" customWidth="1"/>
    <col min="33" max="33" width="13" bestFit="1" customWidth="1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11</v>
      </c>
      <c r="E1" s="3" t="s">
        <v>23</v>
      </c>
      <c r="F1" s="3" t="s">
        <v>3</v>
      </c>
      <c r="G1" s="3" t="s">
        <v>22</v>
      </c>
      <c r="H1" s="3" t="s">
        <v>29</v>
      </c>
      <c r="I1" s="3" t="s">
        <v>16</v>
      </c>
      <c r="J1" s="3" t="s">
        <v>4</v>
      </c>
      <c r="K1" s="3" t="s">
        <v>30</v>
      </c>
      <c r="L1" s="3" t="s">
        <v>33</v>
      </c>
      <c r="M1" s="3" t="s">
        <v>7</v>
      </c>
      <c r="N1" s="3" t="s">
        <v>8</v>
      </c>
      <c r="O1" s="3" t="s">
        <v>5</v>
      </c>
      <c r="P1" s="3" t="s">
        <v>17</v>
      </c>
      <c r="Q1" s="3" t="s">
        <v>44</v>
      </c>
      <c r="R1" s="3" t="s">
        <v>46</v>
      </c>
      <c r="S1" s="3" t="s">
        <v>9</v>
      </c>
      <c r="T1" s="3" t="s">
        <v>45</v>
      </c>
      <c r="U1" s="3" t="s">
        <v>10</v>
      </c>
      <c r="V1" s="3" t="s">
        <v>12</v>
      </c>
      <c r="W1" s="3" t="s">
        <v>13</v>
      </c>
      <c r="X1" s="3" t="s">
        <v>37</v>
      </c>
      <c r="Y1" s="3" t="s">
        <v>14</v>
      </c>
      <c r="Z1" s="3" t="s">
        <v>15</v>
      </c>
      <c r="AA1" s="3" t="s">
        <v>64</v>
      </c>
      <c r="AB1" s="3" t="s">
        <v>65</v>
      </c>
      <c r="AC1" s="3" t="s">
        <v>69</v>
      </c>
      <c r="AE1" s="10" t="s">
        <v>21</v>
      </c>
      <c r="AF1" s="10" t="s">
        <v>19</v>
      </c>
      <c r="AG1" s="10" t="s">
        <v>20</v>
      </c>
    </row>
    <row r="2" spans="1:33" x14ac:dyDescent="0.25">
      <c r="A2" s="22" t="s">
        <v>60</v>
      </c>
      <c r="B2" s="17" t="s">
        <v>61</v>
      </c>
      <c r="C2" s="17" t="s">
        <v>60</v>
      </c>
      <c r="D2" s="17" t="s">
        <v>63</v>
      </c>
      <c r="E2" s="12" t="s">
        <v>28</v>
      </c>
      <c r="F2" s="1" t="s">
        <v>6</v>
      </c>
      <c r="G2" s="1" t="s">
        <v>26</v>
      </c>
      <c r="H2" s="13" t="s">
        <v>31</v>
      </c>
      <c r="I2" s="1" t="s">
        <v>4</v>
      </c>
      <c r="J2" s="24">
        <v>30703088534</v>
      </c>
      <c r="K2" s="23" t="s">
        <v>70</v>
      </c>
      <c r="L2" s="25" t="s">
        <v>62</v>
      </c>
      <c r="M2" s="2">
        <v>1</v>
      </c>
      <c r="N2" s="28">
        <v>10000</v>
      </c>
      <c r="O2" s="26">
        <f>M2*N2</f>
        <v>10000</v>
      </c>
      <c r="P2" s="8" t="s">
        <v>18</v>
      </c>
      <c r="Q2" s="20">
        <v>0</v>
      </c>
      <c r="R2" s="5">
        <f t="shared" ref="R2:R7" si="0">IF(Q2&gt;0,O2,0)</f>
        <v>0</v>
      </c>
      <c r="S2" s="5">
        <f t="shared" ref="S2:S7" si="1">ROUND(O2*P2,2)</f>
        <v>2100</v>
      </c>
      <c r="T2" s="5">
        <f t="shared" ref="T2:T7" si="2">ROUND(R2*Q2/100,2)</f>
        <v>0</v>
      </c>
      <c r="U2" s="5">
        <f t="shared" ref="U2:U7" si="3">O2+S2+T2</f>
        <v>12100</v>
      </c>
      <c r="V2" s="6" t="str">
        <f t="shared" ref="V2:V7" si="4">IF(F2="Factura A",SUBSTITUTE(TEXT(O2,"#,00"),",","."),SUBSTITUTE(TEXT(U2,"#,00"),",","."))</f>
        <v>10000.00</v>
      </c>
      <c r="W2" s="6" t="str">
        <f t="shared" ref="W2:W6" si="5">SUBSTITUTE(TEXT(ROUNDUP(U2,0)-U2,"0,00"),",",".")</f>
        <v>0.00</v>
      </c>
      <c r="X2" s="7" t="str">
        <f>IFERROR(IF(MATCH(Z2,[1]Control!$D$2:$D$18,0)&gt;0,"ü",""),"")</f>
        <v/>
      </c>
      <c r="Y2" s="4">
        <f t="shared" ref="Y2:Y7" si="6">ROW(K2)</f>
        <v>2</v>
      </c>
      <c r="Z2" s="4" t="str">
        <f>J2&amp;"-"&amp;COUNTIF($J$1:J2,J2)</f>
        <v>30703088534-1</v>
      </c>
      <c r="AA2" s="27">
        <f>IF(J2=J1,0,1)</f>
        <v>1</v>
      </c>
      <c r="AB2" s="27">
        <f>IF(J2=J3,0,1)</f>
        <v>0</v>
      </c>
      <c r="AC2" s="27">
        <f>IF(K2=K1,0,2)</f>
        <v>2</v>
      </c>
      <c r="AE2" s="11">
        <f t="shared" ref="AE2:AE7" si="7">CEILING(N2*M2*(1+P2),500)</f>
        <v>12500</v>
      </c>
      <c r="AF2" s="11">
        <f t="shared" ref="AF2:AF7" si="8">ROUND((AE2/(1+P2)),2)</f>
        <v>10330.58</v>
      </c>
      <c r="AG2" s="9">
        <f t="shared" ref="AG2:AG7" si="9">ROUND(AF2/N2,4)</f>
        <v>1.0330999999999999</v>
      </c>
    </row>
    <row r="3" spans="1:33" x14ac:dyDescent="0.25">
      <c r="A3" s="22" t="s">
        <v>60</v>
      </c>
      <c r="B3" s="17" t="s">
        <v>61</v>
      </c>
      <c r="C3" s="17" t="s">
        <v>60</v>
      </c>
      <c r="D3" s="17" t="s">
        <v>63</v>
      </c>
      <c r="E3" s="12" t="s">
        <v>28</v>
      </c>
      <c r="F3" s="1" t="s">
        <v>6</v>
      </c>
      <c r="G3" s="1" t="s">
        <v>26</v>
      </c>
      <c r="H3" s="13" t="s">
        <v>31</v>
      </c>
      <c r="I3" s="1" t="s">
        <v>4</v>
      </c>
      <c r="J3" s="24">
        <v>30703088534</v>
      </c>
      <c r="K3" s="23" t="s">
        <v>70</v>
      </c>
      <c r="L3" s="25" t="s">
        <v>66</v>
      </c>
      <c r="M3" s="2">
        <v>1</v>
      </c>
      <c r="N3" s="28">
        <v>20000</v>
      </c>
      <c r="O3" s="26">
        <f t="shared" ref="O3:O7" si="10">M3*N3</f>
        <v>20000</v>
      </c>
      <c r="P3" s="8" t="s">
        <v>18</v>
      </c>
      <c r="Q3" s="20">
        <v>0</v>
      </c>
      <c r="R3" s="5">
        <f t="shared" si="0"/>
        <v>0</v>
      </c>
      <c r="S3" s="5">
        <f t="shared" si="1"/>
        <v>4200</v>
      </c>
      <c r="T3" s="5">
        <f t="shared" si="2"/>
        <v>0</v>
      </c>
      <c r="U3" s="5">
        <f t="shared" si="3"/>
        <v>24200</v>
      </c>
      <c r="V3" s="6" t="str">
        <f t="shared" si="4"/>
        <v>20000.00</v>
      </c>
      <c r="W3" s="6" t="str">
        <f t="shared" si="5"/>
        <v>0.00</v>
      </c>
      <c r="X3" s="7" t="str">
        <f>IFERROR(IF(MATCH(Z3,[1]Control!$D$2:$D$18,0)&gt;0,"ü",""),"")</f>
        <v/>
      </c>
      <c r="Y3" s="4">
        <f t="shared" si="6"/>
        <v>3</v>
      </c>
      <c r="Z3" s="4" t="str">
        <f>J3&amp;"-"&amp;COUNTIF($J$1:J3,J3)</f>
        <v>30703088534-2</v>
      </c>
      <c r="AA3" s="27">
        <f t="shared" ref="AA3:AA7" si="11">IF(J3=J2,0,1)</f>
        <v>0</v>
      </c>
      <c r="AB3" s="27">
        <f t="shared" ref="AB3:AB6" si="12">IF(J3=J4,0,1)</f>
        <v>0</v>
      </c>
      <c r="AC3" s="27">
        <f>IF(K3=K2,AC2+1,2)</f>
        <v>3</v>
      </c>
      <c r="AE3" s="11">
        <f t="shared" si="7"/>
        <v>24500</v>
      </c>
      <c r="AF3" s="11">
        <f t="shared" si="8"/>
        <v>20247.93</v>
      </c>
      <c r="AG3" s="9">
        <f t="shared" si="9"/>
        <v>1.0124</v>
      </c>
    </row>
    <row r="4" spans="1:33" x14ac:dyDescent="0.25">
      <c r="A4" s="22" t="s">
        <v>60</v>
      </c>
      <c r="B4" s="17" t="s">
        <v>61</v>
      </c>
      <c r="C4" s="17" t="s">
        <v>60</v>
      </c>
      <c r="D4" s="17" t="s">
        <v>63</v>
      </c>
      <c r="E4" s="12" t="s">
        <v>28</v>
      </c>
      <c r="F4" s="1" t="s">
        <v>6</v>
      </c>
      <c r="G4" s="1" t="s">
        <v>26</v>
      </c>
      <c r="H4" s="13" t="s">
        <v>31</v>
      </c>
      <c r="I4" s="1" t="s">
        <v>4</v>
      </c>
      <c r="J4" s="24">
        <v>30703088534</v>
      </c>
      <c r="K4" s="23" t="s">
        <v>70</v>
      </c>
      <c r="L4" s="25" t="s">
        <v>67</v>
      </c>
      <c r="M4" s="2">
        <v>1</v>
      </c>
      <c r="N4" s="28">
        <v>15000</v>
      </c>
      <c r="O4" s="26">
        <f t="shared" si="10"/>
        <v>15000</v>
      </c>
      <c r="P4" s="8" t="s">
        <v>18</v>
      </c>
      <c r="Q4" s="20">
        <v>0</v>
      </c>
      <c r="R4" s="5">
        <f t="shared" ref="R4:R5" si="13">IF(Q4&gt;0,O4,0)</f>
        <v>0</v>
      </c>
      <c r="S4" s="5">
        <f t="shared" ref="S4:S5" si="14">ROUND(O4*P4,2)</f>
        <v>3150</v>
      </c>
      <c r="T4" s="5">
        <f t="shared" ref="T4:T5" si="15">ROUND(R4*Q4/100,2)</f>
        <v>0</v>
      </c>
      <c r="U4" s="5">
        <f t="shared" ref="U4:U5" si="16">O4+S4+T4</f>
        <v>18150</v>
      </c>
      <c r="V4" s="6" t="str">
        <f t="shared" ref="V4:V5" si="17">IF(F4="Factura A",SUBSTITUTE(TEXT(O4,"#,00"),",","."),SUBSTITUTE(TEXT(U4,"#,00"),",","."))</f>
        <v>15000.00</v>
      </c>
      <c r="W4" s="6" t="str">
        <f t="shared" ref="W4:W5" si="18">SUBSTITUTE(TEXT(ROUNDUP(U4,0)-U4,"0,00"),",",".")</f>
        <v>0.00</v>
      </c>
      <c r="X4" s="7" t="str">
        <f>IFERROR(IF(MATCH(Z4,[1]Control!$D$2:$D$18,0)&gt;0,"ü",""),"")</f>
        <v/>
      </c>
      <c r="Y4" s="4">
        <f t="shared" ref="Y4:Y5" si="19">ROW(K4)</f>
        <v>4</v>
      </c>
      <c r="Z4" s="4" t="str">
        <f>J4&amp;"-"&amp;COUNTIF($J$1:J4,J4)</f>
        <v>30703088534-3</v>
      </c>
      <c r="AA4" s="27">
        <f t="shared" si="11"/>
        <v>0</v>
      </c>
      <c r="AB4" s="27">
        <f t="shared" si="12"/>
        <v>0</v>
      </c>
      <c r="AC4" s="27">
        <f>IF(K4=K3,AC3+1,2)</f>
        <v>4</v>
      </c>
      <c r="AE4" s="11"/>
      <c r="AF4" s="11"/>
      <c r="AG4" s="9"/>
    </row>
    <row r="5" spans="1:33" x14ac:dyDescent="0.25">
      <c r="A5" s="22" t="s">
        <v>60</v>
      </c>
      <c r="B5" s="17" t="s">
        <v>61</v>
      </c>
      <c r="C5" s="17" t="s">
        <v>60</v>
      </c>
      <c r="D5" s="17" t="s">
        <v>63</v>
      </c>
      <c r="E5" s="12" t="s">
        <v>28</v>
      </c>
      <c r="F5" s="1" t="s">
        <v>6</v>
      </c>
      <c r="G5" s="1" t="s">
        <v>26</v>
      </c>
      <c r="H5" s="13" t="s">
        <v>31</v>
      </c>
      <c r="I5" s="1" t="s">
        <v>4</v>
      </c>
      <c r="J5" s="24">
        <v>30703088534</v>
      </c>
      <c r="K5" s="23" t="s">
        <v>70</v>
      </c>
      <c r="L5" s="25" t="s">
        <v>68</v>
      </c>
      <c r="M5" s="2">
        <v>1</v>
      </c>
      <c r="N5" s="28">
        <v>10600</v>
      </c>
      <c r="O5" s="26">
        <f t="shared" si="10"/>
        <v>10600</v>
      </c>
      <c r="P5" s="8" t="s">
        <v>18</v>
      </c>
      <c r="Q5" s="20">
        <v>0</v>
      </c>
      <c r="R5" s="5">
        <f t="shared" si="13"/>
        <v>0</v>
      </c>
      <c r="S5" s="5">
        <f t="shared" si="14"/>
        <v>2226</v>
      </c>
      <c r="T5" s="5">
        <f t="shared" si="15"/>
        <v>0</v>
      </c>
      <c r="U5" s="5">
        <f t="shared" si="16"/>
        <v>12826</v>
      </c>
      <c r="V5" s="6" t="str">
        <f t="shared" si="17"/>
        <v>10600.00</v>
      </c>
      <c r="W5" s="6" t="str">
        <f t="shared" si="18"/>
        <v>0.00</v>
      </c>
      <c r="X5" s="7" t="str">
        <f>IFERROR(IF(MATCH(Z5,[1]Control!$D$2:$D$18,0)&gt;0,"ü",""),"")</f>
        <v/>
      </c>
      <c r="Y5" s="4">
        <f t="shared" si="19"/>
        <v>5</v>
      </c>
      <c r="Z5" s="4" t="str">
        <f>J5&amp;"-"&amp;COUNTIF($J$1:J5,J5)</f>
        <v>30703088534-4</v>
      </c>
      <c r="AA5" s="27">
        <f t="shared" si="11"/>
        <v>0</v>
      </c>
      <c r="AB5" s="27">
        <f t="shared" si="12"/>
        <v>1</v>
      </c>
      <c r="AC5" s="27">
        <f>IF(K5=K4,AC4+1,2)</f>
        <v>5</v>
      </c>
      <c r="AE5" s="11"/>
      <c r="AF5" s="11"/>
      <c r="AG5" s="9"/>
    </row>
    <row r="6" spans="1:33" x14ac:dyDescent="0.25">
      <c r="A6" s="22" t="s">
        <v>60</v>
      </c>
      <c r="B6" s="17" t="s">
        <v>61</v>
      </c>
      <c r="C6" s="17" t="s">
        <v>60</v>
      </c>
      <c r="D6" s="17" t="s">
        <v>63</v>
      </c>
      <c r="E6" s="12" t="s">
        <v>28</v>
      </c>
      <c r="F6" s="1" t="s">
        <v>6</v>
      </c>
      <c r="G6" s="1" t="s">
        <v>26</v>
      </c>
      <c r="H6" s="13" t="s">
        <v>31</v>
      </c>
      <c r="I6" s="1" t="s">
        <v>4</v>
      </c>
      <c r="J6" s="24">
        <v>30590360763</v>
      </c>
      <c r="K6" s="23" t="s">
        <v>71</v>
      </c>
      <c r="L6" s="25" t="s">
        <v>62</v>
      </c>
      <c r="M6" s="2">
        <v>1</v>
      </c>
      <c r="N6" s="28">
        <v>42000</v>
      </c>
      <c r="O6" s="26">
        <f t="shared" si="10"/>
        <v>42000</v>
      </c>
      <c r="P6" s="8" t="s">
        <v>18</v>
      </c>
      <c r="Q6" s="20">
        <v>0</v>
      </c>
      <c r="R6" s="5">
        <f t="shared" si="0"/>
        <v>0</v>
      </c>
      <c r="S6" s="5">
        <f t="shared" si="1"/>
        <v>8820</v>
      </c>
      <c r="T6" s="5">
        <f t="shared" si="2"/>
        <v>0</v>
      </c>
      <c r="U6" s="5">
        <f t="shared" si="3"/>
        <v>50820</v>
      </c>
      <c r="V6" s="6" t="str">
        <f t="shared" si="4"/>
        <v>42000.00</v>
      </c>
      <c r="W6" s="6" t="str">
        <f t="shared" si="5"/>
        <v>0.00</v>
      </c>
      <c r="X6" s="7" t="str">
        <f>IFERROR(IF(MATCH(Z6,[1]Control!$D$2:$D$18,0)&gt;0,"ü",""),"")</f>
        <v/>
      </c>
      <c r="Y6" s="4">
        <f t="shared" si="6"/>
        <v>6</v>
      </c>
      <c r="Z6" s="4" t="str">
        <f>J6&amp;"-"&amp;COUNTIF($J$1:J6,J6)</f>
        <v>30590360763-1</v>
      </c>
      <c r="AA6" s="27">
        <f t="shared" si="11"/>
        <v>1</v>
      </c>
      <c r="AB6" s="27">
        <f t="shared" si="12"/>
        <v>0</v>
      </c>
      <c r="AC6" s="27">
        <f>IF(K6=K5,AC5+1,2)</f>
        <v>2</v>
      </c>
      <c r="AE6" s="11">
        <f t="shared" si="7"/>
        <v>51000</v>
      </c>
      <c r="AF6" s="11">
        <f t="shared" si="8"/>
        <v>42148.76</v>
      </c>
      <c r="AG6" s="9">
        <f t="shared" si="9"/>
        <v>1.0035000000000001</v>
      </c>
    </row>
    <row r="7" spans="1:33" x14ac:dyDescent="0.25">
      <c r="A7" s="22" t="s">
        <v>60</v>
      </c>
      <c r="B7" s="17" t="s">
        <v>61</v>
      </c>
      <c r="C7" s="17" t="s">
        <v>60</v>
      </c>
      <c r="D7" s="17" t="s">
        <v>63</v>
      </c>
      <c r="E7" s="12" t="s">
        <v>28</v>
      </c>
      <c r="F7" s="1" t="s">
        <v>6</v>
      </c>
      <c r="G7" s="1" t="s">
        <v>26</v>
      </c>
      <c r="H7" s="13" t="s">
        <v>31</v>
      </c>
      <c r="I7" s="1" t="s">
        <v>4</v>
      </c>
      <c r="J7" s="24">
        <v>30590360763</v>
      </c>
      <c r="K7" s="23" t="s">
        <v>71</v>
      </c>
      <c r="L7" s="25" t="s">
        <v>62</v>
      </c>
      <c r="M7" s="2">
        <v>3</v>
      </c>
      <c r="N7" s="28">
        <v>5000</v>
      </c>
      <c r="O7" s="26">
        <f t="shared" si="10"/>
        <v>15000</v>
      </c>
      <c r="P7" s="8" t="s">
        <v>18</v>
      </c>
      <c r="Q7" s="20">
        <v>0</v>
      </c>
      <c r="R7" s="5">
        <f t="shared" si="0"/>
        <v>0</v>
      </c>
      <c r="S7" s="5">
        <f t="shared" si="1"/>
        <v>3150</v>
      </c>
      <c r="T7" s="5">
        <f t="shared" si="2"/>
        <v>0</v>
      </c>
      <c r="U7" s="5">
        <f t="shared" si="3"/>
        <v>18150</v>
      </c>
      <c r="V7" s="6" t="str">
        <f t="shared" si="4"/>
        <v>15000.00</v>
      </c>
      <c r="W7" s="6" t="str">
        <f t="shared" ref="W7" si="20">SUBSTITUTE(TEXT(ROUNDUP(U7,0)-U7,"0,00"),",",".")</f>
        <v>0.00</v>
      </c>
      <c r="X7" s="7" t="str">
        <f>IFERROR(IF(MATCH(Z7,[1]Control!$D$2:$D$18,0)&gt;0,"ü",""),"")</f>
        <v/>
      </c>
      <c r="Y7" s="4">
        <f t="shared" si="6"/>
        <v>7</v>
      </c>
      <c r="Z7" s="4" t="str">
        <f>J7&amp;"-"&amp;COUNTIF($J$1:J7,J7)</f>
        <v>30590360763-2</v>
      </c>
      <c r="AA7" s="27">
        <f t="shared" si="11"/>
        <v>0</v>
      </c>
      <c r="AB7" s="27" t="e">
        <f>IF(J7=#REF!,0,1)</f>
        <v>#REF!</v>
      </c>
      <c r="AC7" s="27">
        <f t="shared" ref="AC7" si="21">IF(K7=K6,AC6+1,2)</f>
        <v>3</v>
      </c>
      <c r="AE7" s="11">
        <f t="shared" si="7"/>
        <v>18500</v>
      </c>
      <c r="AF7" s="11">
        <f t="shared" si="8"/>
        <v>15289.26</v>
      </c>
      <c r="AG7" s="9">
        <f t="shared" si="9"/>
        <v>3.0579000000000001</v>
      </c>
    </row>
  </sheetData>
  <autoFilter ref="A1:Z19" xr:uid="{00000000-0009-0000-0000-000000000000}"/>
  <sortState xmlns:xlrd2="http://schemas.microsoft.com/office/spreadsheetml/2017/richdata2" ref="A2:V6">
    <sortCondition ref="F2:F6"/>
    <sortCondition ref="H2:H6"/>
    <sortCondition ref="J2:J6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D16" sqref="D16"/>
    </sheetView>
  </sheetViews>
  <sheetFormatPr baseColWidth="10" defaultRowHeight="15" x14ac:dyDescent="0.25"/>
  <cols>
    <col min="1" max="1" width="12" bestFit="1" customWidth="1"/>
    <col min="2" max="2" width="22" bestFit="1" customWidth="1"/>
  </cols>
  <sheetData>
    <row r="1" spans="1:2" x14ac:dyDescent="0.25">
      <c r="A1" s="15" t="s">
        <v>54</v>
      </c>
      <c r="B1" s="15" t="s">
        <v>55</v>
      </c>
    </row>
    <row r="2" spans="1:2" x14ac:dyDescent="0.25">
      <c r="A2" s="21">
        <v>30710422946</v>
      </c>
      <c r="B2" s="21" t="s">
        <v>56</v>
      </c>
    </row>
    <row r="3" spans="1:2" x14ac:dyDescent="0.25">
      <c r="A3" s="21">
        <v>33710422899</v>
      </c>
      <c r="B3" s="21" t="s">
        <v>57</v>
      </c>
    </row>
    <row r="4" spans="1:2" x14ac:dyDescent="0.25">
      <c r="A4" s="21">
        <v>30715310682</v>
      </c>
      <c r="B4" s="21" t="s">
        <v>58</v>
      </c>
    </row>
    <row r="5" spans="1:2" x14ac:dyDescent="0.25">
      <c r="A5" s="21">
        <v>30715770810</v>
      </c>
      <c r="B5" s="21" t="s">
        <v>59</v>
      </c>
    </row>
    <row r="6" spans="1:2" x14ac:dyDescent="0.25">
      <c r="A6" s="21"/>
      <c r="B6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3" sqref="B3"/>
    </sheetView>
  </sheetViews>
  <sheetFormatPr baseColWidth="10" defaultRowHeight="15" x14ac:dyDescent="0.25"/>
  <cols>
    <col min="2" max="2" width="79.85546875" bestFit="1" customWidth="1"/>
  </cols>
  <sheetData>
    <row r="1" spans="1:2" x14ac:dyDescent="0.25">
      <c r="A1" s="15" t="s">
        <v>35</v>
      </c>
      <c r="B1" s="15" t="s">
        <v>23</v>
      </c>
    </row>
    <row r="2" spans="1:2" x14ac:dyDescent="0.25">
      <c r="A2" t="s">
        <v>34</v>
      </c>
      <c r="B2" s="12" t="s">
        <v>27</v>
      </c>
    </row>
    <row r="3" spans="1:2" x14ac:dyDescent="0.25">
      <c r="A3" t="s">
        <v>34</v>
      </c>
      <c r="B3" s="12" t="s">
        <v>28</v>
      </c>
    </row>
    <row r="4" spans="1:2" x14ac:dyDescent="0.25">
      <c r="A4" t="s">
        <v>41</v>
      </c>
      <c r="B4" s="12" t="s">
        <v>38</v>
      </c>
    </row>
    <row r="5" spans="1:2" x14ac:dyDescent="0.25">
      <c r="A5" t="s">
        <v>41</v>
      </c>
      <c r="B5" s="12" t="s">
        <v>39</v>
      </c>
    </row>
    <row r="6" spans="1:2" x14ac:dyDescent="0.25">
      <c r="A6" t="s">
        <v>41</v>
      </c>
      <c r="B6" s="12" t="s">
        <v>40</v>
      </c>
    </row>
    <row r="7" spans="1:2" x14ac:dyDescent="0.25">
      <c r="A7" t="s">
        <v>43</v>
      </c>
      <c r="B7" s="12" t="s">
        <v>42</v>
      </c>
    </row>
    <row r="8" spans="1:2" x14ac:dyDescent="0.25">
      <c r="A8" t="s">
        <v>47</v>
      </c>
      <c r="B8" s="12" t="s">
        <v>48</v>
      </c>
    </row>
    <row r="9" spans="1:2" x14ac:dyDescent="0.25">
      <c r="A9" t="s">
        <v>53</v>
      </c>
      <c r="B9" s="12" t="s">
        <v>50</v>
      </c>
    </row>
    <row r="10" spans="1:2" x14ac:dyDescent="0.25">
      <c r="A10" t="s">
        <v>53</v>
      </c>
      <c r="B10" s="12" t="s">
        <v>51</v>
      </c>
    </row>
    <row r="11" spans="1:2" x14ac:dyDescent="0.25">
      <c r="A11" t="s">
        <v>53</v>
      </c>
      <c r="B11" s="12" t="s">
        <v>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2" sqref="C2"/>
    </sheetView>
  </sheetViews>
  <sheetFormatPr baseColWidth="10" defaultRowHeight="15" x14ac:dyDescent="0.25"/>
  <cols>
    <col min="1" max="1" width="27.42578125" style="14" bestFit="1" customWidth="1"/>
    <col min="2" max="2" width="3.5703125" style="14" customWidth="1"/>
    <col min="3" max="3" width="24.7109375" style="14" bestFit="1" customWidth="1"/>
    <col min="4" max="16384" width="11.42578125" style="14"/>
  </cols>
  <sheetData>
    <row r="1" spans="1:3" x14ac:dyDescent="0.25">
      <c r="A1" s="16" t="s">
        <v>22</v>
      </c>
      <c r="B1" s="18"/>
      <c r="C1" s="15" t="s">
        <v>36</v>
      </c>
    </row>
    <row r="2" spans="1:3" x14ac:dyDescent="0.25">
      <c r="A2" s="13" t="s">
        <v>26</v>
      </c>
      <c r="B2" s="13"/>
      <c r="C2" s="13" t="s">
        <v>31</v>
      </c>
    </row>
    <row r="3" spans="1:3" x14ac:dyDescent="0.25">
      <c r="A3" s="13" t="s">
        <v>24</v>
      </c>
      <c r="B3" s="13"/>
      <c r="C3" s="13" t="s">
        <v>32</v>
      </c>
    </row>
    <row r="4" spans="1:3" x14ac:dyDescent="0.25">
      <c r="A4" s="13" t="s">
        <v>25</v>
      </c>
      <c r="B4" s="19"/>
      <c r="C4" s="12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Factura</vt:lpstr>
      <vt:lpstr>Contribuyentes</vt:lpstr>
      <vt:lpstr>Puntos de Venta </vt:lpstr>
      <vt:lpstr>Concepto y Condiciones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Vallejo</dc:creator>
  <cp:lastModifiedBy>Gianfranco Lorenzo</cp:lastModifiedBy>
  <cp:lastPrinted>2022-01-05T14:01:13Z</cp:lastPrinted>
  <dcterms:created xsi:type="dcterms:W3CDTF">2021-06-30T14:32:34Z</dcterms:created>
  <dcterms:modified xsi:type="dcterms:W3CDTF">2023-03-24T21:14:41Z</dcterms:modified>
</cp:coreProperties>
</file>