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0D11F04D-42A0-493A-8D40-06C72CBF554C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LOANS" sheetId="29" r:id="rId14"/>
    <sheet name="FORMALIN" sheetId="26" r:id="rId15"/>
    <sheet name="VTN" sheetId="31" r:id="rId16"/>
    <sheet name="PRAGYA" sheetId="34" r:id="rId17"/>
  </sheets>
  <definedNames>
    <definedName name="_xlnm._FilterDatabase" localSheetId="8" hidden="1">DEPOSITS!$A$3:$X$18</definedName>
    <definedName name="_xlnm._FilterDatabase" localSheetId="9" hidden="1">DISCHARGES!$A$3:$X$32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5" l="1"/>
  <c r="Q350" i="1"/>
  <c r="R350" i="1" s="1"/>
  <c r="S350" i="1"/>
  <c r="T350" i="1"/>
  <c r="Q349" i="1"/>
  <c r="R349" i="1" s="1"/>
  <c r="S349" i="1"/>
  <c r="T349" i="1"/>
  <c r="AA14" i="26"/>
  <c r="E21" i="29"/>
  <c r="E20" i="29"/>
  <c r="Q348" i="1"/>
  <c r="R348" i="1" s="1"/>
  <c r="S348" i="1"/>
  <c r="T348" i="1"/>
  <c r="E8" i="29"/>
  <c r="C5" i="29"/>
  <c r="Q347" i="1"/>
  <c r="R347" i="1" s="1"/>
  <c r="S347" i="1"/>
  <c r="T347" i="1"/>
  <c r="Q346" i="1"/>
  <c r="R346" i="1" s="1"/>
  <c r="S346" i="1"/>
  <c r="T346" i="1"/>
  <c r="Q345" i="1"/>
  <c r="R345" i="1" s="1"/>
  <c r="S345" i="1"/>
  <c r="T345" i="1"/>
  <c r="Q344" i="1"/>
  <c r="R344" i="1" s="1"/>
  <c r="S344" i="1"/>
  <c r="T344" i="1"/>
  <c r="L310" i="1"/>
  <c r="E31" i="31" a="1"/>
  <c r="E31" i="31" s="1"/>
  <c r="Q342" i="1"/>
  <c r="R342" i="1" s="1"/>
  <c r="S342" i="1"/>
  <c r="T342" i="1"/>
  <c r="L343" i="1"/>
  <c r="Q343" i="1"/>
  <c r="R343" i="1" s="1"/>
  <c r="S343" i="1"/>
  <c r="T343" i="1"/>
  <c r="L341" i="1"/>
  <c r="Q341" i="1" s="1"/>
  <c r="R341" i="1" s="1"/>
  <c r="S341" i="1"/>
  <c r="T341" i="1"/>
  <c r="L340" i="1"/>
  <c r="Q340" i="1" s="1"/>
  <c r="R340" i="1" s="1"/>
  <c r="S340" i="1"/>
  <c r="T340" i="1"/>
  <c r="L339" i="1"/>
  <c r="Q339" i="1" s="1"/>
  <c r="R339" i="1" s="1"/>
  <c r="L338" i="1"/>
  <c r="L337" i="1"/>
  <c r="S339" i="1"/>
  <c r="T339" i="1"/>
  <c r="E27" i="31" a="1"/>
  <c r="E27" i="31" s="1"/>
  <c r="E24" i="31" a="1"/>
  <c r="E24" i="31" s="1"/>
  <c r="L336" i="1"/>
  <c r="L335" i="1"/>
  <c r="L334" i="1"/>
  <c r="L333" i="1"/>
  <c r="L332" i="1"/>
  <c r="L331" i="1"/>
  <c r="L330" i="1"/>
  <c r="L329" i="1"/>
  <c r="L328" i="1"/>
  <c r="L326" i="1"/>
  <c r="L325" i="1"/>
  <c r="L324" i="1"/>
  <c r="L323" i="1"/>
  <c r="L322" i="1"/>
  <c r="L321" i="1"/>
  <c r="L320" i="1"/>
  <c r="L319" i="1"/>
  <c r="L318" i="1"/>
  <c r="L317" i="1"/>
  <c r="L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8" i="1"/>
  <c r="L253" i="1"/>
  <c r="L239" i="1"/>
  <c r="L237" i="1"/>
  <c r="F31" i="31" l="1"/>
  <c r="G31" i="31"/>
  <c r="F27" i="31"/>
  <c r="G27" i="31"/>
  <c r="F24" i="31"/>
  <c r="G24" i="31"/>
  <c r="H31" i="31" l="1"/>
  <c r="H27" i="31"/>
  <c r="H24" i="31"/>
  <c r="N248" i="1" l="1"/>
  <c r="C11" i="29"/>
  <c r="D11" i="29"/>
  <c r="W14" i="26"/>
  <c r="S15" i="26"/>
  <c r="E30" i="31" a="1"/>
  <c r="E30" i="31" s="1"/>
  <c r="Q338" i="1"/>
  <c r="R338" i="1" s="1"/>
  <c r="S338" i="1"/>
  <c r="T338" i="1"/>
  <c r="Q337" i="1"/>
  <c r="R337" i="1" s="1"/>
  <c r="S337" i="1"/>
  <c r="T337" i="1"/>
  <c r="E29" i="31" a="1"/>
  <c r="E29" i="31" s="1"/>
  <c r="Q336" i="1"/>
  <c r="R336" i="1" s="1"/>
  <c r="S336" i="1"/>
  <c r="T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26" i="1"/>
  <c r="R326" i="1" s="1"/>
  <c r="AA258" i="1" l="1"/>
  <c r="B2" i="25"/>
  <c r="B1" i="25"/>
  <c r="G30" i="31"/>
  <c r="F30" i="31"/>
  <c r="G29" i="31"/>
  <c r="F29" i="31"/>
  <c r="G28" i="31"/>
  <c r="F28" i="31"/>
  <c r="E7" i="30"/>
  <c r="E6" i="30"/>
  <c r="E5" i="30"/>
  <c r="Q324" i="1"/>
  <c r="R324" i="1" s="1"/>
  <c r="Q325" i="1"/>
  <c r="R325" i="1" s="1"/>
  <c r="E26" i="31" a="1"/>
  <c r="E26" i="31" s="1"/>
  <c r="C32" i="31"/>
  <c r="H30" i="31" l="1"/>
  <c r="H29" i="31"/>
  <c r="H28" i="31"/>
  <c r="F26" i="31"/>
  <c r="G26" i="31"/>
  <c r="E4" i="30"/>
  <c r="E3" i="30"/>
  <c r="E25" i="31" a="1"/>
  <c r="E25" i="31" s="1"/>
  <c r="G25" i="31" s="1"/>
  <c r="Q321" i="1"/>
  <c r="R321" i="1" s="1"/>
  <c r="Q322" i="1"/>
  <c r="R322" i="1" s="1"/>
  <c r="Q323" i="1"/>
  <c r="R323" i="1" s="1"/>
  <c r="H26" i="31" l="1"/>
  <c r="F25" i="31"/>
  <c r="H25" i="31" s="1"/>
  <c r="E3" i="31" a="1"/>
  <c r="E3" i="31" s="1"/>
  <c r="E2" i="30"/>
  <c r="F3" i="31" l="1"/>
  <c r="G3" i="31"/>
  <c r="Q320" i="1"/>
  <c r="R320" i="1" s="1"/>
  <c r="H3" i="31" l="1"/>
  <c r="Q317" i="1"/>
  <c r="R317" i="1" s="1"/>
  <c r="Q318" i="1"/>
  <c r="R318" i="1" s="1"/>
  <c r="Q319" i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4" i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2" i="31" s="1"/>
  <c r="Q313" i="1"/>
  <c r="R313" i="1" s="1"/>
  <c r="H7" i="31" l="1"/>
  <c r="G32" i="31"/>
  <c r="H17" i="31"/>
  <c r="H4" i="31"/>
  <c r="K8" i="31" s="1"/>
  <c r="O15" i="26"/>
  <c r="Q312" i="1"/>
  <c r="R312" i="1" s="1"/>
  <c r="Q311" i="1"/>
  <c r="R311" i="1" s="1"/>
  <c r="K3" i="31" l="1"/>
  <c r="H32" i="31"/>
  <c r="J3" i="31"/>
  <c r="L3" i="31" s="1"/>
  <c r="L8" i="31" s="1" a="1"/>
  <c r="L8" i="31" s="1"/>
  <c r="Q307" i="1"/>
  <c r="R307" i="1" s="1"/>
  <c r="Q308" i="1"/>
  <c r="R308" i="1" s="1"/>
  <c r="Q309" i="1"/>
  <c r="R309" i="1" s="1"/>
  <c r="Q310" i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Q237" i="1"/>
  <c r="R237" i="1" s="1"/>
  <c r="L238" i="1"/>
  <c r="Q238" i="1" s="1"/>
  <c r="R238" i="1" s="1"/>
  <c r="Q239" i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Q253" i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Q258" i="1"/>
  <c r="R258" i="1" s="1"/>
  <c r="L160" i="1"/>
  <c r="Q160" i="1" s="1"/>
  <c r="R160" i="1" s="1"/>
  <c r="Q260" i="1"/>
  <c r="R260" i="1" s="1"/>
  <c r="L261" i="1"/>
  <c r="Q261" i="1" s="1"/>
  <c r="R261" i="1" s="1"/>
  <c r="L262" i="1"/>
  <c r="Q262" i="1" s="1"/>
  <c r="R262" i="1" s="1"/>
  <c r="Q263" i="1"/>
  <c r="R263" i="1" s="1"/>
  <c r="L264" i="1"/>
  <c r="Q264" i="1" s="1"/>
  <c r="R264" i="1" s="1"/>
  <c r="L265" i="1"/>
  <c r="Q265" i="1" s="1"/>
  <c r="R265" i="1" s="1"/>
  <c r="Q266" i="1"/>
  <c r="R266" i="1" s="1"/>
  <c r="L267" i="1"/>
  <c r="Q267" i="1" s="1"/>
  <c r="R267" i="1" s="1"/>
  <c r="L268" i="1"/>
  <c r="Q268" i="1" s="1"/>
  <c r="R268" i="1" s="1"/>
  <c r="Q269" i="1"/>
  <c r="R269" i="1" s="1"/>
  <c r="L270" i="1"/>
  <c r="Q270" i="1" s="1"/>
  <c r="R270" i="1" s="1"/>
  <c r="L271" i="1"/>
  <c r="Q271" i="1" s="1"/>
  <c r="R271" i="1" s="1"/>
  <c r="Q272" i="1"/>
  <c r="R272" i="1" s="1"/>
  <c r="Q273" i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Q280" i="1"/>
  <c r="R280" i="1" s="1"/>
  <c r="L281" i="1"/>
  <c r="Q281" i="1" s="1"/>
  <c r="R281" i="1" s="1"/>
  <c r="L282" i="1"/>
  <c r="Q282" i="1" s="1"/>
  <c r="R282" i="1" s="1"/>
  <c r="L283" i="1"/>
  <c r="Q283" i="1" s="1"/>
  <c r="R283" i="1" s="1"/>
  <c r="Q284" i="1"/>
  <c r="R284" i="1" s="1"/>
  <c r="Q285" i="1"/>
  <c r="R285" i="1" s="1"/>
  <c r="L286" i="1"/>
  <c r="Q286" i="1" s="1"/>
  <c r="R286" i="1" s="1"/>
  <c r="L287" i="1"/>
  <c r="Q287" i="1" s="1"/>
  <c r="R287" i="1" s="1"/>
  <c r="Q288" i="1"/>
  <c r="R288" i="1" s="1"/>
  <c r="Q289" i="1"/>
  <c r="R289" i="1" s="1"/>
  <c r="Q290" i="1"/>
  <c r="R290" i="1" s="1"/>
  <c r="Q291" i="1"/>
  <c r="R291" i="1" s="1"/>
  <c r="L292" i="1"/>
  <c r="Q292" i="1" s="1"/>
  <c r="R292" i="1" s="1"/>
  <c r="Q293" i="1"/>
  <c r="R293" i="1" s="1"/>
  <c r="Q294" i="1"/>
  <c r="R294" i="1" s="1"/>
  <c r="Q295" i="1"/>
  <c r="R295" i="1" s="1"/>
  <c r="L296" i="1"/>
  <c r="Q296" i="1" s="1"/>
  <c r="R296" i="1" s="1"/>
  <c r="Q297" i="1"/>
  <c r="R297" i="1" s="1"/>
  <c r="Q298" i="1"/>
  <c r="R298" i="1" s="1"/>
  <c r="Q299" i="1"/>
  <c r="R299" i="1" s="1"/>
  <c r="L300" i="1"/>
  <c r="Q300" i="1" s="1"/>
  <c r="R300" i="1" s="1"/>
  <c r="Q301" i="1"/>
  <c r="R301" i="1" s="1"/>
  <c r="Q302" i="1"/>
  <c r="R302" i="1" s="1"/>
  <c r="L303" i="1"/>
  <c r="Q303" i="1" s="1"/>
  <c r="R303" i="1" s="1"/>
  <c r="Q304" i="1"/>
  <c r="R304" i="1" s="1"/>
  <c r="Q305" i="1"/>
  <c r="R305" i="1" s="1"/>
  <c r="Q306" i="1"/>
  <c r="R306" i="1" s="1"/>
  <c r="L2" i="1"/>
  <c r="Q2" i="1" s="1"/>
  <c r="R2" i="1" s="1"/>
  <c r="K2" i="30"/>
  <c r="H6" i="29"/>
  <c r="K17" i="26"/>
  <c r="G17" i="26"/>
  <c r="E6" i="29" l="1"/>
  <c r="E8" i="30"/>
  <c r="J4" i="29" s="1"/>
  <c r="K4" i="30" l="1"/>
  <c r="I5" i="29" s="1"/>
  <c r="E7" i="29"/>
  <c r="E5" i="29"/>
  <c r="E4" i="29"/>
  <c r="N351" i="1"/>
  <c r="M351" i="1"/>
  <c r="C14" i="26"/>
  <c r="H23" i="29"/>
  <c r="E11" i="29" l="1"/>
  <c r="J5" i="29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51" i="1"/>
  <c r="Q3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<sst xmlns="http://schemas.openxmlformats.org/spreadsheetml/2006/main" count="4162" uniqueCount="1935">
  <si>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</si>
  <si>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</si>
  <si>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</si>
  <si>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</si>
  <si>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</si>
  <si>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</si>
  <si>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</si>
  <si>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</si>
  <si>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</si>
  <si>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</si>
  <si>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</si>
  <si>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</si>
  <si>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</si>
  <si>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</si>
  <si>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</si>
  <si>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</si>
  <si>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</si>
  <si>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</si>
  <si>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</si>
  <si>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</si>
  <si>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</si>
  <si>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</si>
  <si>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</si>
  <si>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</si>
  <si>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</si>
  <si>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</si>
  <si>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</si>
  <si>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</si>
  <si>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</si>
  <si>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</si>
  <si>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</si>
  <si>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</si>
  <si>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</si>
  <si>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</si>
  <si>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</si>
  <si>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</si>
  <si>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</si>
  <si>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</si>
  <si>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</si>
  <si>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</si>
  <si>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</si>
  <si>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</si>
  <si>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</si>
  <si>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</si>
  <si>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</si>
  <si>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</si>
  <si>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</si>
  <si>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</si>
  <si>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</si>
  <si>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</si>
  <si>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</si>
  <si>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</si>
  <si>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</si>
  <si>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</si>
  <si>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</si>
  <si>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</si>
  <si>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</si>
  <si>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</si>
  <si>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</si>
  <si>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</si>
  <si>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</si>
  <si>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</si>
  <si>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</si>
  <si>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</si>
  <si>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</si>
  <si>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</si>
  <si>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</si>
  <si>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</si>
  <si>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</si>
  <si>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</si>
  <si>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</si>
  <si>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</si>
  <si>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</si>
  <si>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</si>
  <si>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</si>
  <si>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</si>
  <si>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</si>
  <si>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</si>
  <si>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</si>
  <si>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</si>
  <si>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</si>
  <si>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</si>
  <si>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</si>
  <si>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</si>
  <si>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</si>
  <si>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</si>
  <si>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</si>
  <si>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</si>
  <si>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</si>
  <si>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</si>
  <si>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</si>
  <si>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</si>
  <si>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</si>
  <si>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</si>
  <si>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</si>
  <si>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</si>
  <si>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</si>
  <si>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</si>
  <si>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</si>
  <si>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</si>
  <si>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</si>
  <si>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</si>
  <si>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</si>
  <si>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</si>
  <si>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</si>
  <si>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</si>
  <si>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</si>
  <si>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</si>
  <si>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</si>
  <si>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</si>
  <si>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</si>
  <si>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</si>
  <si>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</si>
  <si>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</si>
  <si>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</si>
  <si>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</si>
  <si>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</si>
  <si>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</si>
  <si>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</si>
  <si>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</si>
  <si>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</si>
  <si>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</si>
  <si>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</si>
  <si>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</si>
  <si>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</si>
  <si>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</si>
  <si>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</si>
  <si>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</si>
  <si>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</si>
  <si>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</si>
  <si>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</si>
  <si>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</si>
  <si>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</si>
  <si>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</si>
  <si>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</si>
  <si>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</si>
  <si>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</si>
  <si>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</si>
  <si>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</si>
  <si>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</si>
  <si>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</si>
  <si>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</si>
  <si>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</si>
  <si>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</si>
  <si>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</si>
  <si>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</si>
  <si>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</si>
  <si>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</si>
  <si>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</si>
  <si>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</si>
  <si>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</si>
  <si>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</si>
  <si>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</si>
  <si>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</si>
  <si>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</si>
  <si>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</si>
  <si>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</si>
  <si>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</si>
  <si>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</si>
  <si>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</si>
  <si>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</si>
  <si>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</si>
  <si>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</si>
  <si>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</si>
  <si>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</si>
  <si>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</si>
  <si>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</si>
  <si>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</si>
  <si>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</si>
  <si>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</si>
  <si>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</si>
  <si>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</si>
  <si>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</si>
  <si>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</si>
  <si>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</si>
  <si>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</si>
  <si>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</si>
  <si>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</si>
  <si>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</si>
  <si>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</si>
  <si>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</si>
  <si>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</si>
  <si>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</si>
  <si>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</si>
  <si>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</si>
  <si>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</si>
  <si>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</si>
  <si>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</si>
  <si>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</si>
  <si>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</si>
  <si>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</si>
  <si>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</si>
  <si>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</si>
  <si>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</si>
  <si>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</si>
  <si>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</si>
  <si>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</si>
  <si>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</si>
  <si>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</si>
  <si>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</si>
  <si>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</si>
  <si>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</si>
  <si>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</si>
  <si>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</si>
  <si>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</si>
  <si>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</si>
  <si>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</si>
  <si>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</si>
  <si>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</si>
  <si>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</si>
  <si>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</si>
  <si>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</si>
  <si>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</si>
  <si>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</si>
  <si>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</si>
  <si>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</si>
  <si>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</si>
  <si>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</si>
  <si>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</si>
  <si>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</si>
  <si>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</si>
  <si>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</si>
  <si>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</si>
  <si>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</si>
  <si>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</si>
  <si>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</si>
  <si>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</si>
  <si>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</si>
  <si>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</si>
  <si>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</si>
  <si>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</si>
  <si>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</si>
  <si>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</si>
  <si>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</si>
  <si>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</si>
  <si>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</si>
  <si>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</si>
  <si>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</si>
  <si>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</si>
  <si>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</si>
  <si>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</si>
  <si>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</si>
  <si>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</si>
  <si>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</si>
  <si>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</si>
  <si>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</si>
  <si>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</si>
  <si>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</si>
  <si>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</si>
  <si>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</si>
  <si>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</si>
  <si>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</si>
  <si>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</si>
  <si>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</si>
  <si>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</si>
  <si>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</si>
  <si>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</si>
  <si>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</si>
  <si>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</si>
  <si>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</si>
  <si>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</si>
  <si>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</si>
  <si>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</si>
  <si>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</si>
  <si>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</si>
  <si>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</si>
  <si>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</si>
  <si>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</si>
  <si>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</si>
  <si>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</si>
  <si>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</si>
  <si>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</si>
  <si>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</si>
  <si>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</si>
  <si>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</si>
  <si>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</si>
  <si>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</si>
  <si>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</si>
  <si>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</si>
  <si>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</si>
  <si>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</si>
  <si>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</si>
  <si>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</si>
  <si>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</si>
  <si>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</si>
  <si>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</si>
  <si>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</si>
  <si>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</si>
  <si>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</si>
  <si>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</si>
  <si>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</si>
  <si>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</si>
  <si>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</si>
  <si>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</si>
  <si>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</si>
  <si>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</si>
  <si>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</si>
  <si>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</si>
  <si>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</si>
  <si>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</si>
  <si>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</si>
  <si>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</si>
  <si>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</si>
  <si>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</si>
  <si>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</si>
  <si>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</si>
  <si>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</si>
  <si>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</si>
  <si>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</si>
  <si>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</si>
  <si>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</si>
  <si>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</si>
  <si>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</si>
  <si>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</si>
  <si>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</si>
  <si>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</si>
  <si>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</si>
  <si>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</si>
  <si>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</si>
  <si>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</si>
  <si>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</si>
  <si>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</si>
  <si>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</si>
  <si>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</si>
  <si>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</si>
  <si>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</si>
  <si>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</si>
  <si>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</si>
  <si>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</si>
  <si>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</si>
  <si>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</si>
  <si>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</si>
  <si>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</si>
  <si>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</si>
  <si>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</si>
  <si>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</si>
  <si>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</si>
  <si>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</si>
  <si>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</si>
  <si>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</si>
  <si>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</si>
  <si>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</si>
  <si>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</si>
  <si>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</si>
  <si>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</si>
  <si>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</si>
  <si>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</si>
  <si>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</si>
  <si>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</si>
  <si>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</si>
  <si>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</si>
  <si>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</si>
  <si>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</si>
  <si>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</si>
  <si>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</si>
  <si>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</si>
  <si>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</si>
  <si>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</si>
  <si>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</si>
  <si>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</si>
  <si>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</si>
  <si>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</si>
  <si>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</si>
  <si>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</si>
  <si>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</si>
  <si>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</si>
  <si>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</si>
  <si>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</si>
  <si>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</si>
  <si>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</si>
  <si>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</si>
  <si>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</si>
  <si>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</si>
  <si>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</si>
  <si>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</si>
  <si>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</si>
  <si>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</si>
  <si>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</si>
  <si>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</si>
  <si>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</si>
  <si>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</si>
  <si>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</si>
  <si>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</si>
  <si>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</si>
  <si>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</si>
  <si>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</si>
  <si>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</si>
  <si>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</si>
  <si>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</si>
  <si>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</si>
  <si>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</si>
  <si>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</si>
  <si>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</si>
  <si>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</si>
  <si>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</si>
  <si>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</si>
  <si>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</si>
  <si>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</si>
  <si>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</si>
  <si>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</si>
  <si>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</si>
  <si>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</si>
  <si>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</si>
  <si>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</si>
  <si>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</si>
  <si>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</si>
  <si>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</si>
  <si>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</si>
  <si>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</si>
  <si>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</si>
  <si>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</si>
  <si>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</si>
  <si>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</si>
  <si>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</si>
  <si>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</si>
  <si>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</si>
  <si>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</si>
  <si>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</si>
  <si>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</si>
  <si>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</si>
  <si>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</si>
  <si>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</si>
  <si>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</si>
  <si>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</si>
  <si>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</si>
  <si>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</si>
  <si>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</si>
  <si>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</si>
  <si>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</si>
  <si>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</si>
  <si>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</si>
  <si>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</si>
  <si>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</si>
  <si>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</si>
  <si>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</si>
  <si>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</si>
  <si>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</si>
  <si>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</si>
  <si>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</si>
  <si>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</si>
  <si>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</si>
  <si>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</si>
  <si>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</si>
  <si>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</si>
  <si>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</si>
  <si>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</si>
  <si>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</si>
  <si>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</si>
  <si>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</si>
  <si>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</si>
  <si>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</si>
  <si>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</si>
  <si>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</si>
  <si>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</si>
  <si>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</si>
  <si>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</si>
  <si>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</si>
  <si>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</si>
  <si>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</si>
  <si>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</si>
  <si>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</si>
  <si>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</si>
  <si>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</si>
  <si>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</si>
  <si>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</si>
  <si>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</si>
  <si>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</si>
  <si>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</si>
  <si>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</si>
  <si>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</si>
  <si>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</si>
  <si>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</si>
  <si>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</si>
  <si>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</si>
  <si>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</si>
  <si>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</si>
  <si>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</si>
  <si>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</si>
  <si>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</si>
  <si>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</si>
  <si>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</si>
  <si>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</si>
  <si>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</si>
  <si>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</si>
  <si>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</si>
  <si>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</si>
  <si>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</si>
  <si>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</si>
  <si>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</si>
  <si>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</si>
  <si>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</si>
  <si>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</si>
  <si>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</si>
  <si>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</si>
  <si>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</si>
  <si>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</si>
  <si>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</si>
  <si>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</si>
  <si>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</si>
  <si>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</si>
  <si>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</si>
  <si>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</si>
  <si>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</si>
  <si>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</si>
  <si>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</si>
  <si>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</si>
  <si>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</si>
  <si>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</si>
  <si>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</si>
  <si>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</si>
  <si>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</si>
  <si>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</si>
  <si>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</si>
  <si>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</si>
  <si>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</si>
  <si>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</si>
  <si>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</si>
  <si>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</si>
  <si>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</si>
  <si>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</si>
  <si>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</si>
  <si>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</si>
  <si>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</si>
  <si>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</si>
  <si>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</si>
  <si>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</si>
  <si>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</si>
  <si>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</si>
  <si>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</si>
  <si>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</si>
  <si>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</si>
  <si>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</si>
  <si>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</si>
  <si>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</si>
  <si>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</si>
  <si>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</si>
  <si>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</si>
  <si>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</si>
  <si>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</si>
  <si>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</si>
  <si>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</si>
  <si>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</si>
  <si>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</si>
  <si>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</si>
  <si>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</si>
  <si>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</si>
  <si>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</si>
  <si>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</si>
  <si>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</si>
  <si>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</si>
  <si>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</si>
  <si>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</si>
  <si>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</si>
  <si>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</si>
  <si>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</si>
  <si>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</si>
  <si>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</si>
  <si>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</si>
  <si>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</si>
  <si>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</si>
  <si>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</si>
  <si>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</si>
  <si>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</si>
  <si>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</si>
  <si>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</si>
  <si>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</si>
  <si>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</si>
  <si>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</si>
  <si>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</si>
  <si>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</si>
  <si>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</si>
  <si>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</si>
  <si>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</si>
  <si>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</si>
  <si>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</si>
  <si>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</si>
  <si>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</si>
  <si>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</si>
  <si>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</si>
  <si>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</si>
  <si>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</si>
  <si>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</si>
  <si>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</si>
  <si>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</si>
  <si>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</si>
  <si>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</si>
  <si>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</si>
  <si>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</si>
  <si>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</si>
  <si>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</si>
  <si>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</si>
  <si>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</si>
  <si>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</si>
  <si>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</si>
  <si>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</si>
  <si>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</si>
  <si>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</si>
  <si>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</si>
  <si>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</si>
  <si>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</si>
  <si>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</si>
  <si>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</si>
  <si>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</si>
  <si>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</si>
  <si>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</si>
  <si>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</si>
  <si>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</si>
  <si>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</si>
  <si>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</si>
  <si>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</si>
  <si>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</si>
  <si>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</si>
  <si>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</si>
  <si>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</si>
  <si>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</si>
  <si>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</si>
  <si>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</si>
  <si>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</si>
  <si>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</si>
  <si>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</si>
  <si>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</si>
  <si>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</si>
  <si>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</si>
  <si>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</si>
  <si>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</si>
  <si>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</si>
  <si>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</si>
  <si>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</si>
  <si>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</si>
  <si>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</si>
  <si>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</si>
  <si>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</si>
  <si>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</si>
  <si>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</si>
  <si>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</si>
  <si>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</si>
  <si>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</si>
  <si>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</si>
  <si>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</si>
  <si>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</si>
  <si>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</si>
  <si>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</si>
  <si>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</si>
  <si>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</si>
  <si>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</si>
  <si>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</si>
  <si>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</si>
  <si>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</si>
  <si>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</si>
  <si>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</si>
  <si>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</si>
  <si>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</si>
  <si>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</si>
  <si>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</si>
  <si>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</si>
  <si>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</si>
  <si>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</si>
  <si>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</si>
  <si>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</si>
  <si>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</si>
  <si>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</si>
  <si>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</si>
  <si>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</si>
  <si>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</si>
  <si>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</si>
  <si>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</si>
  <si>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</si>
  <si>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</si>
  <si>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</si>
  <si>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</si>
  <si>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</si>
  <si>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</si>
  <si>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</si>
  <si>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</si>
  <si>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</si>
  <si>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</si>
  <si>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</si>
  <si>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</si>
  <si>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</si>
  <si>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</si>
  <si>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</si>
  <si>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</si>
  <si>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</si>
  <si>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</si>
  <si>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</si>
  <si>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</si>
  <si>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</si>
  <si>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</si>
  <si>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</si>
  <si>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</si>
  <si>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</si>
  <si>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</si>
  <si>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</si>
  <si>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</si>
  <si>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</si>
  <si>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</si>
  <si>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</si>
  <si>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</si>
  <si>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</si>
  <si>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</si>
  <si>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</si>
  <si>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</si>
  <si>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</si>
  <si>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</si>
  <si>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</si>
  <si>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</si>
  <si>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</si>
  <si>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</si>
  <si>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</si>
  <si>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</si>
  <si>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</si>
  <si>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</si>
  <si>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</si>
  <si>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</si>
  <si>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</si>
  <si>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</si>
  <si>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</si>
  <si>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</si>
  <si>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</si>
  <si>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</si>
  <si>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</si>
  <si>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</si>
  <si>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</si>
  <si>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</si>
  <si>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</si>
  <si>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</si>
  <si>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</si>
  <si>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</si>
  <si>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</si>
  <si>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</si>
  <si>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</si>
  <si>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</si>
  <si>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</si>
  <si>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</si>
  <si>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</si>
  <si>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</si>
  <si>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</si>
  <si>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</si>
  <si>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</si>
  <si>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</si>
  <si>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</si>
  <si>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</si>
  <si>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</si>
  <si>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</si>
  <si>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</si>
  <si>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</si>
  <si>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</si>
  <si>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</si>
  <si>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</si>
  <si>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</si>
  <si>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</si>
  <si>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</si>
  <si>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</si>
  <si>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</si>
  <si>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</si>
  <si>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</si>
  <si>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</si>
  <si>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</si>
  <si>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</si>
  <si>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</si>
  <si>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</si>
  <si>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</si>
  <si>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</si>
  <si>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</si>
  <si>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</si>
  <si>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</si>
  <si>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</si>
  <si>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</si>
  <si>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</si>
  <si>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</si>
  <si>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</si>
  <si>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</si>
  <si>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</si>
  <si>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</si>
  <si>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</si>
  <si>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</si>
  <si>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</si>
  <si>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</si>
  <si>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</si>
  <si>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</si>
  <si>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</si>
  <si>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</si>
  <si>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</si>
  <si>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</si>
  <si>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</si>
  <si>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</si>
  <si>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</si>
  <si>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</si>
  <si>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</si>
  <si>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</si>
  <si>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</si>
  <si>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</si>
  <si>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</si>
  <si>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</si>
  <si>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</si>
  <si>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</si>
  <si>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</si>
  <si>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</si>
  <si>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</si>
  <si>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</si>
  <si>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</si>
  <si>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</si>
  <si>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</si>
  <si>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</si>
  <si>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</si>
  <si>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</si>
  <si>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</si>
  <si>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</si>
  <si>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</si>
  <si>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</si>
  <si>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</si>
  <si>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</si>
  <si>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</si>
  <si>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</si>
  <si>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</si>
  <si>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</si>
  <si>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</si>
  <si>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</si>
  <si>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</si>
  <si>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</si>
  <si>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</si>
  <si>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</si>
  <si>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</si>
  <si>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</si>
  <si>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</si>
  <si>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</si>
  <si>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</si>
  <si>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</si>
  <si>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</si>
  <si>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</si>
  <si>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</si>
  <si>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</si>
  <si>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</si>
  <si>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</si>
  <si>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</si>
  <si>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</si>
  <si>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</si>
  <si>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</si>
  <si>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</si>
  <si>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</si>
  <si>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</si>
  <si>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</si>
  <si>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</si>
  <si>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</si>
  <si>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</si>
  <si>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</si>
  <si>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</si>
  <si>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</si>
  <si>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</si>
  <si>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</si>
  <si>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</si>
  <si>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</si>
  <si>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</si>
  <si>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</si>
  <si>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</si>
  <si>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</si>
  <si>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</si>
  <si>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</si>
  <si>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</si>
  <si>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</si>
  <si>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</si>
  <si>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</si>
  <si>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</si>
  <si>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</si>
  <si>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</si>
  <si>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</si>
  <si>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</si>
  <si>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</si>
  <si>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</si>
  <si>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</si>
  <si>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</si>
  <si>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</si>
  <si>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</si>
  <si>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</si>
  <si>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</si>
  <si>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</si>
  <si>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</si>
  <si>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</si>
  <si>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</si>
  <si>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</si>
  <si>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</si>
  <si>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</si>
  <si>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</si>
  <si>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</si>
  <si>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</si>
  <si>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</si>
  <si>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</si>
  <si>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</si>
  <si>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</si>
  <si>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</si>
  <si>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</si>
  <si>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</si>
  <si>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</si>
  <si>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</si>
  <si>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</si>
  <si>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</si>
  <si>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</si>
  <si>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</si>
  <si>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</si>
  <si>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</si>
  <si>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</si>
  <si>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</si>
  <si>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</si>
  <si>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</si>
  <si>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</si>
  <si>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</si>
  <si>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</si>
  <si>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</si>
  <si>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</si>
  <si>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</si>
  <si>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</si>
  <si>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</si>
  <si>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</si>
  <si>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</si>
  <si>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</si>
  <si>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</si>
  <si>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</si>
  <si>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</si>
  <si>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</si>
  <si>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</si>
  <si>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</si>
  <si>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</si>
  <si>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</si>
  <si>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</si>
  <si>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</si>
  <si>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</si>
  <si>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</si>
  <si>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</si>
  <si>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</si>
  <si>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</si>
  <si>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</si>
  <si>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</si>
  <si>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</si>
  <si>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</si>
  <si>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</si>
  <si>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</si>
  <si>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</si>
  <si>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</si>
  <si>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</si>
  <si>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</si>
  <si>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</si>
  <si>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</si>
  <si>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</si>
  <si>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</si>
  <si>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</si>
  <si>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</si>
  <si>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</si>
  <si>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</si>
  <si>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</si>
  <si>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</si>
  <si>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</si>
  <si>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</si>
  <si>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</si>
  <si>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</si>
  <si>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</si>
  <si>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</si>
  <si>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</si>
  <si>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</si>
  <si>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</si>
  <si>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</si>
  <si>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</si>
  <si>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</si>
  <si>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</si>
  <si>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</si>
  <si>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</si>
  <si>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</si>
  <si>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</si>
  <si>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</si>
  <si>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</si>
  <si>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</si>
  <si>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</si>
  <si>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</si>
  <si>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</si>
  <si>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</si>
  <si>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</si>
  <si>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</si>
  <si>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</si>
  <si>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</si>
  <si>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</si>
  <si>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</si>
  <si>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</si>
  <si>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</si>
  <si>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</si>
  <si>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</si>
  <si>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</si>
  <si>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</si>
  <si>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</si>
  <si>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</si>
  <si>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</si>
  <si>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</si>
  <si>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</si>
  <si>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</si>
  <si>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</si>
  <si>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</si>
  <si>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</si>
  <si>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</si>
  <si>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</si>
  <si>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</si>
  <si>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</si>
  <si>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</si>
  <si>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</si>
  <si>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</si>
  <si>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</si>
  <si>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</si>
  <si>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</si>
  <si>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</si>
  <si>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</si>
  <si>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</si>
  <si>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</si>
  <si>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</si>
  <si>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</si>
  <si>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</si>
  <si>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</si>
  <si>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</si>
  <si>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</si>
  <si>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</si>
  <si>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</si>
  <si>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</si>
  <si>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</si>
  <si>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</si>
  <si>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</si>
  <si>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</si>
  <si>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</si>
  <si>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</si>
  <si>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</si>
  <si>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</si>
  <si>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</si>
  <si>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</si>
  <si>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</si>
  <si>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</si>
  <si>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</si>
  <si>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</si>
  <si>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</si>
  <si>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</si>
  <si>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</si>
  <si>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</si>
  <si>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</si>
  <si>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</si>
  <si>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</si>
  <si>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</si>
  <si>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</si>
  <si>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</si>
  <si>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</si>
  <si>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</si>
  <si>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</si>
  <si>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</si>
  <si>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</si>
  <si>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</si>
  <si>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</si>
  <si>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</si>
  <si>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</si>
  <si>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</si>
  <si>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</si>
  <si>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</si>
  <si>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</si>
  <si>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</si>
  <si>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</si>
  <si>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</si>
  <si>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</si>
  <si>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</si>
  <si>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</si>
  <si>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</si>
  <si>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</si>
  <si>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</si>
  <si>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</si>
  <si>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</si>
  <si>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</si>
  <si>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</si>
  <si>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</si>
  <si>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</si>
  <si>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</si>
  <si>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</si>
  <si>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</si>
  <si>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</si>
  <si>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</si>
  <si>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</si>
  <si>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</si>
  <si>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</si>
  <si>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</si>
  <si>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</si>
  <si>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</si>
  <si>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</si>
  <si>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</si>
  <si>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</si>
  <si>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</si>
  <si>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</si>
  <si>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</si>
  <si>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</si>
  <si>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</si>
  <si>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</si>
  <si>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</si>
  <si>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</si>
  <si>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</si>
  <si>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</si>
  <si>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</si>
  <si>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</si>
  <si>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</si>
  <si>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</si>
  <si>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</si>
  <si>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</si>
  <si>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</si>
  <si>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</si>
  <si>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</si>
  <si>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</si>
  <si>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</si>
  <si>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</si>
  <si>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</si>
  <si>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</si>
  <si>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</si>
  <si>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</si>
  <si>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</si>
  <si>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</si>
  <si>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</si>
  <si>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</si>
  <si>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</si>
  <si>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</si>
  <si>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</si>
  <si>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</si>
  <si>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</si>
  <si>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</si>
  <si>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</si>
  <si>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</si>
  <si>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</si>
  <si>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</si>
  <si>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</si>
  <si>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</si>
  <si>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</si>
  <si>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</si>
  <si>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</si>
  <si>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</si>
  <si>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</si>
  <si>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</si>
  <si>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</si>
  <si>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</si>
  <si>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</si>
  <si>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</si>
  <si>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</si>
  <si>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</si>
  <si>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</si>
  <si>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</si>
  <si>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</si>
  <si>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</si>
  <si>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</si>
  <si>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</si>
  <si>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</si>
  <si>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</si>
  <si>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</si>
  <si>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</si>
  <si>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</si>
  <si>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</si>
  <si>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</si>
  <si>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</si>
  <si>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</si>
  <si>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</si>
  <si>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</si>
  <si>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</si>
  <si>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</si>
  <si>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</si>
  <si>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</si>
  <si>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</si>
  <si>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</si>
  <si>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</si>
  <si>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</si>
  <si>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</si>
  <si>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</si>
  <si>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</si>
  <si>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</si>
  <si>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</si>
  <si>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</si>
  <si>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</si>
  <si>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</si>
  <si>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</si>
  <si>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</si>
  <si>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</si>
  <si>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</si>
  <si>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</si>
  <si>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</si>
  <si>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</si>
  <si>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</si>
  <si>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</si>
  <si>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</si>
  <si>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</si>
  <si>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</si>
  <si>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</si>
  <si>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</si>
  <si>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</si>
  <si>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</si>
  <si>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</si>
  <si>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</si>
  <si>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</si>
  <si>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</si>
  <si>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</si>
  <si>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</si>
  <si>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</si>
  <si>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</si>
  <si>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</si>
  <si>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</si>
  <si>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</si>
  <si>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</si>
  <si>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</si>
  <si>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</si>
  <si>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</si>
  <si>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</si>
  <si>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</si>
  <si>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</si>
  <si>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</si>
  <si>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</si>
  <si>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</si>
  <si>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</si>
  <si>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</si>
  <si>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</si>
  <si>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</si>
  <si>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</si>
  <si>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</si>
  <si>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</si>
  <si>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</si>
  <si>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</si>
  <si>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</si>
  <si>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</si>
  <si>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</si>
  <si>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</si>
  <si>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</si>
  <si>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</si>
  <si>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</si>
  <si>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</si>
  <si>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</si>
  <si>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</si>
  <si>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</si>
  <si>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</si>
  <si>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</si>
  <si>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</si>
  <si>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</si>
  <si>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</si>
  <si>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</si>
  <si>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</si>
  <si>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</si>
  <si>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</si>
  <si>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</si>
  <si>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</si>
  <si>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</si>
  <si>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</si>
  <si>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</si>
  <si>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</si>
  <si>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</si>
  <si>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</si>
  <si>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</si>
  <si>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</si>
  <si>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</si>
  <si>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</si>
  <si>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</si>
  <si>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</si>
  <si>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</si>
  <si>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</si>
  <si>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</si>
  <si>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</si>
  <si>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</si>
  <si>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</si>
  <si>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</si>
  <si>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</si>
  <si>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</si>
  <si>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</si>
  <si>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</si>
  <si>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</si>
  <si>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</si>
  <si>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</si>
  <si>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</si>
  <si>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</si>
  <si>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</si>
  <si>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</si>
  <si>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</si>
  <si>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</si>
  <si>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</si>
  <si>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</si>
  <si>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</si>
  <si>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</si>
  <si>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</si>
  <si>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</si>
  <si>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</si>
  <si>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</si>
  <si>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</si>
  <si>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</si>
  <si>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</si>
  <si>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</si>
  <si>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</si>
  <si>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</si>
  <si>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</si>
  <si>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</si>
  <si>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</si>
  <si>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</si>
  <si>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</si>
  <si>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</si>
  <si>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</si>
  <si>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</si>
  <si>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</si>
  <si>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</si>
  <si>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</si>
  <si>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</si>
  <si>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</si>
  <si>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</si>
  <si>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</si>
  <si>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</si>
  <si>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</si>
  <si>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</si>
  <si>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</si>
  <si>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</si>
  <si>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</si>
  <si>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</si>
  <si>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</si>
  <si>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</si>
  <si>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</si>
  <si>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</si>
  <si>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</si>
  <si>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</si>
  <si>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</si>
  <si>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</si>
  <si>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</si>
  <si>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</si>
  <si>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</si>
  <si>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</si>
  <si>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</si>
  <si>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</si>
  <si>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</si>
  <si>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</si>
  <si>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</si>
  <si>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</si>
  <si>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</si>
  <si>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</si>
  <si>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</si>
  <si>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</si>
  <si>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</si>
  <si>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</si>
  <si>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</si>
  <si>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</si>
  <si>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</si>
  <si>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</si>
  <si>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</si>
  <si>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</si>
  <si>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</si>
  <si>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</si>
  <si>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</si>
  <si>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</si>
  <si>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</si>
  <si>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</si>
  <si>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</si>
  <si>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</si>
  <si>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</si>
  <si>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</si>
  <si>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</si>
  <si>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</si>
  <si>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</si>
  <si>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</si>
  <si>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</si>
  <si>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</si>
  <si>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</si>
  <si>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</si>
  <si>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</si>
  <si>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</si>
  <si>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</si>
  <si>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</si>
  <si>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</si>
  <si>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</si>
  <si>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</si>
  <si>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</si>
  <si>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</si>
  <si>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</si>
  <si>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</si>
  <si>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</si>
  <si>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</si>
  <si>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</si>
  <si>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</si>
  <si>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</si>
  <si>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</si>
  <si>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</si>
  <si>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</si>
  <si>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</si>
  <si>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</si>
  <si>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</si>
  <si>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</si>
  <si>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</si>
  <si>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</si>
  <si>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</si>
  <si>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</si>
  <si>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</si>
  <si>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</si>
  <si>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</si>
  <si>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</si>
  <si>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</si>
  <si>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</si>
  <si>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</si>
  <si>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</si>
  <si>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</si>
  <si>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</si>
  <si>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</si>
  <si>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</si>
  <si>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</si>
  <si>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</si>
  <si>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</si>
  <si>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</si>
  <si>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</si>
  <si>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</si>
  <si>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</si>
  <si>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</si>
  <si>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</si>
  <si>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</si>
  <si>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</si>
  <si>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</si>
  <si>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</si>
  <si>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</si>
  <si>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</si>
  <si>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</si>
  <si>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</si>
  <si>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</si>
  <si>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</si>
  <si>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</si>
  <si>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</si>
  <si>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</si>
  <si>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</si>
  <si>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</si>
  <si>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</si>
  <si>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</si>
  <si>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</si>
  <si>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</si>
  <si>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</si>
  <si>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</si>
  <si>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</si>
  <si>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</si>
  <si>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</si>
  <si>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</si>
  <si>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</si>
  <si>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</si>
  <si>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</si>
  <si>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</si>
  <si>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</si>
  <si>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</si>
  <si>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</si>
  <si>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</si>
  <si>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</si>
  <si>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</si>
  <si>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</si>
  <si>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</si>
  <si>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</si>
  <si>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</si>
  <si>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</si>
  <si>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</si>
  <si>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</si>
  <si>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</si>
  <si>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</si>
  <si>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</si>
  <si>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</si>
  <si>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</si>
  <si>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</si>
  <si>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</si>
  <si>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</si>
  <si>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</si>
  <si>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</si>
  <si>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</si>
  <si>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</si>
  <si>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</si>
  <si>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</si>
  <si>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</si>
  <si>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</si>
  <si>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</si>
  <si>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</si>
  <si>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</si>
  <si>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</si>
  <si>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</si>
  <si>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</si>
  <si>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</si>
  <si>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</si>
  <si>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</si>
  <si>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</si>
  <si>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</si>
  <si>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</si>
  <si>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</si>
  <si>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</si>
  <si>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</si>
  <si>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</si>
  <si>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</si>
  <si>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</si>
  <si>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</si>
  <si>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</si>
  <si>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</si>
  <si>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</si>
  <si>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</si>
  <si>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</si>
  <si>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</si>
  <si>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</si>
  <si>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</si>
  <si>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</si>
  <si>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</si>
  <si>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</si>
  <si>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</si>
  <si>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</si>
  <si>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</si>
  <si>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</si>
  <si>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</si>
  <si>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</si>
  <si>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</si>
  <si>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</si>
  <si>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</si>
  <si>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</si>
  <si>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</si>
  <si>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</si>
  <si>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</si>
  <si>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</si>
  <si>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</si>
  <si>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</si>
  <si>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</si>
  <si>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</si>
  <si>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</si>
  <si>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</si>
  <si>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</si>
  <si>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</si>
  <si>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</si>
  <si>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</si>
  <si>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</si>
  <si>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</si>
  <si>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</si>
  <si>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</si>
  <si>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</si>
  <si>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</si>
  <si>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</si>
  <si>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</si>
  <si>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</si>
  <si>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</si>
  <si>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</si>
  <si>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</si>
  <si>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</si>
  <si>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</si>
  <si>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</si>
  <si>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</si>
  <si>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</si>
  <si>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</si>
  <si>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</si>
  <si>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</si>
  <si>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</si>
  <si>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</si>
  <si>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</si>
  <si>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</si>
  <si>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</si>
  <si>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</si>
  <si>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</si>
  <si>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</si>
  <si>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</si>
  <si>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</si>
  <si>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</si>
  <si>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</si>
  <si>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</si>
  <si>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</si>
  <si>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</si>
  <si>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</si>
  <si>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</si>
  <si>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</si>
  <si>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</si>
  <si>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</si>
  <si>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</si>
  <si>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</si>
  <si>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</si>
  <si>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</si>
  <si>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</si>
  <si>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</si>
  <si>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</si>
  <si>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</si>
  <si>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</si>
  <si>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</si>
  <si>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</si>
  <si>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</si>
  <si>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</si>
  <si>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</si>
  <si>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</si>
  <si>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</si>
  <si>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</si>
  <si>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</si>
  <si>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</si>
  <si>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</si>
  <si>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</si>
  <si>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</si>
  <si>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</si>
  <si>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</si>
  <si>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</si>
  <si>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</si>
  <si>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</si>
  <si>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</si>
  <si>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</si>
  <si>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</si>
  <si>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</si>
  <si>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</si>
  <si>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</si>
  <si>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</si>
  <si>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</si>
  <si>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</si>
  <si>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</si>
  <si>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</si>
  <si>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</si>
  <si>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</si>
  <si>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</si>
  <si>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</si>
  <si>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</si>
  <si>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</si>
  <si>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</si>
  <si>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</si>
  <si>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</si>
  <si>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</si>
  <si>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</si>
  <si>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</si>
  <si>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</si>
  <si>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</si>
  <si>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</si>
  <si>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</si>
  <si>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</si>
  <si>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</si>
  <si>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</si>
  <si>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</si>
  <si>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</si>
  <si>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</si>
  <si>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</si>
  <si>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</si>
  <si>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</si>
  <si>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</si>
  <si>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</si>
  <si>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</si>
  <si>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</si>
  <si>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</si>
  <si>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</si>
  <si>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</si>
  <si>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</si>
  <si>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</si>
  <si>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</si>
  <si>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</si>
  <si>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</si>
  <si>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</si>
  <si>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</si>
  <si>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</si>
  <si>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</si>
  <si>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</si>
  <si>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</si>
  <si>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</si>
  <si>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</si>
  <si>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</si>
  <si>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</si>
  <si>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</si>
  <si>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</si>
  <si>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</si>
  <si>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</si>
  <si>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</si>
  <si>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</si>
  <si>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</si>
  <si>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</si>
  <si>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</si>
  <si>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</si>
  <si>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</si>
  <si>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</si>
  <si>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</si>
  <si>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</si>
  <si>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</si>
  <si>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</si>
  <si>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</si>
  <si>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</si>
  <si>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</si>
  <si>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</si>
  <si>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</si>
  <si>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</si>
  <si>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</si>
  <si>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</si>
  <si>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</si>
  <si>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</si>
  <si>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</si>
  <si>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</si>
  <si>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</si>
  <si>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</si>
  <si>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</si>
  <si>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</si>
  <si>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</si>
  <si>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</si>
  <si>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</si>
  <si>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</si>
  <si>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</si>
  <si>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</si>
  <si>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</si>
  <si>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</si>
  <si>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</si>
  <si>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</si>
  <si>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</si>
  <si>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</si>
  <si>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</si>
  <si>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</si>
  <si>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</si>
  <si>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</si>
  <si>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</si>
  <si>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</si>
  <si>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</si>
  <si>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</si>
  <si>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</si>
  <si>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</si>
  <si>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</si>
  <si>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</si>
  <si>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</si>
  <si>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</si>
  <si>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</si>
  <si>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</si>
  <si>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</si>
  <si>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</si>
  <si>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</si>
  <si>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</si>
  <si>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</si>
  <si>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</si>
  <si>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</si>
  <si>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</si>
  <si>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</si>
  <si>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</si>
  <si>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</si>
  <si>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</si>
  <si>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</si>
  <si>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</si>
  <si>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</si>
  <si>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</si>
  <si>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</si>
  <si>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</si>
  <si>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</si>
  <si>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</si>
  <si>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</si>
  <si>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</si>
  <si>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</si>
  <si>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</si>
  <si>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</si>
  <si>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</si>
  <si>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</si>
  <si>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</si>
  <si>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</si>
  <si>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</si>
  <si>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</si>
  <si>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</si>
  <si>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</si>
  <si>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</si>
  <si>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</si>
  <si>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</si>
  <si>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</si>
  <si>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</si>
  <si>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</si>
  <si>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</si>
  <si>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</si>
  <si>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</si>
  <si>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</si>
  <si>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</si>
  <si>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</si>
  <si>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</si>
  <si>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</si>
  <si>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</si>
  <si>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</si>
  <si>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</si>
  <si>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</si>
  <si>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</si>
  <si>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</si>
  <si>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</si>
  <si>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</si>
  <si>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</si>
  <si>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</si>
  <si>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</si>
  <si>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</si>
  <si>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</si>
  <si>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</si>
  <si>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</si>
  <si>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</si>
  <si>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</si>
  <si>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</si>
  <si>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</si>
  <si>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</si>
  <si>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</si>
  <si>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</si>
  <si>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</si>
  <si>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</si>
  <si>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</si>
  <si>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</si>
  <si>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</si>
  <si>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</si>
  <si>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</si>
  <si>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</si>
  <si>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</si>
  <si>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</si>
  <si>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</si>
  <si>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</si>
  <si>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</si>
  <si>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</si>
  <si>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</si>
  <si>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</si>
  <si>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</si>
  <si>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</si>
  <si>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</si>
  <si>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</si>
  <si>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</si>
  <si>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</si>
  <si>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</si>
  <si>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</si>
  <si>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</si>
  <si>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</si>
  <si>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</si>
  <si>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</si>
  <si>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</si>
  <si>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</si>
  <si>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</si>
  <si>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</si>
  <si>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</si>
  <si>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</si>
  <si>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</si>
  <si>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</si>
  <si>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</si>
  <si>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</si>
  <si>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</si>
  <si>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</si>
  <si>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</si>
  <si>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</si>
  <si>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</si>
  <si>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</si>
  <si>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</si>
  <si>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</si>
  <si>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</si>
  <si>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</si>
  <si>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</si>
  <si>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</si>
  <si>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</si>
  <si>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</si>
  <si>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</si>
  <si>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</si>
  <si>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</si>
  <si>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</si>
  <si>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</si>
  <si>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</si>
  <si>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</si>
  <si>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</si>
  <si>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</si>
  <si>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</si>
  <si>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</si>
  <si>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</si>
  <si>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</si>
  <si>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</si>
  <si>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</si>
  <si>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</si>
  <si>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</si>
  <si>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</si>
  <si>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</si>
  <si>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</si>
  <si>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</si>
  <si>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</si>
  <si>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</si>
  <si>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</si>
  <si>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</si>
  <si>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</si>
  <si>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</si>
  <si>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</si>
  <si>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</si>
  <si>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</si>
  <si>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</si>
  <si>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</si>
  <si>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</si>
  <si>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</si>
  <si>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</si>
  <si>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</si>
  <si>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</si>
  <si>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</si>
  <si>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</si>
  <si>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</si>
  <si>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</si>
  <si>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</si>
  <si>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</si>
  <si>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</si>
  <si>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</si>
  <si>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</si>
  <si>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</si>
  <si>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</si>
  <si>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</si>
  <si>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</si>
  <si>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</si>
  <si>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</si>
  <si>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</si>
  <si>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</si>
  <si>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</si>
  <si>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</si>
  <si>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</si>
  <si>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</si>
  <si>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</si>
  <si>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</si>
  <si>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</si>
  <si>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</si>
  <si>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NII</t>
  </si>
  <si>
    <t>IN CUSTODY</t>
  </si>
  <si>
    <t>DISCHARGED</t>
  </si>
  <si>
    <t>DISCHARGES FOR MAY 2026: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</si>
  <si>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</si>
  <si>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</si>
  <si>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</si>
  <si>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</si>
  <si>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</si>
  <si>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</si>
  <si>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</si>
  <si>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</si>
  <si>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</si>
  <si>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</si>
  <si>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</si>
  <si>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</si>
  <si>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</si>
  <si>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</si>
  <si>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</si>
  <si>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</si>
  <si>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</si>
  <si>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</si>
  <si>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</si>
  <si>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</si>
  <si>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</si>
  <si>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</si>
  <si>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</si>
  <si>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</si>
  <si>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</si>
  <si>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</si>
  <si>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</si>
  <si>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</si>
  <si>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</si>
  <si>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</si>
  <si>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</si>
  <si>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345</t>
  </si>
  <si>
    <t>Akosua Pomaah</t>
  </si>
  <si>
    <t>Asirifi Darkwah</t>
  </si>
  <si>
    <t>346</t>
  </si>
  <si>
    <t>DEPOSITS FOR MAY 2026: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</si>
  <si>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</si>
  <si>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</si>
  <si>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</si>
  <si>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</si>
  <si>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</si>
  <si>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</si>
  <si>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</si>
  <si>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</si>
  <si>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</si>
  <si>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</si>
  <si>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</si>
  <si>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TAG 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</si>
</sst>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49" fontId="38" fillId="10" borderId="0" xfId="0" quotePrefix="1" applyNumberFormat="1" applyFont="1" applyFill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32" fillId="0" borderId="0" xfId="0" applyNumberFormat="1" applyFont="1" applyAlignment="1">
      <alignment horizontal="center" vertical="center" wrapText="1"/>
    </xf>
    <xf numFmtId="170" fontId="32" fillId="0" borderId="0" xfId="0" applyNumberFormat="1" applyFont="1" applyAlignment="1">
      <alignment horizontal="center" vertical="center"/>
    </xf>
    <xf numFmtId="172" fontId="32" fillId="0" borderId="0" xfId="0" applyNumberFormat="1" applyFont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12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numFmt numFmtId="170" formatCode="&quot;GH₵&quot;#,##0.00"/>
    </dxf>
    <dxf>
      <numFmt numFmtId="167" formatCode="[$GHC]\ #,##0.00"/>
    </dxf>
    <dxf>
      <numFmt numFmtId="172" formatCode="00000000"/>
    </dxf>
    <dxf>
      <numFmt numFmtId="172" formatCode="00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11"/>
      <tableStyleElement type="headerRow" dxfId="210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54</c:v>
                </c:pt>
                <c:pt idx="1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09"/>
    <tableColumn id="4" xr3:uid="{E7D7CFB8-28A0-4520-9466-FBE7CF159AF6}" name="AGE" dataDxfId="208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51" totalsRowCount="1" headerRowDxfId="171" dataDxfId="170" totalsRowDxfId="169">
  <autoFilter ref="A1:X350" xr:uid="{7BF9282B-593A-4C7C-B7AA-9629A5A229FE}">
    <filterColumn colId="10">
      <filters calendarType="gregorian">
        <dateGroupItem year="2026" month="5" day="29" dateTimeGrouping="day"/>
      </filters>
    </filterColumn>
  </autoFilter>
  <tableColumns count="24">
    <tableColumn id="1" xr3:uid="{C37D3FC5-983A-48D2-A3ED-92683F18BDCB}" name="TAG NO." totalsRowLabel="Total" dataDxfId="168" totalsRowDxfId="22"/>
    <tableColumn id="2" xr3:uid="{725C0885-8F2E-4DAD-8E53-7D44ABF91339}" name="NAME OF DECEASED" dataDxfId="167" totalsRowDxfId="21"/>
    <tableColumn id="15" xr3:uid="{220D8CB0-EFC6-44BD-80F2-519CB992090B}" name="AGE" dataDxfId="166" totalsRowDxfId="20"/>
    <tableColumn id="17" xr3:uid="{84BF7D9E-373C-4A75-B834-A37ED6717214}" name="GENDER" dataDxfId="165" totalsRowDxfId="19"/>
    <tableColumn id="3" xr3:uid="{73C4D7AA-2091-4C0E-89FB-A82A7142312E}" name="NAME OF RELATIVE" dataDxfId="164" totalsRowDxfId="18"/>
    <tableColumn id="12" xr3:uid="{CB30D50B-7DD3-47F9-AF11-18C7A2AF6E9F}" name="RELATIVE'S CONTACT" dataDxfId="163" totalsRowDxfId="17"/>
    <tableColumn id="6" xr3:uid="{C9750102-D280-4D04-BB3D-AB87E968A53A}" name="PLACE" dataDxfId="162" totalsRowDxfId="16"/>
    <tableColumn id="7" xr3:uid="{0EADA21E-A027-4012-A2AF-E87012325E1B}" name="ADMISSION TIME" dataDxfId="161" totalsRowDxfId="15"/>
    <tableColumn id="14" xr3:uid="{40026914-DA5D-4379-91FC-9EE1EF7877D9}" name="Column1" dataDxfId="160" totalsRowDxfId="14"/>
    <tableColumn id="4" xr3:uid="{B7C33396-721F-447D-BA68-A9118871F798}" name="ADMISSION DATE" dataDxfId="159" totalsRowDxfId="13"/>
    <tableColumn id="13" xr3:uid="{C97A4245-C6E4-465E-AE9D-9DABE5DB26DE}" name="DISCHARGE DATE" dataDxfId="158" totalsRowDxfId="12"/>
    <tableColumn id="16" xr3:uid="{635D9BE4-39F4-4346-B552-9D87A4057D61}" name="STORAGE DAYS" dataDxfId="157"/>
    <tableColumn id="8" xr3:uid="{8650C8BC-6FDF-427C-B661-273C77DD39B2}" name="EMBALMING FEE" totalsRowFunction="sum" dataDxfId="156" totalsRowDxfId="11"/>
    <tableColumn id="9" xr3:uid="{84E7463E-6A72-4739-B0F0-2FDB0BC33342}" name="COLDROOM FEE" totalsRowFunction="sum" dataDxfId="155" totalsRowDxfId="10"/>
    <tableColumn id="10" xr3:uid="{55F3762A-4A02-447D-B11A-70289DDC64CF}" name="EMBALMING RECEIPT" dataDxfId="154" totalsRowDxfId="9"/>
    <tableColumn id="11" xr3:uid="{E27BAA51-827A-40D9-BE4A-4EA35AFB60F8}" name="COLDROOM RECEIPT" dataDxfId="153" totalsRowDxfId="8"/>
    <tableColumn id="18" xr3:uid="{A59FF3A7-A860-4CC7-B316-69002D187DDD}" name="STORAGE FEE" totalsRowFunction="sum" dataDxfId="152" totalsRowDxfId="7">
      <calculatedColumnFormula>IF(DATA[[#This Row],[Column1]]="Normal", 13 * DATA[[#This Row],[STORAGE DAYS]], 20 * DATA[[#This Row],[STORAGE DAYS]])</calculatedColumnFormula>
    </tableColumn>
    <tableColumn id="19" xr3:uid="{BD8699DA-B274-42F6-9EDB-32456905322B}" name="DIFFERENCE" totalsRowFunction="sum" dataDxfId="151" totalsRowDxfId="6">
      <calculatedColumnFormula>DATA[[#This Row],[COLDROOM FEE]]-DATA[[#This Row],[STORAGE FEE]]</calculatedColumnFormula>
    </tableColumn>
    <tableColumn id="5" xr3:uid="{77C43F09-9DE4-4A7E-8245-804A3CE8CDC8}" name="STATUS" dataDxfId="150" totalsRowDxfId="5">
      <calculatedColumnFormula>IF(ISBLANK(DATA[[#This Row],[COLDROOM RECEIPT]]), "IN CUSTODY", "DISCHARGED")</calculatedColumnFormula>
    </tableColumn>
    <tableColumn id="20" xr3:uid="{AAA21E3F-DD59-4C58-8AEF-6E45B181C731}" name="CASES" dataDxfId="149" totalsRowDxfId="4">
      <calculatedColumnFormula>COUNTA(A:A)-2</calculatedColumnFormula>
    </tableColumn>
    <tableColumn id="21" xr3:uid="{CF990429-B65F-45B6-84F8-3EA7FE0EECC4}" name="YEAR" dataDxfId="148" totalsRowDxfId="3"/>
    <tableColumn id="22" xr3:uid="{D8BF93E9-C2A8-4580-A65B-77F55EB92D39}" name="MONTH" dataDxfId="147" totalsRowDxfId="2"/>
    <tableColumn id="23" xr3:uid="{BDBCF555-239C-4D57-BAA9-D94E4A27217A}" name="YEAR1" dataDxfId="146" totalsRowDxfId="1"/>
    <tableColumn id="24" xr3:uid="{901E9F9B-93E3-411E-8E07-FF532B5BA70B}" name="YEAR2" dataDxfId="145" totalsRowDxfId="0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D15450-0776-4408-ACA8-F7A32980FC93}" name="DepositsTable" displayName="DepositsTable" ref="A3:X19" totalsRowShown="0">
  <autoFilter ref="A3:X19" xr:uid="{89D15450-0776-4408-ACA8-F7A32980FC93}"/>
  <tableColumns count="24">
    <tableColumn id="1" xr3:uid="{B44677A3-F525-403F-8EF0-4FFACB445606}" name="Column1"/>
    <tableColumn id="2" xr3:uid="{B666F7AA-3770-44D6-882B-F21029685A06}" name="Column2"/>
    <tableColumn id="3" xr3:uid="{0596C97A-0775-4E0C-9B91-F0B08492F99D}" name="Column3"/>
    <tableColumn id="4" xr3:uid="{3BFF9BA3-E39C-4419-84CF-D1BA46603E63}" name="Column4"/>
    <tableColumn id="5" xr3:uid="{00AF2DEB-8126-449D-8BB5-A5E31EBC2563}" name="Column5"/>
    <tableColumn id="6" xr3:uid="{70C5AC6D-3D0B-4A23-8999-0DB3975C700E}" name="Column6"/>
    <tableColumn id="7" xr3:uid="{041E3473-7A32-4954-8D83-990730C74CD0}" name="Column7"/>
    <tableColumn id="8" xr3:uid="{A52E78D0-4528-4638-82D2-7FD3F4221E94}" name="Column8"/>
    <tableColumn id="9" xr3:uid="{ADDB6557-1766-49CE-8139-EA7595111914}" name="Column9"/>
    <tableColumn id="10" xr3:uid="{85A97725-C2A0-44BA-93F1-E556FD81D967}" name="Column10"/>
    <tableColumn id="11" xr3:uid="{F01D0145-8CAE-4EF4-AB24-CD59D8DC6566}" name="Column11"/>
    <tableColumn id="12" xr3:uid="{FD57AFF7-55FB-4865-91A6-676485FC9F7E}" name="Column12"/>
    <tableColumn id="13" xr3:uid="{45598EDA-520B-4169-AD00-F5BCD144804B}" name="Column13"/>
    <tableColumn id="14" xr3:uid="{9D8EAC86-F62A-4FAE-8D50-D29C0FF5E99B}" name="Column14"/>
    <tableColumn id="15" xr3:uid="{1034635F-D851-4FA7-ACA0-9ED13127106B}" name="Column15"/>
    <tableColumn id="16" xr3:uid="{7B50147F-DE54-4E18-87FA-184667C22082}" name="Column16"/>
    <tableColumn id="17" xr3:uid="{9D53403B-9643-49F4-9AA7-D3E6660A6F02}" name="Column17"/>
    <tableColumn id="18" xr3:uid="{9348E827-E560-4470-96BD-CE28DE5992F8}" name="Column18"/>
    <tableColumn id="19" xr3:uid="{B90771D4-B8CC-4B78-B982-696FE1585B67}" name="Column19"/>
    <tableColumn id="20" xr3:uid="{B778F468-84F2-4463-A4AE-9209712D3164}" name="Column20"/>
    <tableColumn id="21" xr3:uid="{BA80D59A-8CA0-437F-99CD-29F24FD007AB}" name="Column21"/>
    <tableColumn id="22" xr3:uid="{5C07F0FA-02FD-454A-BBC4-D292D30222A4}" name="Column22"/>
    <tableColumn id="23" xr3:uid="{2138DB2A-F958-4A85-B589-B4D2463A2639}" name="Column23"/>
    <tableColumn id="24" xr3:uid="{78C6F515-65CC-47A4-9D78-96BE039A7C7C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4EFC0D-F1FF-49C9-B334-7F2F3A82FD26}" name="DischargesTable" displayName="DischargesTable" ref="A3:X32" totalsRowShown="0">
  <autoFilter ref="A3:X32" xr:uid="{C84EFC0D-F1FF-49C9-B334-7F2F3A82FD26}"/>
  <tableColumns count="24">
    <tableColumn id="1" xr3:uid="{1488B7BC-BF31-46B6-8053-C512194E1472}" name="Column1"/>
    <tableColumn id="2" xr3:uid="{F4672EEE-6347-46A1-82E9-446CE0DC916C}" name="Column2"/>
    <tableColumn id="3" xr3:uid="{1CD79551-7DD1-4054-93A8-3D23D15C2D07}" name="Column3"/>
    <tableColumn id="4" xr3:uid="{C5250537-A49A-453C-B765-8A1FFC576CDE}" name="Column4"/>
    <tableColumn id="5" xr3:uid="{2DAD39E0-6B4A-4160-AB2F-418CD32854E3}" name="Column5"/>
    <tableColumn id="6" xr3:uid="{539F242F-DF77-4442-81BE-CCEEEF240FC4}" name="Column6"/>
    <tableColumn id="7" xr3:uid="{F3D3F78A-A024-48B9-BEAC-B3FD0D70B0F7}" name="Column7"/>
    <tableColumn id="8" xr3:uid="{44B78E96-E7E7-4A1D-B448-D2C5069E14F7}" name="Column8"/>
    <tableColumn id="9" xr3:uid="{7F0334BA-B778-4973-A088-1FEFDF555299}" name="Column9"/>
    <tableColumn id="10" xr3:uid="{EC307B2A-B48A-4C9A-808A-F60CFB475115}" name="Column10"/>
    <tableColumn id="11" xr3:uid="{07B33C32-291E-4C9E-9FE3-6A1364AD1774}" name="Column11"/>
    <tableColumn id="12" xr3:uid="{F8B50977-406D-464C-8E59-D8264F20152E}" name="Column12"/>
    <tableColumn id="13" xr3:uid="{8A83FB5A-9B77-41AA-95B1-825C5B40E1B8}" name="Column13"/>
    <tableColumn id="14" xr3:uid="{72F255BB-F6D9-46BD-AA85-7B8CF5F3E9D9}" name="Column14"/>
    <tableColumn id="15" xr3:uid="{8BF21309-7FC6-419B-A667-800396F4F3B0}" name="Column15"/>
    <tableColumn id="16" xr3:uid="{1E495263-47FD-4E1B-B37E-C1FF6D64A703}" name="Column16"/>
    <tableColumn id="17" xr3:uid="{8E6C72F7-2E1E-4799-8C57-AAEEC00024A1}" name="Column17"/>
    <tableColumn id="18" xr3:uid="{E767C0DA-11AE-4BB1-9BAB-E786FBE6BA98}" name="Column18"/>
    <tableColumn id="19" xr3:uid="{5132EC07-E73F-4B74-90DB-3E2E3C6D266E}" name="Column19"/>
    <tableColumn id="20" xr3:uid="{DB3AB791-6DCD-4F87-B34C-1AB8BE934CD0}" name="Column20"/>
    <tableColumn id="21" xr3:uid="{FA3C6AEA-6332-4317-A55A-CE97CF10EF25}" name="Column21"/>
    <tableColumn id="22" xr3:uid="{96AC7A51-E05B-4E9A-B034-0617AF50F1DD}" name="Column22"/>
    <tableColumn id="23" xr3:uid="{1D8C38C5-0C72-44C7-B610-EB8A902E3C79}" name="Column23"/>
    <tableColumn id="24" xr3:uid="{728E6A30-1357-4462-BFF4-84E2928ECA1E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28"/>
    <tableColumn id="5" xr3:uid="{9F6A4E68-F44C-404B-8DD7-C34DF2BA8A52}" name="AMOUNT" totalsRowFunction="sum" dataDxfId="127" totalsRowDxfId="126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25" tableBorderDxfId="124">
  <autoFilter ref="A1:E7" xr:uid="{42FD75D5-D758-4B62-AFC5-9C90A71C977B}"/>
  <tableColumns count="5">
    <tableColumn id="1" xr3:uid="{6C5733AC-519F-4A8C-ADE5-01DF1AEBA599}" name="DATE" totalsRowLabel="Total" dataDxfId="123" totalsRowDxfId="122"/>
    <tableColumn id="2" xr3:uid="{C7383B7D-3658-47DF-A882-FB4DFBFAD868}" name="DETAILS" dataDxfId="121" totalsRowDxfId="120"/>
    <tableColumn id="3" xr3:uid="{217C6DB1-4A83-4D2B-9E66-FAFA7C4D8CBB}" name="QUANTITY" dataDxfId="119" totalsRowDxfId="118"/>
    <tableColumn id="4" xr3:uid="{3F0C0F55-065A-4BBD-95FC-A141712E25FE}" name="UNIT PRICE" dataDxfId="117" totalsRowDxfId="116"/>
    <tableColumn id="5" xr3:uid="{E94BBDFB-E1BF-43E3-A50D-9CE069BEFF43}" name="AMOUNT" totalsRowFunction="sum" dataDxfId="115" totalsRowDxfId="114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113" tableBorderDxfId="112">
  <autoFilter ref="G1:K3" xr:uid="{FE84A27C-6285-4BC3-A068-0177F18E013B}"/>
  <tableColumns count="5">
    <tableColumn id="1" xr3:uid="{275F540F-454A-40DC-B0E5-07C36513F261}" name="DATE" totalsRowLabel="Total" dataDxfId="111" totalsRowDxfId="110"/>
    <tableColumn id="2" xr3:uid="{7DED7070-8FBC-48A3-BA79-B43DAC75294E}" name="DETAILS" dataDxfId="109" totalsRowDxfId="108"/>
    <tableColumn id="3" xr3:uid="{67EC0CE2-F1A1-43F8-A008-D69CE9EC1F5C}" name="QUANTITY" dataDxfId="107" totalsRowDxfId="106"/>
    <tableColumn id="4" xr3:uid="{2810BA09-5364-47D8-91BE-1FE3D1F179D7}" name="UNIT PRICE" dataDxfId="105" totalsRowDxfId="104"/>
    <tableColumn id="5" xr3:uid="{7233BD08-20DA-41AD-8B6D-9A8107ED0273}" name="AMOUNT" totalsRowFunction="sum" dataDxfId="103" totalsRowDxfId="102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01" totalsRowDxfId="100"/>
    <tableColumn id="3" xr3:uid="{8099DD5C-DD64-4D55-B440-ECA386A1E38E}" name="PAID" totalsRowFunction="sum" dataDxfId="99" totalsRowDxfId="98"/>
    <tableColumn id="4" xr3:uid="{C6FDFA45-551A-41D3-BB6B-AE7FD4FED160}" name="BALANCE" totalsRowFunction="sum" totalsRowDxfId="97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96" totalsRowDxfId="95"/>
    <tableColumn id="3" xr3:uid="{8BA05948-B466-470B-921B-E935C19B53FB}" name="DEDUCTIONS" dataDxfId="94"/>
    <tableColumn id="6" xr3:uid="{3C67051D-6A7F-401E-BB52-A43497DFCF5B}" name="DATE" dataDxfId="93" totalsRowDxfId="92"/>
    <tableColumn id="4" xr3:uid="{1F1DF098-4869-4BC4-A13B-B8422F69C6A7}" name="AMOUNT2" totalsRowFunction="sum" totalsRowDxfId="91"/>
    <tableColumn id="7" xr3:uid="{087F023F-DE19-4CF6-A1E5-1658AA89A414}" name="BALANCE" totalsRowFunction="custom" totalsRowDxfId="90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89" tableBorderDxfId="88" totalsRowBorderDxfId="87">
  <autoFilter ref="G3:H5" xr:uid="{A862FC94-E9C2-4A83-9299-2A05AE5264AD}"/>
  <tableColumns count="2">
    <tableColumn id="1" xr3:uid="{83963E96-5D8A-4F23-9574-53436BF6CEC6}" name="DESCRIPTION" totalsRowLabel="Total" dataDxfId="86"/>
    <tableColumn id="2" xr3:uid="{880AE7D4-0A31-4FA8-A340-9E38F71F0019}" name="REVENUE" totalsRowFunction="sum" totalsRowDxfId="8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84" totalsRowDxfId="83">
  <autoFilter ref="I3:J5" xr:uid="{0D0797C0-441D-436B-B273-0DB3B8C0DB11}"/>
  <tableColumns count="2">
    <tableColumn id="1" xr3:uid="{0ADCA718-F69A-4D8F-B43F-7B5E7BB91D52}" name="EXPENSES" totalsRowFunction="sum" dataDxfId="82" totalsRowDxfId="81"/>
    <tableColumn id="2" xr3:uid="{43C3AAAC-3AB5-4211-9E0A-C43590BAEC07}" name="BALANCE" totalsRowFunction="sum" dataDxfId="80" totalsRowDxfId="79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78"/>
    <tableColumn id="2" xr3:uid="{1460B988-6205-4EF5-937E-F3A0A4240BAC}" name="Column2" dataDxfId="77"/>
    <tableColumn id="3" xr3:uid="{D4FAE8B8-4608-4B8B-9F17-37C21F76713C}" name="Column1"/>
    <tableColumn id="4" xr3:uid="{1402AD6A-2F64-4E38-A830-71161123FC6D}" name="EXPENSES" dataDxfId="76"/>
    <tableColumn id="5" xr3:uid="{E5C4C6C7-DD72-41A7-BFB0-E8C15C3B0000}" name="Column5" dataDxfId="7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74">
  <autoFilter ref="A1:C13" xr:uid="{BCC0BBDB-C41A-4962-9049-BED618DAABB1}"/>
  <tableColumns count="3">
    <tableColumn id="1" xr3:uid="{0D0721E0-EB6E-4D25-9A72-E729EB5D4867}" name="TAG NUMBER" totalsRowLabel="Total" dataDxfId="73" totalsRowDxfId="7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71">
  <autoFilter ref="E1:G16" xr:uid="{E290F8E4-537A-4998-9790-1D6945BFCDDE}"/>
  <tableColumns count="3">
    <tableColumn id="1" xr3:uid="{1798A446-94AC-46AF-901E-DA0B3D092CB6}" name="TAG NUMBER" totalsRowLabel="Total" dataDxfId="70" totalsRowDxfId="6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68">
  <autoFilter ref="I1:K16" xr:uid="{F24F9438-1170-435B-8F18-67AAD38D9246}"/>
  <tableColumns count="3">
    <tableColumn id="1" xr3:uid="{3195C186-459C-42E4-945A-8E05CD7DC0A4}" name="TAG NUMBER" totalsRowLabel="Total" dataDxfId="67" totalsRowDxfId="66"/>
    <tableColumn id="2" xr3:uid="{558FCAA5-4937-4EA1-A47D-9D46AF74517F}" name="DATE" dataDxfId="65"/>
    <tableColumn id="3" xr3:uid="{71E01975-97F3-4D62-9DCA-0806E1B1176A}" name="NUMBER" totalsRowFunction="sum" dataDxfId="64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63">
  <autoFilter ref="M1:O14" xr:uid="{3EEDC096-302D-4901-B20B-D40873387824}"/>
  <tableColumns count="3">
    <tableColumn id="1" xr3:uid="{EC6027CE-641D-43C8-B736-DF55402D4758}" name="TAG NUMBER" totalsRowLabel="Total" dataDxfId="62" totalsRowDxfId="61"/>
    <tableColumn id="2" xr3:uid="{9EB25827-E873-4BB2-82B0-E89823BCFD37}" name="DATE" dataDxfId="60"/>
    <tableColumn id="3" xr3:uid="{3F417B97-8555-473F-96AD-64B892344F7F}" name="NUMBER" totalsRowFunction="sum" dataDxfId="59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58">
  <autoFilter ref="Q1:S14" xr:uid="{24D83A21-1022-4EF1-B23D-23A57D13834C}"/>
  <tableColumns count="3">
    <tableColumn id="1" xr3:uid="{2ED22212-2BA5-467E-9121-5B81B0D5F87C}" name="TAG NUMBER" totalsRowLabel="Total" dataDxfId="57" totalsRowDxfId="56"/>
    <tableColumn id="2" xr3:uid="{FF213B95-3CCF-49DF-97A9-889CB2B8D5EA}" name="DATE" dataDxfId="55"/>
    <tableColumn id="3" xr3:uid="{C24FE5BC-34F8-4FF2-A812-B11AD0FD69F4}" name="NUMBER" totalsRowFunction="sum" dataDxfId="54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4" totalsRowCount="1" tableBorderDxfId="53">
  <autoFilter ref="U1:W13" xr:uid="{1B406F84-17C1-4A37-B30F-7750799E9C9E}"/>
  <tableColumns count="3">
    <tableColumn id="1" xr3:uid="{3A456A61-F39B-4E66-8104-6834DB3D2F5A}" name="TAG NUMBER" totalsRowLabel="Total" dataDxfId="52" totalsRowDxfId="51"/>
    <tableColumn id="2" xr3:uid="{AAA0746B-2CF9-4456-9E99-574E2938E997}" name="DATE"/>
    <tableColumn id="3" xr3:uid="{48B61DB4-740B-4D4A-B1E2-BAC6A75D93DB}" name="NUMBER" totalsRowFunction="sum" dataDxfId="50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4" totalsRowCount="1" tableBorderDxfId="49">
  <autoFilter ref="Y1:AA13" xr:uid="{C5EA61D8-764A-416C-AA0D-E3311B8CA5D7}"/>
  <tableColumns count="3">
    <tableColumn id="1" xr3:uid="{8CBE15E5-FE1B-4607-A485-B0D3BEF533B3}" name="TAG NUMBER" totalsRowLabel="Total" dataDxfId="48" totalsRowDxfId="47"/>
    <tableColumn id="2" xr3:uid="{48781F1A-9208-4507-9FE7-22E57FE9CC48}" name="DATE"/>
    <tableColumn id="3" xr3:uid="{FF8C9565-8E62-4669-B085-08D9F54790A7}" name="NUMBER" totalsRowFunction="sum" dataDxfId="46"/>
  </tableColumns>
  <tableStyleInfo name="TableStyleLight1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2" totalsRowCount="1" headerRowDxfId="45" tableBorderDxfId="44">
  <autoFilter ref="A2:H31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43"/>
    <tableColumn id="5" xr3:uid="{19BB4E9C-7CAD-45FA-BF80-76294E7E7839}" name="DAYS" dataDxfId="42" totalsRowDxfId="41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40" totalsRowDxfId="39">
      <calculatedColumnFormula>Table9[[#This Row],[DAYS]]*20</calculatedColumnFormula>
    </tableColumn>
    <tableColumn id="7" xr3:uid="{C4CBF79A-A552-4B1F-8067-20CC21D65BD7}" name="REAL" totalsRowFunction="sum" dataDxfId="38" totalsRowDxfId="37">
      <calculatedColumnFormula>Table9[[#This Row],[DAYS]]*13</calculatedColumnFormula>
    </tableColumn>
    <tableColumn id="8" xr3:uid="{237A2462-6F12-4CE7-A197-63CAC997D2C8}" name="DIFF" totalsRowFunction="sum" dataDxfId="36" totalsRowDxfId="35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34">
  <autoFilter ref="K2:L3" xr:uid="{B67C403A-A3D1-4A5E-A012-D609DB6D5279}"/>
  <tableColumns count="2">
    <tableColumn id="1" xr3:uid="{13396A08-691D-40E7-A4D1-37B74214E3CD}" name="SEALED" dataDxfId="33">
      <calculatedColumnFormula>H14+H13+H7+H6+Table9[[#This Row],[DIFF]]</calculatedColumnFormula>
    </tableColumn>
    <tableColumn id="2" xr3:uid="{83D56398-DF46-4D28-924B-4F7490656DAC}" name="EXPECTED" dataDxfId="32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31">
  <autoFilter ref="J2:J3" xr:uid="{477587E4-9ACA-4E79-8C3B-6BEA561DF9A0}"/>
  <tableColumns count="1">
    <tableColumn id="1" xr3:uid="{EC8FDD95-7F01-4C3D-91E2-52B23CB48A3C}" name="AVG" dataDxfId="30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29">
      <calculatedColumnFormula>H3+H4+H5+H6+Table9[[#This Row],[DIFF]]+H16+H9+H12+H13+H7+H10+H14</calculatedColumnFormula>
    </tableColumn>
    <tableColumn id="2" xr3:uid="{6515AABC-2B09-404C-B168-C1ECFB7675C4}" name="BALANCE" dataDxfId="28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27" totalsRowDxfId="26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25"/>
    <tableColumn id="3" xr3:uid="{D0F1C8F9-6D90-406C-9C8D-128F2931D994}" name="ANNUAL SALES" dataDxfId="24">
      <calculatedColumnFormula>B4*A4</calculatedColumnFormula>
    </tableColumn>
  </tableColumns>
  <tableStyleInfo name="TableStyleLight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23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1848</v>
      </c>
    </row>
    <row r="2" spans="1:1" x14ac:dyDescent="0.25">
      <c r="A2" s="10" t="s">
        <v>1849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5" customWidth="1"/>
    <col min="2" max="2" width="5" style="185" customWidth="1"/>
    <col min="3" max="4" width="9.140625" style="185"/>
    <col min="5" max="5" width="11.140625" style="185" customWidth="1"/>
    <col min="6" max="7" width="9.140625" style="185"/>
    <col min="8" max="8" width="48.42578125" style="185" bestFit="1" customWidth="1"/>
    <col min="9" max="9" width="54.5703125" style="185" bestFit="1" customWidth="1"/>
    <col min="10" max="16384" width="9.140625" style="185"/>
  </cols>
  <sheetData>
    <row r="1" spans="3:13" x14ac:dyDescent="0.25">
      <c r="C1" s="184"/>
      <c r="D1" s="184"/>
      <c r="E1" s="184"/>
      <c r="F1" s="184"/>
      <c r="G1" s="184"/>
      <c r="H1" s="184"/>
      <c r="I1" s="184"/>
      <c r="J1" s="184"/>
    </row>
    <row r="2" spans="3:13" x14ac:dyDescent="0.25">
      <c r="C2" s="184"/>
      <c r="D2" s="184"/>
      <c r="E2" s="184"/>
      <c r="F2" s="184"/>
      <c r="G2" s="184"/>
      <c r="H2" s="184"/>
      <c r="I2" s="184"/>
      <c r="J2" s="184"/>
    </row>
    <row r="3" spans="3:13" ht="15.75" thickBot="1" x14ac:dyDescent="0.3">
      <c r="C3" s="184"/>
      <c r="D3" s="184"/>
      <c r="E3" s="184"/>
      <c r="F3" s="184"/>
      <c r="G3" s="184"/>
      <c r="H3" s="184"/>
      <c r="I3" s="184"/>
      <c r="J3" s="184"/>
    </row>
    <row r="4" spans="3:13" ht="15.75" thickBot="1" x14ac:dyDescent="0.3">
      <c r="G4" s="186"/>
      <c r="H4" s="187"/>
      <c r="I4" s="187"/>
      <c r="J4" s="188"/>
    </row>
    <row r="5" spans="3:13" ht="36.75" thickBot="1" x14ac:dyDescent="0.3">
      <c r="G5" s="189"/>
      <c r="H5" s="190" t="s">
        <v>0</v>
      </c>
      <c r="I5" s="72" t="s">
        <v>1286</v>
      </c>
      <c r="J5" s="191"/>
    </row>
    <row r="6" spans="3:13" x14ac:dyDescent="0.25">
      <c r="G6" s="189"/>
      <c r="H6" s="192"/>
      <c r="I6" s="192"/>
      <c r="J6" s="191"/>
    </row>
    <row r="7" spans="3:13" x14ac:dyDescent="0.25">
      <c r="G7" s="189"/>
      <c r="H7" s="192"/>
      <c r="I7" s="192"/>
      <c r="J7" s="191"/>
    </row>
    <row r="8" spans="3:13" x14ac:dyDescent="0.25">
      <c r="G8" s="189"/>
      <c r="H8" s="192"/>
      <c r="I8" s="192"/>
      <c r="J8" s="191"/>
    </row>
    <row r="9" spans="3:13" x14ac:dyDescent="0.25">
      <c r="G9" s="189"/>
      <c r="H9" s="192"/>
      <c r="I9" s="192"/>
      <c r="J9" s="191"/>
    </row>
    <row r="10" spans="3:13" x14ac:dyDescent="0.25">
      <c r="G10" s="189"/>
      <c r="H10" s="192"/>
      <c r="I10" s="192"/>
      <c r="J10" s="191"/>
    </row>
    <row r="11" spans="3:13" x14ac:dyDescent="0.25">
      <c r="G11" s="189"/>
      <c r="H11" s="192"/>
      <c r="I11" s="192"/>
      <c r="J11" s="191"/>
    </row>
    <row r="12" spans="3:13" x14ac:dyDescent="0.25">
      <c r="G12" s="189"/>
      <c r="H12" s="192"/>
      <c r="I12" s="192"/>
      <c r="J12" s="191"/>
      <c r="M12" s="185" t="s">
        <v>2</v>
      </c>
    </row>
    <row r="13" spans="3:13" x14ac:dyDescent="0.25">
      <c r="G13" s="189"/>
      <c r="H13" s="192"/>
      <c r="I13" s="192"/>
      <c r="J13" s="191"/>
    </row>
    <row r="14" spans="3:13" x14ac:dyDescent="0.25">
      <c r="D14" s="185" t="s">
        <v>2</v>
      </c>
      <c r="G14" s="189"/>
      <c r="H14" s="192"/>
      <c r="I14" s="192"/>
      <c r="J14" s="191"/>
    </row>
    <row r="15" spans="3:13" ht="15.75" thickBot="1" x14ac:dyDescent="0.3">
      <c r="D15" s="185" t="s">
        <v>2</v>
      </c>
      <c r="G15" s="193"/>
      <c r="H15" s="194"/>
      <c r="I15" s="194"/>
      <c r="J15" s="195"/>
    </row>
    <row r="170" spans="2:2" x14ac:dyDescent="0.25">
      <c r="B170" s="185" t="s">
        <v>3</v>
      </c>
    </row>
  </sheetData>
  <sheetProtection algorithmName="SHA-512" hashValue="0BJNnaBpgXBQuBKQ3rJwozK1HKCoeCt1+/rXcLqwf+ES+UElAxqKS3MI/bMf/fpldBRbK9KU6MvWmHlKQdW4yA==" saltValue="AHOXRWlnHVVQHkSG6l+/f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C14" sqref="C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1243</v>
      </c>
      <c r="B1" t="s">
        <v>1244</v>
      </c>
      <c r="C1" t="s">
        <v>1234</v>
      </c>
      <c r="D1" t="s">
        <v>44</v>
      </c>
      <c r="E1" t="s">
        <v>1245</v>
      </c>
      <c r="F1" t="s">
        <v>1246</v>
      </c>
      <c r="G1" t="s">
        <v>1247</v>
      </c>
      <c r="H1" t="s">
        <v>1248</v>
      </c>
      <c r="I1" t="s">
        <v>1249</v>
      </c>
      <c r="J1" t="s">
        <v>1235</v>
      </c>
      <c r="K1" t="s">
        <v>1250</v>
      </c>
    </row>
    <row r="2" spans="1:11" x14ac:dyDescent="0.25">
      <c r="A2">
        <v>1</v>
      </c>
      <c r="B2" t="s">
        <v>1254</v>
      </c>
      <c r="C2" s="14">
        <v>34346</v>
      </c>
      <c r="D2" s="14"/>
      <c r="E2" t="s">
        <v>1255</v>
      </c>
      <c r="F2" s="69">
        <v>552315639</v>
      </c>
      <c r="G2" s="71" t="s">
        <v>1257</v>
      </c>
      <c r="H2" t="s">
        <v>1256</v>
      </c>
      <c r="J2" t="s">
        <v>1240</v>
      </c>
    </row>
    <row r="3" spans="1:11" x14ac:dyDescent="0.25">
      <c r="A3">
        <v>2</v>
      </c>
      <c r="B3" t="s">
        <v>1251</v>
      </c>
      <c r="C3" s="14">
        <v>27611</v>
      </c>
      <c r="D3" s="14"/>
      <c r="E3" t="s">
        <v>1252</v>
      </c>
      <c r="F3" s="69">
        <v>240939859</v>
      </c>
      <c r="H3" t="s">
        <v>1256</v>
      </c>
      <c r="J3" t="s">
        <v>1242</v>
      </c>
    </row>
    <row r="4" spans="1:11" x14ac:dyDescent="0.25">
      <c r="A4">
        <v>3</v>
      </c>
      <c r="B4" t="s">
        <v>1239</v>
      </c>
      <c r="C4" s="14">
        <v>32122</v>
      </c>
      <c r="D4" s="14"/>
      <c r="E4" s="14" t="s">
        <v>1253</v>
      </c>
      <c r="F4" s="69">
        <v>545404111</v>
      </c>
      <c r="G4" s="71" t="s">
        <v>1267</v>
      </c>
      <c r="H4" t="s">
        <v>1256</v>
      </c>
      <c r="I4" s="14"/>
      <c r="J4" t="s">
        <v>1240</v>
      </c>
    </row>
    <row r="5" spans="1:11" x14ac:dyDescent="0.25">
      <c r="A5">
        <v>4</v>
      </c>
      <c r="B5" t="s">
        <v>1241</v>
      </c>
      <c r="C5" s="14">
        <v>32910</v>
      </c>
      <c r="D5" s="14"/>
      <c r="E5" s="14" t="s">
        <v>1253</v>
      </c>
      <c r="F5" s="69">
        <v>534708123</v>
      </c>
      <c r="G5" s="71" t="s">
        <v>1260</v>
      </c>
      <c r="H5" t="s">
        <v>1256</v>
      </c>
      <c r="J5" t="s">
        <v>1242</v>
      </c>
    </row>
    <row r="6" spans="1:11" ht="15.75" thickBot="1" x14ac:dyDescent="0.3"/>
    <row r="7" spans="1:11" ht="15.75" thickBot="1" x14ac:dyDescent="0.3">
      <c r="B7" s="172" t="s">
        <v>1457</v>
      </c>
      <c r="C7" s="173"/>
      <c r="D7" s="174"/>
    </row>
    <row r="8" spans="1:11" x14ac:dyDescent="0.25">
      <c r="B8" t="s">
        <v>1458</v>
      </c>
    </row>
    <row r="9" spans="1:11" x14ac:dyDescent="0.25">
      <c r="B9" t="s">
        <v>1459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9" sqref="D19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4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1934</v>
      </c>
    </row>
    <row r="4" spans="2:8" ht="15.75" thickBot="1" x14ac:dyDescent="0.3">
      <c r="E4" t="s">
        <v>1365</v>
      </c>
    </row>
    <row r="5" spans="2:8" ht="21.75" thickBot="1" x14ac:dyDescent="0.3">
      <c r="B5" s="2" t="s">
        <v>28</v>
      </c>
      <c r="C5" s="17" t="s">
        <v>1287</v>
      </c>
      <c r="E5" s="2" t="str">
        <f>DATA[[#Headers],[PLACE]]&amp; ":"</f>
        <v>PLACE:</v>
      </c>
      <c r="F5" s="17" t="s">
        <v>20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52</v>
      </c>
      <c r="E7" s="2" t="str">
        <f>DATA[[#Headers],[ADMISSION TIME]]&amp; ":"</f>
        <v>ADMISSION TIME:</v>
      </c>
      <c r="F7" s="19">
        <v>0.97916666666666663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5</v>
      </c>
      <c r="E9" s="2" t="str">
        <f>DATA[[#Headers],[Column1]]&amp; ":"</f>
        <v>Column1: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1288</v>
      </c>
      <c r="E11" s="2" t="str">
        <f>DATA[[#Headers],[ADMISSION DATE]]&amp; ":"</f>
        <v>ADMISSION DATE:</v>
      </c>
      <c r="F11" s="18">
        <v>45987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242261180</v>
      </c>
      <c r="E13" s="2" t="str">
        <f>DATA[[#Headers],[DISCHARGE DATE]]&amp; ":"</f>
        <v>DISCHARGE DATE:</v>
      </c>
      <c r="F13" s="18">
        <v>46168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1884</v>
      </c>
      <c r="E15" s="2" t="s">
        <v>32</v>
      </c>
      <c r="F15" s="92" t="s">
        <v>1534</v>
      </c>
    </row>
  </sheetData>
  <conditionalFormatting sqref="F9">
    <cfRule type="containsText" dxfId="207" priority="1" operator="containsText" text="VIP">
      <formula>NOT(ISERROR(SEARCH("VIP",F9)))</formula>
    </cfRule>
    <cfRule type="containsText" dxfId="206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B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30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1934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1287</v>
      </c>
      <c r="E5" s="2" t="s">
        <v>34</v>
      </c>
      <c r="F5" s="22">
        <v>182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DATA[[#Headers],[Column1]]&amp;":"</f>
        <v>Column1:</v>
      </c>
      <c r="C7" s="21" t="s">
        <v>10</v>
      </c>
      <c r="E7" s="2" t="s">
        <v>35</v>
      </c>
      <c r="F7" s="23">
        <v>2366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1503</v>
      </c>
      <c r="F9" s="23">
        <v>2816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  <c r="F11" s="107">
        <f>F9+150</f>
        <v>2966</v>
      </c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205" priority="1" operator="containsText" text="VIP">
      <formula>NOT(ISERROR(SEARCH("VIP",C7)))</formula>
    </cfRule>
    <cfRule type="containsText" dxfId="204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1159</v>
      </c>
      <c r="B3" s="13" t="s">
        <v>37</v>
      </c>
      <c r="C3" s="73">
        <v>1750</v>
      </c>
      <c r="E3" s="15" t="s">
        <v>1166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13"/>
  <sheetViews>
    <sheetView zoomScale="130" zoomScaleNormal="130" workbookViewId="0">
      <pane ySplit="1" topLeftCell="A237" activePane="bottomLeft" state="frozen"/>
      <selection activeCell="I5" sqref="I5"/>
      <selection pane="bottomLeft" activeCell="N293" sqref="N293"/>
    </sheetView>
  </sheetViews>
  <sheetFormatPr defaultRowHeight="17.25" x14ac:dyDescent="0.35"/>
  <cols>
    <col min="1" max="1" width="13.28515625" style="57" bestFit="1" customWidth="1"/>
    <col min="2" max="2" width="32.28515625" style="52" bestFit="1" customWidth="1"/>
    <col min="3" max="3" width="9.42578125" style="58" bestFit="1" customWidth="1"/>
    <col min="4" max="4" width="13.4257812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21.85546875" style="33" bestFit="1" customWidth="1"/>
    <col min="9" max="9" width="14" style="41" bestFit="1" customWidth="1"/>
    <col min="10" max="10" width="22.28515625" style="44" bestFit="1" customWidth="1"/>
    <col min="11" max="11" width="22.42578125" style="44" bestFit="1" customWidth="1"/>
    <col min="12" max="12" width="20.28515625" style="60" bestFit="1" customWidth="1"/>
    <col min="13" max="13" width="20.42578125" style="45" bestFit="1" customWidth="1"/>
    <col min="14" max="14" width="20.42578125" style="55" bestFit="1" customWidth="1"/>
    <col min="15" max="15" width="25" style="56" bestFit="1" customWidth="1"/>
    <col min="16" max="16" width="25" style="50" bestFit="1" customWidth="1"/>
    <col min="17" max="17" width="18" style="52" bestFit="1" customWidth="1"/>
    <col min="18" max="18" width="18.7109375" style="106" bestFit="1" customWidth="1"/>
    <col min="19" max="19" width="16.140625" style="54" bestFit="1" customWidth="1"/>
    <col min="20" max="20" width="11.5703125" bestFit="1" customWidth="1"/>
    <col min="21" max="21" width="10.28515625" bestFit="1" customWidth="1"/>
    <col min="22" max="22" width="12.42578125" style="111" bestFit="1" customWidth="1"/>
    <col min="23" max="23" width="11.28515625" bestFit="1" customWidth="1"/>
    <col min="24" max="24" width="11.28515625" style="111" bestFit="1" customWidth="1"/>
    <col min="25" max="26" width="9.140625" style="51"/>
    <col min="27" max="27" width="3.85546875" style="51" bestFit="1" customWidth="1"/>
    <col min="28" max="16384" width="9.140625" style="51"/>
  </cols>
  <sheetData>
    <row r="1" spans="1:24" s="76" customFormat="1" ht="28.5" customHeight="1" x14ac:dyDescent="0.25">
      <c r="A1" s="159" t="s">
        <v>42</v>
      </c>
      <c r="B1" s="160" t="s">
        <v>43</v>
      </c>
      <c r="C1" s="161" t="s">
        <v>44</v>
      </c>
      <c r="D1" s="162" t="s">
        <v>45</v>
      </c>
      <c r="E1" s="162" t="s">
        <v>46</v>
      </c>
      <c r="F1" s="162" t="s">
        <v>1227</v>
      </c>
      <c r="G1" s="162" t="s">
        <v>1551</v>
      </c>
      <c r="H1" s="163" t="s">
        <v>1258</v>
      </c>
      <c r="I1" s="159" t="s">
        <v>1444</v>
      </c>
      <c r="J1" s="164" t="s">
        <v>1259</v>
      </c>
      <c r="K1" s="165" t="s">
        <v>47</v>
      </c>
      <c r="L1" s="166" t="s">
        <v>48</v>
      </c>
      <c r="M1" s="167" t="s">
        <v>49</v>
      </c>
      <c r="N1" s="168" t="s">
        <v>50</v>
      </c>
      <c r="O1" s="169" t="s">
        <v>51</v>
      </c>
      <c r="P1" s="169" t="s">
        <v>52</v>
      </c>
      <c r="Q1" s="170" t="s">
        <v>53</v>
      </c>
      <c r="R1" s="167" t="s">
        <v>54</v>
      </c>
      <c r="S1" s="75" t="s">
        <v>55</v>
      </c>
      <c r="T1" s="75" t="s">
        <v>1511</v>
      </c>
      <c r="U1" s="75" t="s">
        <v>1512</v>
      </c>
      <c r="V1" s="75" t="s">
        <v>1513</v>
      </c>
      <c r="W1" s="75" t="s">
        <v>1514</v>
      </c>
      <c r="X1" s="75" t="s">
        <v>1515</v>
      </c>
    </row>
    <row r="2" spans="1:24" s="37" customFormat="1" ht="21" hidden="1" x14ac:dyDescent="0.25">
      <c r="A2" s="77" t="s">
        <v>56</v>
      </c>
      <c r="B2" s="78" t="s">
        <v>57</v>
      </c>
      <c r="C2" s="78">
        <v>85</v>
      </c>
      <c r="D2" s="79" t="s">
        <v>5</v>
      </c>
      <c r="E2" s="79" t="s">
        <v>1556</v>
      </c>
      <c r="F2" s="79" t="s">
        <v>1559</v>
      </c>
      <c r="G2" s="79" t="s">
        <v>27</v>
      </c>
      <c r="H2" s="81">
        <v>0.3125</v>
      </c>
      <c r="I2" s="79" t="s">
        <v>10</v>
      </c>
      <c r="J2" s="82">
        <v>45503</v>
      </c>
      <c r="K2" s="82">
        <v>45533</v>
      </c>
      <c r="L2" s="78">
        <f>IF(ISBLANK(DATA[[#This Row],[DISCHARGE DATE]]), "NO DATE", DATA[[#This Row],[DISCHARGE DATE]]-DATA[[#This Row],[ADMISSION DATE]]+1)</f>
        <v>31</v>
      </c>
      <c r="M2" s="83">
        <v>350</v>
      </c>
      <c r="N2" s="83">
        <v>325</v>
      </c>
      <c r="O2" s="93" t="s">
        <v>58</v>
      </c>
      <c r="P2" s="93" t="s">
        <v>58</v>
      </c>
      <c r="Q2" s="84">
        <f>IF(DATA[[#This Row],[Column1]]="Normal", 13 * DATA[[#This Row],[STORAGE DAYS]], 20 * DATA[[#This Row],[STORAGE DAYS]])</f>
        <v>403</v>
      </c>
      <c r="R2" s="84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 t="shared" ref="T2:T65" si="0">COUNTA(A:A)-2</f>
        <v>349</v>
      </c>
      <c r="U2" s="112">
        <v>2024</v>
      </c>
      <c r="V2" s="112" t="s">
        <v>1908</v>
      </c>
      <c r="W2" s="112">
        <v>2024</v>
      </c>
      <c r="X2" s="112" t="s">
        <v>1909</v>
      </c>
    </row>
    <row r="3" spans="1:24" s="37" customFormat="1" ht="21" hidden="1" x14ac:dyDescent="0.25">
      <c r="A3" s="77" t="s">
        <v>59</v>
      </c>
      <c r="B3" s="78" t="s">
        <v>60</v>
      </c>
      <c r="C3" s="78">
        <v>100</v>
      </c>
      <c r="D3" s="79" t="s">
        <v>5</v>
      </c>
      <c r="E3" s="79" t="s">
        <v>61</v>
      </c>
      <c r="F3" s="79" t="s">
        <v>1560</v>
      </c>
      <c r="G3" s="79" t="s">
        <v>19</v>
      </c>
      <c r="H3" s="81">
        <v>0.5</v>
      </c>
      <c r="I3" s="79" t="s">
        <v>10</v>
      </c>
      <c r="J3" s="82">
        <v>45505</v>
      </c>
      <c r="K3" s="82">
        <v>45534</v>
      </c>
      <c r="L3" s="78">
        <f>IF(ISBLANK(DATA[[#This Row],[DISCHARGE DATE]]), "NO DATE", DATA[[#This Row],[DISCHARGE DATE]]-DATA[[#This Row],[ADMISSION DATE]]+1)</f>
        <v>30</v>
      </c>
      <c r="M3" s="83">
        <v>350</v>
      </c>
      <c r="N3" s="83">
        <v>403</v>
      </c>
      <c r="O3" s="93" t="s">
        <v>62</v>
      </c>
      <c r="P3" s="93" t="s">
        <v>62</v>
      </c>
      <c r="Q3" s="84">
        <f>IF(DATA[[#This Row],[Column1]]="Normal", 13 * DATA[[#This Row],[STORAGE DAYS]], 20 * DATA[[#This Row],[STORAGE DAYS]])</f>
        <v>390</v>
      </c>
      <c r="R3" s="84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 t="shared" si="0"/>
        <v>349</v>
      </c>
      <c r="U3" s="112">
        <v>2024</v>
      </c>
      <c r="V3" s="112" t="s">
        <v>1909</v>
      </c>
      <c r="W3" s="112">
        <v>2024</v>
      </c>
      <c r="X3" s="112" t="s">
        <v>1909</v>
      </c>
    </row>
    <row r="4" spans="1:24" s="37" customFormat="1" ht="21" hidden="1" x14ac:dyDescent="0.25">
      <c r="A4" s="77" t="s">
        <v>63</v>
      </c>
      <c r="B4" s="78" t="s">
        <v>64</v>
      </c>
      <c r="C4" s="78">
        <v>77</v>
      </c>
      <c r="D4" s="79" t="s">
        <v>5</v>
      </c>
      <c r="E4" s="79" t="s">
        <v>65</v>
      </c>
      <c r="F4" s="79" t="s">
        <v>1561</v>
      </c>
      <c r="G4" s="79" t="s">
        <v>26</v>
      </c>
      <c r="H4" s="81">
        <v>0.92361111111111116</v>
      </c>
      <c r="I4" s="79" t="s">
        <v>10</v>
      </c>
      <c r="J4" s="82">
        <v>45508</v>
      </c>
      <c r="K4" s="82">
        <v>45597</v>
      </c>
      <c r="L4" s="78">
        <f>IF(ISBLANK(DATA[[#This Row],[DISCHARGE DATE]]), "NO DATE", DATA[[#This Row],[DISCHARGE DATE]]-DATA[[#This Row],[ADMISSION DATE]]+1)</f>
        <v>90</v>
      </c>
      <c r="M4" s="83">
        <v>350</v>
      </c>
      <c r="N4" s="83">
        <v>1170</v>
      </c>
      <c r="O4" s="93" t="s">
        <v>66</v>
      </c>
      <c r="P4" s="93" t="s">
        <v>67</v>
      </c>
      <c r="Q4" s="84">
        <f>IF(DATA[[#This Row],[Column1]]="Normal", 13 * DATA[[#This Row],[STORAGE DAYS]], 20 * DATA[[#This Row],[STORAGE DAYS]])</f>
        <v>1170</v>
      </c>
      <c r="R4" s="84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 t="shared" si="0"/>
        <v>349</v>
      </c>
      <c r="U4" s="112">
        <v>2024</v>
      </c>
      <c r="V4" s="112" t="s">
        <v>1909</v>
      </c>
      <c r="W4" s="112">
        <v>2024</v>
      </c>
      <c r="X4" s="112" t="s">
        <v>1910</v>
      </c>
    </row>
    <row r="5" spans="1:24" s="37" customFormat="1" ht="21" hidden="1" x14ac:dyDescent="0.25">
      <c r="A5" s="77" t="s">
        <v>68</v>
      </c>
      <c r="B5" s="78" t="s">
        <v>69</v>
      </c>
      <c r="C5" s="78">
        <v>64</v>
      </c>
      <c r="D5" s="79" t="s">
        <v>4</v>
      </c>
      <c r="E5" s="79" t="s">
        <v>70</v>
      </c>
      <c r="F5" s="79" t="s">
        <v>1562</v>
      </c>
      <c r="G5" s="79" t="s">
        <v>25</v>
      </c>
      <c r="H5" s="81">
        <v>0.40347222222222223</v>
      </c>
      <c r="I5" s="79" t="s">
        <v>10</v>
      </c>
      <c r="J5" s="82">
        <v>45513</v>
      </c>
      <c r="K5" s="82">
        <v>45555</v>
      </c>
      <c r="L5" s="78">
        <f>IF(ISBLANK(DATA[[#This Row],[DISCHARGE DATE]]), "NO DATE", DATA[[#This Row],[DISCHARGE DATE]]-DATA[[#This Row],[ADMISSION DATE]]+1)</f>
        <v>43</v>
      </c>
      <c r="M5" s="83">
        <v>350</v>
      </c>
      <c r="N5" s="83">
        <v>559</v>
      </c>
      <c r="O5" s="93" t="s">
        <v>71</v>
      </c>
      <c r="P5" s="93" t="s">
        <v>72</v>
      </c>
      <c r="Q5" s="84">
        <f>IF(DATA[[#This Row],[Column1]]="Normal", 13 * DATA[[#This Row],[STORAGE DAYS]], 20 * DATA[[#This Row],[STORAGE DAYS]])</f>
        <v>559</v>
      </c>
      <c r="R5" s="84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 t="shared" si="0"/>
        <v>349</v>
      </c>
      <c r="U5" s="112">
        <v>2024</v>
      </c>
      <c r="V5" s="112" t="s">
        <v>1909</v>
      </c>
      <c r="W5" s="112">
        <v>2024</v>
      </c>
      <c r="X5" s="112" t="s">
        <v>1911</v>
      </c>
    </row>
    <row r="6" spans="1:24" s="37" customFormat="1" ht="21" hidden="1" x14ac:dyDescent="0.25">
      <c r="A6" s="77" t="s">
        <v>73</v>
      </c>
      <c r="B6" s="78" t="s">
        <v>74</v>
      </c>
      <c r="C6" s="78">
        <v>45</v>
      </c>
      <c r="D6" s="79" t="s">
        <v>5</v>
      </c>
      <c r="E6" s="79" t="s">
        <v>75</v>
      </c>
      <c r="F6" s="79" t="s">
        <v>1563</v>
      </c>
      <c r="G6" s="79" t="s">
        <v>27</v>
      </c>
      <c r="H6" s="81">
        <v>0.97916666666666663</v>
      </c>
      <c r="I6" s="79" t="s">
        <v>10</v>
      </c>
      <c r="J6" s="82">
        <v>45519</v>
      </c>
      <c r="K6" s="82">
        <v>45541</v>
      </c>
      <c r="L6" s="78">
        <f>IF(ISBLANK(DATA[[#This Row],[DISCHARGE DATE]]), "NO DATE", DATA[[#This Row],[DISCHARGE DATE]]-DATA[[#This Row],[ADMISSION DATE]]+1)</f>
        <v>23</v>
      </c>
      <c r="M6" s="83">
        <v>350</v>
      </c>
      <c r="N6" s="83">
        <v>299</v>
      </c>
      <c r="O6" s="93" t="s">
        <v>72</v>
      </c>
      <c r="P6" s="93" t="s">
        <v>71</v>
      </c>
      <c r="Q6" s="84">
        <f>IF(DATA[[#This Row],[Column1]]="Normal", 13 * DATA[[#This Row],[STORAGE DAYS]], 20 * DATA[[#This Row],[STORAGE DAYS]])</f>
        <v>299</v>
      </c>
      <c r="R6" s="84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 t="shared" si="0"/>
        <v>349</v>
      </c>
      <c r="U6" s="112">
        <v>2024</v>
      </c>
      <c r="V6" s="112" t="s">
        <v>1909</v>
      </c>
      <c r="W6" s="112">
        <v>2024</v>
      </c>
      <c r="X6" s="112" t="s">
        <v>1911</v>
      </c>
    </row>
    <row r="7" spans="1:24" s="37" customFormat="1" ht="21" hidden="1" x14ac:dyDescent="0.25">
      <c r="A7" s="77" t="s">
        <v>76</v>
      </c>
      <c r="B7" s="78" t="s">
        <v>77</v>
      </c>
      <c r="C7" s="78">
        <v>85</v>
      </c>
      <c r="D7" s="79" t="s">
        <v>5</v>
      </c>
      <c r="E7" s="79" t="s">
        <v>78</v>
      </c>
      <c r="F7" s="79" t="s">
        <v>1564</v>
      </c>
      <c r="G7" s="79" t="s">
        <v>27</v>
      </c>
      <c r="H7" s="81">
        <v>0.3125</v>
      </c>
      <c r="I7" s="79" t="s">
        <v>10</v>
      </c>
      <c r="J7" s="82">
        <v>45520</v>
      </c>
      <c r="K7" s="82">
        <v>45543</v>
      </c>
      <c r="L7" s="78">
        <f>IF(ISBLANK(DATA[[#This Row],[DISCHARGE DATE]]), "NO DATE", DATA[[#This Row],[DISCHARGE DATE]]-DATA[[#This Row],[ADMISSION DATE]]+1)</f>
        <v>24</v>
      </c>
      <c r="M7" s="83">
        <v>350</v>
      </c>
      <c r="N7" s="83">
        <v>1105</v>
      </c>
      <c r="O7" s="93" t="s">
        <v>79</v>
      </c>
      <c r="P7" s="93" t="s">
        <v>80</v>
      </c>
      <c r="Q7" s="84">
        <f>IF(DATA[[#This Row],[Column1]]="Normal", 13 * DATA[[#This Row],[STORAGE DAYS]], 20 * DATA[[#This Row],[STORAGE DAYS]])</f>
        <v>312</v>
      </c>
      <c r="R7" s="84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 t="shared" si="0"/>
        <v>349</v>
      </c>
      <c r="U7" s="112">
        <v>2024</v>
      </c>
      <c r="V7" s="112" t="s">
        <v>1909</v>
      </c>
      <c r="W7" s="112">
        <v>2024</v>
      </c>
      <c r="X7" s="112" t="s">
        <v>1911</v>
      </c>
    </row>
    <row r="8" spans="1:24" s="37" customFormat="1" ht="21" hidden="1" x14ac:dyDescent="0.25">
      <c r="A8" s="77" t="s">
        <v>81</v>
      </c>
      <c r="B8" s="78" t="s">
        <v>82</v>
      </c>
      <c r="C8" s="78">
        <v>61</v>
      </c>
      <c r="D8" s="79" t="s">
        <v>5</v>
      </c>
      <c r="E8" s="79" t="s">
        <v>83</v>
      </c>
      <c r="F8" s="79" t="s">
        <v>1565</v>
      </c>
      <c r="G8" s="79" t="s">
        <v>26</v>
      </c>
      <c r="H8" s="81">
        <v>0.5</v>
      </c>
      <c r="I8" s="79" t="s">
        <v>10</v>
      </c>
      <c r="J8" s="82">
        <v>45520</v>
      </c>
      <c r="K8" s="82">
        <v>45625</v>
      </c>
      <c r="L8" s="78">
        <f>IF(ISBLANK(DATA[[#This Row],[DISCHARGE DATE]]), "NO DATE", DATA[[#This Row],[DISCHARGE DATE]]-DATA[[#This Row],[ADMISSION DATE]]+1)</f>
        <v>106</v>
      </c>
      <c r="M8" s="83">
        <v>350</v>
      </c>
      <c r="N8" s="83">
        <v>1378</v>
      </c>
      <c r="O8" s="93" t="s">
        <v>84</v>
      </c>
      <c r="P8" s="93" t="s">
        <v>85</v>
      </c>
      <c r="Q8" s="84">
        <f>IF(DATA[[#This Row],[Column1]]="Normal", 13 * DATA[[#This Row],[STORAGE DAYS]], 20 * DATA[[#This Row],[STORAGE DAYS]])</f>
        <v>1378</v>
      </c>
      <c r="R8" s="84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 t="shared" si="0"/>
        <v>349</v>
      </c>
      <c r="U8" s="112">
        <v>2024</v>
      </c>
      <c r="V8" s="112" t="s">
        <v>1909</v>
      </c>
      <c r="W8" s="112">
        <v>2024</v>
      </c>
      <c r="X8" s="112" t="s">
        <v>1910</v>
      </c>
    </row>
    <row r="9" spans="1:24" s="37" customFormat="1" ht="21" hidden="1" x14ac:dyDescent="0.25">
      <c r="A9" s="77" t="s">
        <v>86</v>
      </c>
      <c r="B9" s="78" t="s">
        <v>87</v>
      </c>
      <c r="C9" s="78">
        <v>36</v>
      </c>
      <c r="D9" s="79" t="s">
        <v>4</v>
      </c>
      <c r="E9" s="79" t="s">
        <v>88</v>
      </c>
      <c r="F9" s="79" t="s">
        <v>1566</v>
      </c>
      <c r="G9" s="79" t="s">
        <v>27</v>
      </c>
      <c r="H9" s="81">
        <v>0.33263888888888887</v>
      </c>
      <c r="I9" s="79" t="s">
        <v>10</v>
      </c>
      <c r="J9" s="82">
        <v>45522</v>
      </c>
      <c r="K9" s="82">
        <v>45535</v>
      </c>
      <c r="L9" s="78">
        <f>IF(ISBLANK(DATA[[#This Row],[DISCHARGE DATE]]), "NO DATE", DATA[[#This Row],[DISCHARGE DATE]]-DATA[[#This Row],[ADMISSION DATE]]+1)</f>
        <v>14</v>
      </c>
      <c r="M9" s="83">
        <v>350</v>
      </c>
      <c r="N9" s="83">
        <v>182</v>
      </c>
      <c r="O9" s="93" t="s">
        <v>89</v>
      </c>
      <c r="P9" s="93" t="s">
        <v>66</v>
      </c>
      <c r="Q9" s="84">
        <f>IF(DATA[[#This Row],[Column1]]="Normal", 13 * DATA[[#This Row],[STORAGE DAYS]], 20 * DATA[[#This Row],[STORAGE DAYS]])</f>
        <v>182</v>
      </c>
      <c r="R9" s="84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 t="shared" si="0"/>
        <v>349</v>
      </c>
      <c r="U9" s="112">
        <v>2024</v>
      </c>
      <c r="V9" s="112" t="s">
        <v>1909</v>
      </c>
      <c r="W9" s="112">
        <v>2024</v>
      </c>
      <c r="X9" s="112" t="s">
        <v>1909</v>
      </c>
    </row>
    <row r="10" spans="1:24" s="37" customFormat="1" ht="21" hidden="1" x14ac:dyDescent="0.25">
      <c r="A10" s="77" t="s">
        <v>90</v>
      </c>
      <c r="B10" s="78" t="s">
        <v>1552</v>
      </c>
      <c r="C10" s="78">
        <v>82</v>
      </c>
      <c r="D10" s="79" t="s">
        <v>5</v>
      </c>
      <c r="E10" s="79" t="s">
        <v>91</v>
      </c>
      <c r="F10" s="79" t="s">
        <v>1567</v>
      </c>
      <c r="G10" s="79" t="s">
        <v>26</v>
      </c>
      <c r="H10" s="81">
        <v>0.23958333333333334</v>
      </c>
      <c r="I10" s="79" t="s">
        <v>10</v>
      </c>
      <c r="J10" s="82">
        <v>45524</v>
      </c>
      <c r="K10" s="82">
        <v>45723</v>
      </c>
      <c r="L10" s="78">
        <f>IF(ISBLANK(DATA[[#This Row],[DISCHARGE DATE]]), "NO DATE", DATA[[#This Row],[DISCHARGE DATE]]-DATA[[#This Row],[ADMISSION DATE]]+1)</f>
        <v>200</v>
      </c>
      <c r="M10" s="83">
        <v>350</v>
      </c>
      <c r="N10" s="83">
        <v>2600</v>
      </c>
      <c r="O10" s="93" t="s">
        <v>92</v>
      </c>
      <c r="P10" s="93" t="s">
        <v>93</v>
      </c>
      <c r="Q10" s="84">
        <f>IF(DATA[[#This Row],[Column1]]="Normal", 13 * DATA[[#This Row],[STORAGE DAYS]], 20 * DATA[[#This Row],[STORAGE DAYS]])</f>
        <v>2600</v>
      </c>
      <c r="R10" s="84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 t="shared" si="0"/>
        <v>349</v>
      </c>
      <c r="U10" s="112">
        <v>2024</v>
      </c>
      <c r="V10" s="112" t="s">
        <v>1909</v>
      </c>
      <c r="W10" s="112">
        <v>2025</v>
      </c>
      <c r="X10" s="112" t="s">
        <v>1912</v>
      </c>
    </row>
    <row r="11" spans="1:24" s="37" customFormat="1" ht="21" hidden="1" x14ac:dyDescent="0.25">
      <c r="A11" s="77" t="s">
        <v>94</v>
      </c>
      <c r="B11" s="78" t="s">
        <v>95</v>
      </c>
      <c r="C11" s="78">
        <v>86</v>
      </c>
      <c r="D11" s="79" t="s">
        <v>5</v>
      </c>
      <c r="E11" s="79" t="s">
        <v>96</v>
      </c>
      <c r="F11" s="79" t="s">
        <v>1568</v>
      </c>
      <c r="G11" s="79" t="s">
        <v>27</v>
      </c>
      <c r="H11" s="81">
        <v>0.53125</v>
      </c>
      <c r="I11" s="79" t="s">
        <v>10</v>
      </c>
      <c r="J11" s="82">
        <v>45529</v>
      </c>
      <c r="K11" s="82">
        <v>45625</v>
      </c>
      <c r="L11" s="78">
        <f>IF(ISBLANK(DATA[[#This Row],[DISCHARGE DATE]]), "NO DATE", DATA[[#This Row],[DISCHARGE DATE]]-DATA[[#This Row],[ADMISSION DATE]]+1)</f>
        <v>97</v>
      </c>
      <c r="M11" s="83">
        <v>350</v>
      </c>
      <c r="N11" s="83">
        <v>1261</v>
      </c>
      <c r="O11" s="93" t="s">
        <v>97</v>
      </c>
      <c r="P11" s="93" t="s">
        <v>98</v>
      </c>
      <c r="Q11" s="84">
        <f>IF(DATA[[#This Row],[Column1]]="Normal", 13 * DATA[[#This Row],[STORAGE DAYS]], 20 * DATA[[#This Row],[STORAGE DAYS]])</f>
        <v>1261</v>
      </c>
      <c r="R11" s="84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 t="shared" si="0"/>
        <v>349</v>
      </c>
      <c r="U11" s="112">
        <v>2024</v>
      </c>
      <c r="V11" s="112" t="s">
        <v>1909</v>
      </c>
      <c r="W11" s="112">
        <v>2024</v>
      </c>
      <c r="X11" s="112" t="s">
        <v>1910</v>
      </c>
    </row>
    <row r="12" spans="1:24" s="37" customFormat="1" ht="21" hidden="1" x14ac:dyDescent="0.25">
      <c r="A12" s="77" t="s">
        <v>99</v>
      </c>
      <c r="B12" s="78" t="s">
        <v>100</v>
      </c>
      <c r="C12" s="78">
        <v>67</v>
      </c>
      <c r="D12" s="79" t="s">
        <v>4</v>
      </c>
      <c r="E12" s="79" t="s">
        <v>101</v>
      </c>
      <c r="F12" s="79" t="s">
        <v>1569</v>
      </c>
      <c r="G12" s="79" t="s">
        <v>27</v>
      </c>
      <c r="H12" s="81">
        <v>0.61944444444444446</v>
      </c>
      <c r="I12" s="79" t="s">
        <v>10</v>
      </c>
      <c r="J12" s="82">
        <v>45532</v>
      </c>
      <c r="K12" s="82">
        <v>45744</v>
      </c>
      <c r="L12" s="78">
        <f>IF(ISBLANK(DATA[[#This Row],[DISCHARGE DATE]]), "NO DATE", DATA[[#This Row],[DISCHARGE DATE]]-DATA[[#This Row],[ADMISSION DATE]]+1)</f>
        <v>213</v>
      </c>
      <c r="M12" s="83">
        <v>350</v>
      </c>
      <c r="N12" s="83">
        <v>2769</v>
      </c>
      <c r="O12" s="93" t="s">
        <v>102</v>
      </c>
      <c r="P12" s="93" t="s">
        <v>103</v>
      </c>
      <c r="Q12" s="84">
        <f>IF(DATA[[#This Row],[Column1]]="Normal", 13 * DATA[[#This Row],[STORAGE DAYS]], 20 * DATA[[#This Row],[STORAGE DAYS]])</f>
        <v>2769</v>
      </c>
      <c r="R12" s="84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 t="shared" si="0"/>
        <v>349</v>
      </c>
      <c r="U12" s="112">
        <v>2024</v>
      </c>
      <c r="V12" s="112" t="s">
        <v>1909</v>
      </c>
      <c r="W12" s="112">
        <v>2025</v>
      </c>
      <c r="X12" s="112" t="s">
        <v>1912</v>
      </c>
    </row>
    <row r="13" spans="1:24" s="37" customFormat="1" ht="21" hidden="1" x14ac:dyDescent="0.25">
      <c r="A13" s="77" t="s">
        <v>104</v>
      </c>
      <c r="B13" s="78" t="s">
        <v>105</v>
      </c>
      <c r="C13" s="78">
        <v>60</v>
      </c>
      <c r="D13" s="79" t="s">
        <v>4</v>
      </c>
      <c r="E13" s="79" t="s">
        <v>106</v>
      </c>
      <c r="F13" s="79" t="s">
        <v>1570</v>
      </c>
      <c r="G13" s="79" t="s">
        <v>26</v>
      </c>
      <c r="H13" s="81">
        <v>0.89930555555555558</v>
      </c>
      <c r="I13" s="79" t="s">
        <v>10</v>
      </c>
      <c r="J13" s="82">
        <v>45532</v>
      </c>
      <c r="K13" s="82">
        <v>45772</v>
      </c>
      <c r="L13" s="78">
        <f>IF(ISBLANK(DATA[[#This Row],[DISCHARGE DATE]]), "NO DATE", DATA[[#This Row],[DISCHARGE DATE]]-DATA[[#This Row],[ADMISSION DATE]]+1)</f>
        <v>241</v>
      </c>
      <c r="M13" s="83">
        <v>350</v>
      </c>
      <c r="N13" s="83">
        <v>3133</v>
      </c>
      <c r="O13" s="93" t="s">
        <v>67</v>
      </c>
      <c r="P13" s="93" t="s">
        <v>107</v>
      </c>
      <c r="Q13" s="84">
        <f>IF(DATA[[#This Row],[Column1]]="Normal", 13 * DATA[[#This Row],[STORAGE DAYS]], 20 * DATA[[#This Row],[STORAGE DAYS]])</f>
        <v>3133</v>
      </c>
      <c r="R13" s="84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 t="shared" si="0"/>
        <v>349</v>
      </c>
      <c r="U13" s="112">
        <v>2024</v>
      </c>
      <c r="V13" s="112" t="s">
        <v>1909</v>
      </c>
      <c r="W13" s="112">
        <v>2025</v>
      </c>
      <c r="X13" s="112" t="s">
        <v>1873</v>
      </c>
    </row>
    <row r="14" spans="1:24" s="37" customFormat="1" ht="21" hidden="1" x14ac:dyDescent="0.25">
      <c r="A14" s="77" t="s">
        <v>108</v>
      </c>
      <c r="B14" s="78" t="s">
        <v>109</v>
      </c>
      <c r="C14" s="78">
        <v>66</v>
      </c>
      <c r="D14" s="79" t="s">
        <v>5</v>
      </c>
      <c r="E14" s="79" t="s">
        <v>110</v>
      </c>
      <c r="F14" s="79" t="s">
        <v>1571</v>
      </c>
      <c r="G14" s="79" t="s">
        <v>27</v>
      </c>
      <c r="H14" s="81">
        <v>0.61458333333333337</v>
      </c>
      <c r="I14" s="79" t="s">
        <v>10</v>
      </c>
      <c r="J14" s="82">
        <v>45534</v>
      </c>
      <c r="K14" s="82">
        <v>45597</v>
      </c>
      <c r="L14" s="78">
        <f>IF(ISBLANK(DATA[[#This Row],[DISCHARGE DATE]]), "NO DATE", DATA[[#This Row],[DISCHARGE DATE]]-DATA[[#This Row],[ADMISSION DATE]]+1)</f>
        <v>64</v>
      </c>
      <c r="M14" s="83">
        <v>350</v>
      </c>
      <c r="N14" s="83">
        <v>832</v>
      </c>
      <c r="O14" s="93" t="s">
        <v>111</v>
      </c>
      <c r="P14" s="93" t="s">
        <v>111</v>
      </c>
      <c r="Q14" s="84">
        <f>IF(DATA[[#This Row],[Column1]]="Normal", 13 * DATA[[#This Row],[STORAGE DAYS]], 20 * DATA[[#This Row],[STORAGE DAYS]])</f>
        <v>832</v>
      </c>
      <c r="R14" s="84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 t="shared" si="0"/>
        <v>349</v>
      </c>
      <c r="U14" s="112">
        <v>2024</v>
      </c>
      <c r="V14" s="112" t="s">
        <v>1909</v>
      </c>
      <c r="W14" s="112">
        <v>2024</v>
      </c>
      <c r="X14" s="112" t="s">
        <v>1910</v>
      </c>
    </row>
    <row r="15" spans="1:24" s="37" customFormat="1" ht="21" hidden="1" x14ac:dyDescent="0.25">
      <c r="A15" s="77" t="s">
        <v>112</v>
      </c>
      <c r="B15" s="78" t="s">
        <v>113</v>
      </c>
      <c r="C15" s="78">
        <v>56</v>
      </c>
      <c r="D15" s="79" t="s">
        <v>5</v>
      </c>
      <c r="E15" s="79" t="s">
        <v>114</v>
      </c>
      <c r="F15" s="79" t="s">
        <v>1572</v>
      </c>
      <c r="G15" s="79" t="s">
        <v>24</v>
      </c>
      <c r="H15" s="81">
        <v>0.43055555555555558</v>
      </c>
      <c r="I15" s="79" t="s">
        <v>10</v>
      </c>
      <c r="J15" s="82">
        <v>45536</v>
      </c>
      <c r="K15" s="82">
        <v>45625</v>
      </c>
      <c r="L15" s="78">
        <f>IF(ISBLANK(DATA[[#This Row],[DISCHARGE DATE]]), "NO DATE", DATA[[#This Row],[DISCHARGE DATE]]-DATA[[#This Row],[ADMISSION DATE]]+1)</f>
        <v>90</v>
      </c>
      <c r="M15" s="83">
        <v>350</v>
      </c>
      <c r="N15" s="83">
        <v>1170</v>
      </c>
      <c r="O15" s="93" t="s">
        <v>80</v>
      </c>
      <c r="P15" s="93" t="s">
        <v>115</v>
      </c>
      <c r="Q15" s="84">
        <f>IF(DATA[[#This Row],[Column1]]="Normal", 13 * DATA[[#This Row],[STORAGE DAYS]], 20 * DATA[[#This Row],[STORAGE DAYS]])</f>
        <v>1170</v>
      </c>
      <c r="R15" s="84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 t="shared" si="0"/>
        <v>349</v>
      </c>
      <c r="U15" s="112">
        <v>2024</v>
      </c>
      <c r="V15" s="112" t="s">
        <v>1911</v>
      </c>
      <c r="W15" s="112">
        <v>2024</v>
      </c>
      <c r="X15" s="112" t="s">
        <v>1910</v>
      </c>
    </row>
    <row r="16" spans="1:24" s="37" customFormat="1" ht="21" hidden="1" x14ac:dyDescent="0.25">
      <c r="A16" s="77" t="s">
        <v>116</v>
      </c>
      <c r="B16" s="78" t="s">
        <v>117</v>
      </c>
      <c r="C16" s="78">
        <v>45</v>
      </c>
      <c r="D16" s="79" t="s">
        <v>5</v>
      </c>
      <c r="E16" s="79" t="s">
        <v>118</v>
      </c>
      <c r="F16" s="79" t="s">
        <v>1573</v>
      </c>
      <c r="G16" s="79" t="s">
        <v>25</v>
      </c>
      <c r="H16" s="81">
        <v>0.73611111111111116</v>
      </c>
      <c r="I16" s="79" t="s">
        <v>10</v>
      </c>
      <c r="J16" s="82">
        <v>45538</v>
      </c>
      <c r="K16" s="82">
        <v>45744</v>
      </c>
      <c r="L16" s="78">
        <f>IF(ISBLANK(DATA[[#This Row],[DISCHARGE DATE]]), "NO DATE", DATA[[#This Row],[DISCHARGE DATE]]-DATA[[#This Row],[ADMISSION DATE]]+1)</f>
        <v>207</v>
      </c>
      <c r="M16" s="83">
        <v>350</v>
      </c>
      <c r="N16" s="83">
        <v>2691</v>
      </c>
      <c r="O16" s="93" t="s">
        <v>119</v>
      </c>
      <c r="P16" s="93" t="s">
        <v>120</v>
      </c>
      <c r="Q16" s="84">
        <f>IF(DATA[[#This Row],[Column1]]="Normal", 13 * DATA[[#This Row],[STORAGE DAYS]], 20 * DATA[[#This Row],[STORAGE DAYS]])</f>
        <v>2691</v>
      </c>
      <c r="R16" s="84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 t="shared" si="0"/>
        <v>349</v>
      </c>
      <c r="U16" s="112">
        <v>2024</v>
      </c>
      <c r="V16" s="112" t="s">
        <v>1911</v>
      </c>
      <c r="W16" s="112">
        <v>2025</v>
      </c>
      <c r="X16" s="112" t="s">
        <v>1912</v>
      </c>
    </row>
    <row r="17" spans="1:24" s="37" customFormat="1" ht="21" hidden="1" x14ac:dyDescent="0.25">
      <c r="A17" s="77" t="s">
        <v>121</v>
      </c>
      <c r="B17" s="78" t="s">
        <v>122</v>
      </c>
      <c r="C17" s="78">
        <v>31</v>
      </c>
      <c r="D17" s="79" t="s">
        <v>5</v>
      </c>
      <c r="E17" s="79" t="s">
        <v>123</v>
      </c>
      <c r="F17" s="79" t="s">
        <v>1574</v>
      </c>
      <c r="G17" s="79" t="s">
        <v>27</v>
      </c>
      <c r="H17" s="81">
        <v>0.61250000000000004</v>
      </c>
      <c r="I17" s="79" t="s">
        <v>10</v>
      </c>
      <c r="J17" s="82">
        <v>45539</v>
      </c>
      <c r="K17" s="82">
        <v>45625</v>
      </c>
      <c r="L17" s="78">
        <f>IF(ISBLANK(DATA[[#This Row],[DISCHARGE DATE]]), "NO DATE", DATA[[#This Row],[DISCHARGE DATE]]-DATA[[#This Row],[ADMISSION DATE]]+1)</f>
        <v>87</v>
      </c>
      <c r="M17" s="83">
        <v>350</v>
      </c>
      <c r="N17" s="83">
        <v>1131</v>
      </c>
      <c r="O17" s="93" t="s">
        <v>124</v>
      </c>
      <c r="P17" s="93" t="s">
        <v>125</v>
      </c>
      <c r="Q17" s="84">
        <f>IF(DATA[[#This Row],[Column1]]="Normal", 13 * DATA[[#This Row],[STORAGE DAYS]], 20 * DATA[[#This Row],[STORAGE DAYS]])</f>
        <v>1131</v>
      </c>
      <c r="R17" s="84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 t="shared" si="0"/>
        <v>349</v>
      </c>
      <c r="U17" s="112">
        <v>2024</v>
      </c>
      <c r="V17" s="112" t="s">
        <v>1911</v>
      </c>
      <c r="W17" s="112">
        <v>2024</v>
      </c>
      <c r="X17" s="112" t="s">
        <v>1910</v>
      </c>
    </row>
    <row r="18" spans="1:24" s="37" customFormat="1" ht="21" hidden="1" x14ac:dyDescent="0.25">
      <c r="A18" s="77" t="s">
        <v>126</v>
      </c>
      <c r="B18" s="78" t="s">
        <v>127</v>
      </c>
      <c r="C18" s="78">
        <v>37</v>
      </c>
      <c r="D18" s="79" t="s">
        <v>5</v>
      </c>
      <c r="E18" s="79" t="s">
        <v>128</v>
      </c>
      <c r="F18" s="79" t="s">
        <v>1575</v>
      </c>
      <c r="G18" s="79" t="s">
        <v>27</v>
      </c>
      <c r="H18" s="81">
        <v>0.72916666666666663</v>
      </c>
      <c r="I18" s="79" t="s">
        <v>10</v>
      </c>
      <c r="J18" s="82">
        <v>45537</v>
      </c>
      <c r="K18" s="82">
        <v>45597</v>
      </c>
      <c r="L18" s="78">
        <f>IF(ISBLANK(DATA[[#This Row],[DISCHARGE DATE]]), "NO DATE", DATA[[#This Row],[DISCHARGE DATE]]-DATA[[#This Row],[ADMISSION DATE]]+1)</f>
        <v>61</v>
      </c>
      <c r="M18" s="83">
        <v>350</v>
      </c>
      <c r="N18" s="83">
        <v>793</v>
      </c>
      <c r="O18" s="93" t="s">
        <v>125</v>
      </c>
      <c r="P18" s="93" t="s">
        <v>92</v>
      </c>
      <c r="Q18" s="84">
        <f>IF(DATA[[#This Row],[Column1]]="Normal", 13 * DATA[[#This Row],[STORAGE DAYS]], 20 * DATA[[#This Row],[STORAGE DAYS]])</f>
        <v>793</v>
      </c>
      <c r="R18" s="84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 t="shared" si="0"/>
        <v>349</v>
      </c>
      <c r="U18" s="112">
        <v>2024</v>
      </c>
      <c r="V18" s="112" t="s">
        <v>1911</v>
      </c>
      <c r="W18" s="112">
        <v>2024</v>
      </c>
      <c r="X18" s="112" t="s">
        <v>1910</v>
      </c>
    </row>
    <row r="19" spans="1:24" s="37" customFormat="1" ht="21" hidden="1" x14ac:dyDescent="0.25">
      <c r="A19" s="77" t="s">
        <v>129</v>
      </c>
      <c r="B19" s="78" t="s">
        <v>130</v>
      </c>
      <c r="C19" s="78">
        <v>78</v>
      </c>
      <c r="D19" s="79" t="s">
        <v>5</v>
      </c>
      <c r="E19" s="79" t="s">
        <v>131</v>
      </c>
      <c r="F19" s="79" t="s">
        <v>1576</v>
      </c>
      <c r="G19" s="79" t="s">
        <v>27</v>
      </c>
      <c r="H19" s="81">
        <v>0.41666666666666669</v>
      </c>
      <c r="I19" s="79" t="s">
        <v>10</v>
      </c>
      <c r="J19" s="82">
        <v>45543</v>
      </c>
      <c r="K19" s="82">
        <v>45597</v>
      </c>
      <c r="L19" s="78">
        <f>IF(ISBLANK(DATA[[#This Row],[DISCHARGE DATE]]), "NO DATE", DATA[[#This Row],[DISCHARGE DATE]]-DATA[[#This Row],[ADMISSION DATE]]+1)</f>
        <v>55</v>
      </c>
      <c r="M19" s="83">
        <v>350</v>
      </c>
      <c r="N19" s="83">
        <v>715</v>
      </c>
      <c r="O19" s="93" t="s">
        <v>115</v>
      </c>
      <c r="P19" s="93" t="s">
        <v>84</v>
      </c>
      <c r="Q19" s="84">
        <f>IF(DATA[[#This Row],[Column1]]="Normal", 13 * DATA[[#This Row],[STORAGE DAYS]], 20 * DATA[[#This Row],[STORAGE DAYS]])</f>
        <v>715</v>
      </c>
      <c r="R19" s="84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 t="shared" si="0"/>
        <v>349</v>
      </c>
      <c r="U19" s="112">
        <v>2024</v>
      </c>
      <c r="V19" s="112" t="s">
        <v>1911</v>
      </c>
      <c r="W19" s="112">
        <v>2024</v>
      </c>
      <c r="X19" s="112" t="s">
        <v>1910</v>
      </c>
    </row>
    <row r="20" spans="1:24" s="37" customFormat="1" ht="21" hidden="1" x14ac:dyDescent="0.25">
      <c r="A20" s="77" t="s">
        <v>132</v>
      </c>
      <c r="B20" s="78" t="s">
        <v>133</v>
      </c>
      <c r="C20" s="78">
        <v>75</v>
      </c>
      <c r="D20" s="79" t="s">
        <v>4</v>
      </c>
      <c r="E20" s="79" t="s">
        <v>134</v>
      </c>
      <c r="F20" s="79" t="s">
        <v>1577</v>
      </c>
      <c r="G20" s="79" t="s">
        <v>27</v>
      </c>
      <c r="H20" s="81">
        <v>0.6875</v>
      </c>
      <c r="I20" s="79" t="s">
        <v>10</v>
      </c>
      <c r="J20" s="82">
        <v>45543</v>
      </c>
      <c r="K20" s="82">
        <v>45772</v>
      </c>
      <c r="L20" s="78">
        <f>IF(ISBLANK(DATA[[#This Row],[DISCHARGE DATE]]), "NO DATE", DATA[[#This Row],[DISCHARGE DATE]]-DATA[[#This Row],[ADMISSION DATE]]+1)</f>
        <v>230</v>
      </c>
      <c r="M20" s="83">
        <v>350</v>
      </c>
      <c r="N20" s="83">
        <v>2990</v>
      </c>
      <c r="O20" s="93" t="s">
        <v>98</v>
      </c>
      <c r="P20" s="93" t="s">
        <v>135</v>
      </c>
      <c r="Q20" s="84">
        <f>IF(DATA[[#This Row],[Column1]]="Normal", 13 * DATA[[#This Row],[STORAGE DAYS]], 20 * DATA[[#This Row],[STORAGE DAYS]])</f>
        <v>2990</v>
      </c>
      <c r="R20" s="84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 t="shared" si="0"/>
        <v>349</v>
      </c>
      <c r="U20" s="112">
        <v>2024</v>
      </c>
      <c r="V20" s="112" t="s">
        <v>1911</v>
      </c>
      <c r="W20" s="112">
        <v>2025</v>
      </c>
      <c r="X20" s="112" t="s">
        <v>1873</v>
      </c>
    </row>
    <row r="21" spans="1:24" s="37" customFormat="1" ht="21" hidden="1" x14ac:dyDescent="0.25">
      <c r="A21" s="77" t="s">
        <v>136</v>
      </c>
      <c r="B21" s="78" t="s">
        <v>137</v>
      </c>
      <c r="C21" s="78">
        <v>77</v>
      </c>
      <c r="D21" s="79" t="s">
        <v>5</v>
      </c>
      <c r="E21" s="79" t="s">
        <v>138</v>
      </c>
      <c r="F21" s="79" t="s">
        <v>1578</v>
      </c>
      <c r="G21" s="79" t="s">
        <v>27</v>
      </c>
      <c r="H21" s="81">
        <v>0.27083333333333331</v>
      </c>
      <c r="I21" s="79" t="s">
        <v>10</v>
      </c>
      <c r="J21" s="82">
        <v>45545</v>
      </c>
      <c r="K21" s="82">
        <v>45807</v>
      </c>
      <c r="L21" s="78">
        <f>IF(ISBLANK(DATA[[#This Row],[DISCHARGE DATE]]), "NO DATE", DATA[[#This Row],[DISCHARGE DATE]]-DATA[[#This Row],[ADMISSION DATE]]+1)</f>
        <v>263</v>
      </c>
      <c r="M21" s="83">
        <v>350</v>
      </c>
      <c r="N21" s="83">
        <v>3016</v>
      </c>
      <c r="O21" s="93" t="s">
        <v>139</v>
      </c>
      <c r="P21" s="93" t="s">
        <v>140</v>
      </c>
      <c r="Q21" s="84">
        <f>IF(DATA[[#This Row],[Column1]]="Normal", 13 * DATA[[#This Row],[STORAGE DAYS]], 20 * DATA[[#This Row],[STORAGE DAYS]])</f>
        <v>3419</v>
      </c>
      <c r="R21" s="84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 t="shared" si="0"/>
        <v>349</v>
      </c>
      <c r="U21" s="112">
        <v>2024</v>
      </c>
      <c r="V21" s="112" t="s">
        <v>1911</v>
      </c>
      <c r="W21" s="112">
        <v>2025</v>
      </c>
      <c r="X21" s="112" t="s">
        <v>1913</v>
      </c>
    </row>
    <row r="22" spans="1:24" s="37" customFormat="1" ht="21" hidden="1" x14ac:dyDescent="0.25">
      <c r="A22" s="77" t="s">
        <v>141</v>
      </c>
      <c r="B22" s="78" t="s">
        <v>142</v>
      </c>
      <c r="C22" s="78">
        <v>45</v>
      </c>
      <c r="D22" s="79" t="s">
        <v>4</v>
      </c>
      <c r="E22" s="79" t="s">
        <v>143</v>
      </c>
      <c r="F22" s="79" t="s">
        <v>1579</v>
      </c>
      <c r="G22" s="79" t="s">
        <v>19</v>
      </c>
      <c r="H22" s="81">
        <v>0.83333333333333337</v>
      </c>
      <c r="I22" s="79" t="s">
        <v>10</v>
      </c>
      <c r="J22" s="82">
        <v>45544</v>
      </c>
      <c r="K22" s="82">
        <v>45562</v>
      </c>
      <c r="L22" s="78">
        <f>IF(ISBLANK(DATA[[#This Row],[DISCHARGE DATE]]), "NO DATE", DATA[[#This Row],[DISCHARGE DATE]]-DATA[[#This Row],[ADMISSION DATE]]+1)</f>
        <v>19</v>
      </c>
      <c r="M22" s="83">
        <v>350</v>
      </c>
      <c r="N22" s="83">
        <v>247</v>
      </c>
      <c r="O22" s="93" t="s">
        <v>144</v>
      </c>
      <c r="P22" s="93" t="s">
        <v>79</v>
      </c>
      <c r="Q22" s="84">
        <f>IF(DATA[[#This Row],[Column1]]="Normal", 13 * DATA[[#This Row],[STORAGE DAYS]], 20 * DATA[[#This Row],[STORAGE DAYS]])</f>
        <v>247</v>
      </c>
      <c r="R22" s="84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 t="shared" si="0"/>
        <v>349</v>
      </c>
      <c r="U22" s="112">
        <v>2024</v>
      </c>
      <c r="V22" s="112" t="s">
        <v>1911</v>
      </c>
      <c r="W22" s="112">
        <v>2024</v>
      </c>
      <c r="X22" s="112" t="s">
        <v>1911</v>
      </c>
    </row>
    <row r="23" spans="1:24" s="37" customFormat="1" ht="21" hidden="1" x14ac:dyDescent="0.25">
      <c r="A23" s="77" t="s">
        <v>145</v>
      </c>
      <c r="B23" s="78" t="s">
        <v>146</v>
      </c>
      <c r="C23" s="78">
        <v>73</v>
      </c>
      <c r="D23" s="79" t="s">
        <v>5</v>
      </c>
      <c r="E23" s="79" t="s">
        <v>147</v>
      </c>
      <c r="F23" s="79" t="s">
        <v>1580</v>
      </c>
      <c r="G23" s="79" t="s">
        <v>25</v>
      </c>
      <c r="H23" s="81">
        <v>0.89583333333333337</v>
      </c>
      <c r="I23" s="79" t="s">
        <v>10</v>
      </c>
      <c r="J23" s="82">
        <v>45546</v>
      </c>
      <c r="K23" s="82">
        <v>45597</v>
      </c>
      <c r="L23" s="78">
        <f>IF(ISBLANK(DATA[[#This Row],[DISCHARGE DATE]]), "NO DATE", DATA[[#This Row],[DISCHARGE DATE]]-DATA[[#This Row],[ADMISSION DATE]]+1)</f>
        <v>52</v>
      </c>
      <c r="M23" s="83">
        <v>350</v>
      </c>
      <c r="N23" s="83">
        <v>676</v>
      </c>
      <c r="O23" s="93" t="s">
        <v>148</v>
      </c>
      <c r="P23" s="93" t="s">
        <v>97</v>
      </c>
      <c r="Q23" s="84">
        <f>IF(DATA[[#This Row],[Column1]]="Normal", 13 * DATA[[#This Row],[STORAGE DAYS]], 20 * DATA[[#This Row],[STORAGE DAYS]])</f>
        <v>676</v>
      </c>
      <c r="R23" s="84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 t="shared" si="0"/>
        <v>349</v>
      </c>
      <c r="U23" s="112">
        <v>2024</v>
      </c>
      <c r="V23" s="112" t="s">
        <v>1911</v>
      </c>
      <c r="W23" s="112">
        <v>2024</v>
      </c>
      <c r="X23" s="112" t="s">
        <v>1910</v>
      </c>
    </row>
    <row r="24" spans="1:24" s="37" customFormat="1" ht="21" hidden="1" x14ac:dyDescent="0.25">
      <c r="A24" s="77" t="s">
        <v>149</v>
      </c>
      <c r="B24" s="78" t="s">
        <v>150</v>
      </c>
      <c r="C24" s="78">
        <v>76</v>
      </c>
      <c r="D24" s="79" t="s">
        <v>5</v>
      </c>
      <c r="E24" s="79" t="s">
        <v>151</v>
      </c>
      <c r="F24" s="79" t="s">
        <v>1581</v>
      </c>
      <c r="G24" s="79" t="s">
        <v>27</v>
      </c>
      <c r="H24" s="81">
        <v>0.72916666666666663</v>
      </c>
      <c r="I24" s="79" t="s">
        <v>10</v>
      </c>
      <c r="J24" s="82">
        <v>45546</v>
      </c>
      <c r="K24" s="82">
        <v>45625</v>
      </c>
      <c r="L24" s="78">
        <f>IF(ISBLANK(DATA[[#This Row],[DISCHARGE DATE]]), "NO DATE", DATA[[#This Row],[DISCHARGE DATE]]-DATA[[#This Row],[ADMISSION DATE]]+1)</f>
        <v>80</v>
      </c>
      <c r="M24" s="83">
        <v>350</v>
      </c>
      <c r="N24" s="83">
        <v>1040</v>
      </c>
      <c r="O24" s="93" t="s">
        <v>152</v>
      </c>
      <c r="P24" s="93" t="s">
        <v>144</v>
      </c>
      <c r="Q24" s="84">
        <f>IF(DATA[[#This Row],[Column1]]="Normal", 13 * DATA[[#This Row],[STORAGE DAYS]], 20 * DATA[[#This Row],[STORAGE DAYS]])</f>
        <v>1040</v>
      </c>
      <c r="R24" s="84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 t="shared" si="0"/>
        <v>349</v>
      </c>
      <c r="U24" s="112">
        <v>2024</v>
      </c>
      <c r="V24" s="112" t="s">
        <v>1911</v>
      </c>
      <c r="W24" s="112">
        <v>2024</v>
      </c>
      <c r="X24" s="112" t="s">
        <v>1910</v>
      </c>
    </row>
    <row r="25" spans="1:24" s="37" customFormat="1" ht="21" hidden="1" x14ac:dyDescent="0.25">
      <c r="A25" s="77" t="s">
        <v>153</v>
      </c>
      <c r="B25" s="78" t="s">
        <v>154</v>
      </c>
      <c r="C25" s="78">
        <v>53</v>
      </c>
      <c r="D25" s="79" t="s">
        <v>4</v>
      </c>
      <c r="E25" s="79" t="s">
        <v>155</v>
      </c>
      <c r="F25" s="79" t="s">
        <v>1582</v>
      </c>
      <c r="G25" s="79" t="s">
        <v>27</v>
      </c>
      <c r="H25" s="81">
        <v>0.47222222222222221</v>
      </c>
      <c r="I25" s="79" t="s">
        <v>10</v>
      </c>
      <c r="J25" s="82">
        <v>45552</v>
      </c>
      <c r="K25" s="82">
        <v>45576</v>
      </c>
      <c r="L25" s="78">
        <f>IF(ISBLANK(DATA[[#This Row],[DISCHARGE DATE]]), "NO DATE", DATA[[#This Row],[DISCHARGE DATE]]-DATA[[#This Row],[ADMISSION DATE]]+1)</f>
        <v>25</v>
      </c>
      <c r="M25" s="83">
        <v>350</v>
      </c>
      <c r="N25" s="83">
        <v>325</v>
      </c>
      <c r="O25" s="93" t="s">
        <v>85</v>
      </c>
      <c r="P25" s="93" t="s">
        <v>89</v>
      </c>
      <c r="Q25" s="84">
        <f>IF(DATA[[#This Row],[Column1]]="Normal", 13 * DATA[[#This Row],[STORAGE DAYS]], 20 * DATA[[#This Row],[STORAGE DAYS]])</f>
        <v>325</v>
      </c>
      <c r="R25" s="84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 t="shared" si="0"/>
        <v>349</v>
      </c>
      <c r="U25" s="112">
        <v>2024</v>
      </c>
      <c r="V25" s="112" t="s">
        <v>1911</v>
      </c>
      <c r="W25" s="112">
        <v>2024</v>
      </c>
      <c r="X25" s="112" t="s">
        <v>1914</v>
      </c>
    </row>
    <row r="26" spans="1:24" s="37" customFormat="1" ht="21" hidden="1" x14ac:dyDescent="0.25">
      <c r="A26" s="77" t="s">
        <v>156</v>
      </c>
      <c r="B26" s="78" t="s">
        <v>157</v>
      </c>
      <c r="C26" s="78">
        <v>83</v>
      </c>
      <c r="D26" s="79" t="s">
        <v>5</v>
      </c>
      <c r="E26" s="79" t="s">
        <v>158</v>
      </c>
      <c r="F26" s="79" t="s">
        <v>1583</v>
      </c>
      <c r="G26" s="79" t="s">
        <v>27</v>
      </c>
      <c r="H26" s="81">
        <v>0.77083333333333337</v>
      </c>
      <c r="I26" s="79" t="s">
        <v>10</v>
      </c>
      <c r="J26" s="82">
        <v>45552</v>
      </c>
      <c r="K26" s="82">
        <v>45625</v>
      </c>
      <c r="L26" s="78">
        <f>IF(ISBLANK(DATA[[#This Row],[DISCHARGE DATE]]), "NO DATE", DATA[[#This Row],[DISCHARGE DATE]]-DATA[[#This Row],[ADMISSION DATE]]+1)</f>
        <v>74</v>
      </c>
      <c r="M26" s="83">
        <v>350</v>
      </c>
      <c r="N26" s="83">
        <v>962</v>
      </c>
      <c r="O26" s="93" t="s">
        <v>159</v>
      </c>
      <c r="P26" s="93" t="s">
        <v>139</v>
      </c>
      <c r="Q26" s="84">
        <f>IF(DATA[[#This Row],[Column1]]="Normal", 13 * DATA[[#This Row],[STORAGE DAYS]], 20 * DATA[[#This Row],[STORAGE DAYS]])</f>
        <v>962</v>
      </c>
      <c r="R26" s="84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 t="shared" si="0"/>
        <v>349</v>
      </c>
      <c r="U26" s="112">
        <v>2024</v>
      </c>
      <c r="V26" s="112" t="s">
        <v>1911</v>
      </c>
      <c r="W26" s="112">
        <v>2024</v>
      </c>
      <c r="X26" s="112" t="s">
        <v>1910</v>
      </c>
    </row>
    <row r="27" spans="1:24" s="37" customFormat="1" ht="21" hidden="1" x14ac:dyDescent="0.25">
      <c r="A27" s="77" t="s">
        <v>160</v>
      </c>
      <c r="B27" s="78" t="s">
        <v>161</v>
      </c>
      <c r="C27" s="78">
        <v>35</v>
      </c>
      <c r="D27" s="79" t="s">
        <v>5</v>
      </c>
      <c r="E27" s="79" t="s">
        <v>162</v>
      </c>
      <c r="F27" s="79" t="s">
        <v>1584</v>
      </c>
      <c r="G27" s="79" t="s">
        <v>19</v>
      </c>
      <c r="H27" s="81">
        <v>0.3125</v>
      </c>
      <c r="I27" s="79" t="s">
        <v>10</v>
      </c>
      <c r="J27" s="82">
        <v>45560</v>
      </c>
      <c r="K27" s="82">
        <v>45625</v>
      </c>
      <c r="L27" s="78">
        <f>IF(ISBLANK(DATA[[#This Row],[DISCHARGE DATE]]), "NO DATE", DATA[[#This Row],[DISCHARGE DATE]]-DATA[[#This Row],[ADMISSION DATE]]+1)</f>
        <v>66</v>
      </c>
      <c r="M27" s="83">
        <v>350</v>
      </c>
      <c r="N27" s="83">
        <v>858</v>
      </c>
      <c r="O27" s="93" t="s">
        <v>163</v>
      </c>
      <c r="P27" s="93" t="s">
        <v>152</v>
      </c>
      <c r="Q27" s="84">
        <f>IF(DATA[[#This Row],[Column1]]="Normal", 13 * DATA[[#This Row],[STORAGE DAYS]], 20 * DATA[[#This Row],[STORAGE DAYS]])</f>
        <v>858</v>
      </c>
      <c r="R27" s="84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 t="shared" si="0"/>
        <v>349</v>
      </c>
      <c r="U27" s="112">
        <v>2024</v>
      </c>
      <c r="V27" s="112" t="s">
        <v>1911</v>
      </c>
      <c r="W27" s="112">
        <v>2024</v>
      </c>
      <c r="X27" s="112" t="s">
        <v>1910</v>
      </c>
    </row>
    <row r="28" spans="1:24" s="37" customFormat="1" ht="21" hidden="1" x14ac:dyDescent="0.25">
      <c r="A28" s="77" t="s">
        <v>164</v>
      </c>
      <c r="B28" s="78" t="s">
        <v>165</v>
      </c>
      <c r="C28" s="78">
        <v>42</v>
      </c>
      <c r="D28" s="79" t="s">
        <v>4</v>
      </c>
      <c r="E28" s="79" t="s">
        <v>166</v>
      </c>
      <c r="F28" s="79" t="s">
        <v>1585</v>
      </c>
      <c r="G28" s="79" t="s">
        <v>27</v>
      </c>
      <c r="H28" s="81">
        <v>0.77083333333333337</v>
      </c>
      <c r="I28" s="79" t="s">
        <v>10</v>
      </c>
      <c r="J28" s="82">
        <v>45560</v>
      </c>
      <c r="K28" s="82">
        <v>45625</v>
      </c>
      <c r="L28" s="78">
        <f>IF(ISBLANK(DATA[[#This Row],[DISCHARGE DATE]]), "NO DATE", DATA[[#This Row],[DISCHARGE DATE]]-DATA[[#This Row],[ADMISSION DATE]]+1)</f>
        <v>66</v>
      </c>
      <c r="M28" s="83">
        <v>350</v>
      </c>
      <c r="N28" s="83">
        <v>858</v>
      </c>
      <c r="O28" s="93" t="s">
        <v>167</v>
      </c>
      <c r="P28" s="93" t="s">
        <v>159</v>
      </c>
      <c r="Q28" s="84">
        <f>IF(DATA[[#This Row],[Column1]]="Normal", 13 * DATA[[#This Row],[STORAGE DAYS]], 20 * DATA[[#This Row],[STORAGE DAYS]])</f>
        <v>858</v>
      </c>
      <c r="R28" s="84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 t="shared" si="0"/>
        <v>349</v>
      </c>
      <c r="U28" s="112">
        <v>2024</v>
      </c>
      <c r="V28" s="112" t="s">
        <v>1911</v>
      </c>
      <c r="W28" s="112">
        <v>2024</v>
      </c>
      <c r="X28" s="112" t="s">
        <v>1910</v>
      </c>
    </row>
    <row r="29" spans="1:24" s="37" customFormat="1" ht="21" hidden="1" x14ac:dyDescent="0.25">
      <c r="A29" s="77" t="s">
        <v>168</v>
      </c>
      <c r="B29" s="78" t="s">
        <v>169</v>
      </c>
      <c r="C29" s="78">
        <v>49</v>
      </c>
      <c r="D29" s="79" t="s">
        <v>5</v>
      </c>
      <c r="E29" s="79" t="s">
        <v>170</v>
      </c>
      <c r="F29" s="79" t="s">
        <v>1586</v>
      </c>
      <c r="G29" s="79" t="s">
        <v>25</v>
      </c>
      <c r="H29" s="81">
        <v>0.66666666666666663</v>
      </c>
      <c r="I29" s="79" t="s">
        <v>10</v>
      </c>
      <c r="J29" s="82">
        <v>45565</v>
      </c>
      <c r="K29" s="82">
        <v>45625</v>
      </c>
      <c r="L29" s="78">
        <f>IF(ISBLANK(DATA[[#This Row],[DISCHARGE DATE]]), "NO DATE", DATA[[#This Row],[DISCHARGE DATE]]-DATA[[#This Row],[ADMISSION DATE]]+1)</f>
        <v>61</v>
      </c>
      <c r="M29" s="83">
        <v>350</v>
      </c>
      <c r="N29" s="83">
        <v>793</v>
      </c>
      <c r="O29" s="93" t="s">
        <v>171</v>
      </c>
      <c r="P29" s="93" t="s">
        <v>148</v>
      </c>
      <c r="Q29" s="84">
        <f>IF(DATA[[#This Row],[Column1]]="Normal", 13 * DATA[[#This Row],[STORAGE DAYS]], 20 * DATA[[#This Row],[STORAGE DAYS]])</f>
        <v>793</v>
      </c>
      <c r="R29" s="84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 t="shared" si="0"/>
        <v>349</v>
      </c>
      <c r="U29" s="112">
        <v>2024</v>
      </c>
      <c r="V29" s="112" t="s">
        <v>1911</v>
      </c>
      <c r="W29" s="112">
        <v>2024</v>
      </c>
      <c r="X29" s="112" t="s">
        <v>1910</v>
      </c>
    </row>
    <row r="30" spans="1:24" s="37" customFormat="1" ht="21" hidden="1" x14ac:dyDescent="0.25">
      <c r="A30" s="77" t="s">
        <v>172</v>
      </c>
      <c r="B30" s="78" t="s">
        <v>173</v>
      </c>
      <c r="C30" s="78">
        <v>53</v>
      </c>
      <c r="D30" s="79" t="s">
        <v>5</v>
      </c>
      <c r="E30" s="79" t="s">
        <v>174</v>
      </c>
      <c r="F30" s="79" t="s">
        <v>1587</v>
      </c>
      <c r="G30" s="79" t="s">
        <v>22</v>
      </c>
      <c r="H30" s="81">
        <v>0.46944444444444444</v>
      </c>
      <c r="I30" s="79" t="s">
        <v>10</v>
      </c>
      <c r="J30" s="82">
        <v>45566</v>
      </c>
      <c r="K30" s="82">
        <v>45618</v>
      </c>
      <c r="L30" s="78">
        <f>IF(ISBLANK(DATA[[#This Row],[DISCHARGE DATE]]), "NO DATE", DATA[[#This Row],[DISCHARGE DATE]]-DATA[[#This Row],[ADMISSION DATE]]+1)</f>
        <v>53</v>
      </c>
      <c r="M30" s="83">
        <v>350</v>
      </c>
      <c r="N30" s="83">
        <v>1060</v>
      </c>
      <c r="O30" s="93" t="s">
        <v>175</v>
      </c>
      <c r="P30" s="93" t="s">
        <v>124</v>
      </c>
      <c r="Q30" s="84">
        <f>IF(DATA[[#This Row],[Column1]]="Normal", 13 * DATA[[#This Row],[STORAGE DAYS]], 20 * DATA[[#This Row],[STORAGE DAYS]])</f>
        <v>689</v>
      </c>
      <c r="R30" s="84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 t="shared" si="0"/>
        <v>349</v>
      </c>
      <c r="U30" s="112">
        <v>2024</v>
      </c>
      <c r="V30" s="112" t="s">
        <v>1914</v>
      </c>
      <c r="W30" s="112">
        <v>2024</v>
      </c>
      <c r="X30" s="112" t="s">
        <v>1910</v>
      </c>
    </row>
    <row r="31" spans="1:24" s="37" customFormat="1" ht="21" hidden="1" x14ac:dyDescent="0.25">
      <c r="A31" s="77" t="s">
        <v>176</v>
      </c>
      <c r="B31" s="78" t="s">
        <v>177</v>
      </c>
      <c r="C31" s="78">
        <v>62</v>
      </c>
      <c r="D31" s="79" t="s">
        <v>4</v>
      </c>
      <c r="E31" s="79" t="s">
        <v>178</v>
      </c>
      <c r="F31" s="79" t="s">
        <v>1588</v>
      </c>
      <c r="G31" s="79" t="s">
        <v>25</v>
      </c>
      <c r="H31" s="81">
        <v>0.61805555555555558</v>
      </c>
      <c r="I31" s="79" t="s">
        <v>10</v>
      </c>
      <c r="J31" s="82">
        <v>45567</v>
      </c>
      <c r="K31" s="82">
        <v>45723</v>
      </c>
      <c r="L31" s="78">
        <f>IF(ISBLANK(DATA[[#This Row],[DISCHARGE DATE]]), "NO DATE", DATA[[#This Row],[DISCHARGE DATE]]-DATA[[#This Row],[ADMISSION DATE]]+1)</f>
        <v>157</v>
      </c>
      <c r="M31" s="83">
        <v>350</v>
      </c>
      <c r="N31" s="83">
        <v>2132</v>
      </c>
      <c r="O31" s="93" t="s">
        <v>179</v>
      </c>
      <c r="P31" s="93" t="s">
        <v>180</v>
      </c>
      <c r="Q31" s="84">
        <f>IF(DATA[[#This Row],[Column1]]="Normal", 13 * DATA[[#This Row],[STORAGE DAYS]], 20 * DATA[[#This Row],[STORAGE DAYS]])</f>
        <v>2041</v>
      </c>
      <c r="R31" s="84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 t="shared" si="0"/>
        <v>349</v>
      </c>
      <c r="U31" s="112">
        <v>2024</v>
      </c>
      <c r="V31" s="112" t="s">
        <v>1914</v>
      </c>
      <c r="W31" s="112">
        <v>2025</v>
      </c>
      <c r="X31" s="112" t="s">
        <v>1912</v>
      </c>
    </row>
    <row r="32" spans="1:24" s="37" customFormat="1" ht="21" hidden="1" x14ac:dyDescent="0.25">
      <c r="A32" s="77" t="s">
        <v>181</v>
      </c>
      <c r="B32" s="78" t="s">
        <v>182</v>
      </c>
      <c r="C32" s="78">
        <v>65</v>
      </c>
      <c r="D32" s="79" t="s">
        <v>5</v>
      </c>
      <c r="E32" s="79" t="s">
        <v>183</v>
      </c>
      <c r="F32" s="79" t="s">
        <v>1589</v>
      </c>
      <c r="G32" s="79" t="s">
        <v>11</v>
      </c>
      <c r="H32" s="81">
        <v>0.72569444444444442</v>
      </c>
      <c r="I32" s="79" t="s">
        <v>10</v>
      </c>
      <c r="J32" s="82">
        <v>45571</v>
      </c>
      <c r="K32" s="82">
        <v>45611</v>
      </c>
      <c r="L32" s="78">
        <f>IF(ISBLANK(DATA[[#This Row],[DISCHARGE DATE]]), "NO DATE", DATA[[#This Row],[DISCHARGE DATE]]-DATA[[#This Row],[ADMISSION DATE]]+1)</f>
        <v>41</v>
      </c>
      <c r="M32" s="83">
        <v>350</v>
      </c>
      <c r="N32" s="83">
        <v>533</v>
      </c>
      <c r="O32" s="93" t="s">
        <v>184</v>
      </c>
      <c r="P32" s="93" t="s">
        <v>119</v>
      </c>
      <c r="Q32" s="84">
        <f>IF(DATA[[#This Row],[Column1]]="Normal", 13 * DATA[[#This Row],[STORAGE DAYS]], 20 * DATA[[#This Row],[STORAGE DAYS]])</f>
        <v>533</v>
      </c>
      <c r="R32" s="84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 t="shared" si="0"/>
        <v>349</v>
      </c>
      <c r="U32" s="112">
        <v>2024</v>
      </c>
      <c r="V32" s="112" t="s">
        <v>1914</v>
      </c>
      <c r="W32" s="112">
        <v>2024</v>
      </c>
      <c r="X32" s="112" t="s">
        <v>1910</v>
      </c>
    </row>
    <row r="33" spans="1:24" s="37" customFormat="1" ht="21" hidden="1" x14ac:dyDescent="0.25">
      <c r="A33" s="77" t="s">
        <v>185</v>
      </c>
      <c r="B33" s="78" t="s">
        <v>186</v>
      </c>
      <c r="C33" s="78">
        <v>90</v>
      </c>
      <c r="D33" s="79" t="s">
        <v>4</v>
      </c>
      <c r="E33" s="79" t="s">
        <v>187</v>
      </c>
      <c r="F33" s="79" t="s">
        <v>1590</v>
      </c>
      <c r="G33" s="79" t="s">
        <v>27</v>
      </c>
      <c r="H33" s="81">
        <v>0.72916666666666663</v>
      </c>
      <c r="I33" s="79" t="s">
        <v>10</v>
      </c>
      <c r="J33" s="82">
        <v>45572</v>
      </c>
      <c r="K33" s="82">
        <v>45744</v>
      </c>
      <c r="L33" s="78">
        <f>IF(ISBLANK(DATA[[#This Row],[DISCHARGE DATE]]), "NO DATE", DATA[[#This Row],[DISCHARGE DATE]]-DATA[[#This Row],[ADMISSION DATE]]+1)</f>
        <v>173</v>
      </c>
      <c r="M33" s="83">
        <v>350</v>
      </c>
      <c r="N33" s="83">
        <v>2249</v>
      </c>
      <c r="O33" s="93" t="s">
        <v>188</v>
      </c>
      <c r="P33" s="93" t="s">
        <v>189</v>
      </c>
      <c r="Q33" s="84">
        <f>IF(DATA[[#This Row],[Column1]]="Normal", 13 * DATA[[#This Row],[STORAGE DAYS]], 20 * DATA[[#This Row],[STORAGE DAYS]])</f>
        <v>2249</v>
      </c>
      <c r="R33" s="84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 t="shared" si="0"/>
        <v>349</v>
      </c>
      <c r="U33" s="112">
        <v>2024</v>
      </c>
      <c r="V33" s="112" t="s">
        <v>1914</v>
      </c>
      <c r="W33" s="112">
        <v>2025</v>
      </c>
      <c r="X33" s="112" t="s">
        <v>1912</v>
      </c>
    </row>
    <row r="34" spans="1:24" s="37" customFormat="1" ht="21" hidden="1" x14ac:dyDescent="0.25">
      <c r="A34" s="77" t="s">
        <v>190</v>
      </c>
      <c r="B34" s="78" t="s">
        <v>191</v>
      </c>
      <c r="C34" s="78">
        <v>70</v>
      </c>
      <c r="D34" s="79" t="s">
        <v>4</v>
      </c>
      <c r="E34" s="79" t="s">
        <v>192</v>
      </c>
      <c r="F34" s="79" t="s">
        <v>1591</v>
      </c>
      <c r="G34" s="79" t="s">
        <v>27</v>
      </c>
      <c r="H34" s="81">
        <v>0.5625</v>
      </c>
      <c r="I34" s="79" t="s">
        <v>12</v>
      </c>
      <c r="J34" s="82">
        <v>45575</v>
      </c>
      <c r="K34" s="82">
        <v>45772</v>
      </c>
      <c r="L34" s="78">
        <f>IF(ISBLANK(DATA[[#This Row],[DISCHARGE DATE]]), "NO DATE", DATA[[#This Row],[DISCHARGE DATE]]-DATA[[#This Row],[ADMISSION DATE]]+1)</f>
        <v>198</v>
      </c>
      <c r="M34" s="83">
        <v>350</v>
      </c>
      <c r="N34" s="83">
        <v>3960</v>
      </c>
      <c r="O34" s="93" t="s">
        <v>193</v>
      </c>
      <c r="P34" s="93" t="s">
        <v>194</v>
      </c>
      <c r="Q34" s="84">
        <f>IF(DATA[[#This Row],[Column1]]="Normal", 13 * DATA[[#This Row],[STORAGE DAYS]], 20 * DATA[[#This Row],[STORAGE DAYS]])</f>
        <v>3960</v>
      </c>
      <c r="R34" s="84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 t="shared" si="0"/>
        <v>349</v>
      </c>
      <c r="U34" s="112">
        <v>2024</v>
      </c>
      <c r="V34" s="112" t="s">
        <v>1914</v>
      </c>
      <c r="W34" s="112">
        <v>2025</v>
      </c>
      <c r="X34" s="112" t="s">
        <v>1873</v>
      </c>
    </row>
    <row r="35" spans="1:24" s="37" customFormat="1" ht="21" hidden="1" x14ac:dyDescent="0.25">
      <c r="A35" s="77" t="s">
        <v>195</v>
      </c>
      <c r="B35" s="78" t="s">
        <v>196</v>
      </c>
      <c r="C35" s="78">
        <v>23</v>
      </c>
      <c r="D35" s="79" t="s">
        <v>4</v>
      </c>
      <c r="E35" s="79" t="s">
        <v>197</v>
      </c>
      <c r="F35" s="79" t="s">
        <v>1592</v>
      </c>
      <c r="G35" s="79" t="s">
        <v>26</v>
      </c>
      <c r="H35" s="81">
        <v>0.72916666666666663</v>
      </c>
      <c r="I35" s="79" t="s">
        <v>12</v>
      </c>
      <c r="J35" s="82">
        <v>45576</v>
      </c>
      <c r="K35" s="82">
        <v>45743</v>
      </c>
      <c r="L35" s="78">
        <f>IF(ISBLANK(DATA[[#This Row],[DISCHARGE DATE]]), "NO DATE", DATA[[#This Row],[DISCHARGE DATE]]-DATA[[#This Row],[ADMISSION DATE]]+1)</f>
        <v>168</v>
      </c>
      <c r="M35" s="83">
        <v>350</v>
      </c>
      <c r="N35" s="83">
        <v>3360</v>
      </c>
      <c r="O35" s="93" t="s">
        <v>198</v>
      </c>
      <c r="P35" s="93" t="s">
        <v>199</v>
      </c>
      <c r="Q35" s="84">
        <f>IF(DATA[[#This Row],[Column1]]="Normal", 13 * DATA[[#This Row],[STORAGE DAYS]], 20 * DATA[[#This Row],[STORAGE DAYS]])</f>
        <v>3360</v>
      </c>
      <c r="R35" s="84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 t="shared" si="0"/>
        <v>349</v>
      </c>
      <c r="U35" s="112">
        <v>2024</v>
      </c>
      <c r="V35" s="112" t="s">
        <v>1914</v>
      </c>
      <c r="W35" s="112">
        <v>2025</v>
      </c>
      <c r="X35" s="112" t="s">
        <v>1912</v>
      </c>
    </row>
    <row r="36" spans="1:24" s="37" customFormat="1" ht="21" hidden="1" x14ac:dyDescent="0.25">
      <c r="A36" s="77" t="s">
        <v>200</v>
      </c>
      <c r="B36" s="78" t="s">
        <v>201</v>
      </c>
      <c r="C36" s="78">
        <v>60</v>
      </c>
      <c r="D36" s="79" t="s">
        <v>5</v>
      </c>
      <c r="E36" s="79" t="s">
        <v>202</v>
      </c>
      <c r="F36" s="79" t="s">
        <v>1593</v>
      </c>
      <c r="G36" s="79" t="s">
        <v>20</v>
      </c>
      <c r="H36" s="81">
        <v>0.33333333333333331</v>
      </c>
      <c r="I36" s="79" t="s">
        <v>10</v>
      </c>
      <c r="J36" s="82">
        <v>45577</v>
      </c>
      <c r="K36" s="82">
        <v>45597</v>
      </c>
      <c r="L36" s="78">
        <f>IF(ISBLANK(DATA[[#This Row],[DISCHARGE DATE]]), "NO DATE", DATA[[#This Row],[DISCHARGE DATE]]-DATA[[#This Row],[ADMISSION DATE]]+1)</f>
        <v>21</v>
      </c>
      <c r="M36" s="83">
        <v>350</v>
      </c>
      <c r="N36" s="83">
        <v>273</v>
      </c>
      <c r="O36" s="93" t="s">
        <v>203</v>
      </c>
      <c r="P36" s="93" t="s">
        <v>102</v>
      </c>
      <c r="Q36" s="84">
        <f>IF(DATA[[#This Row],[Column1]]="Normal", 13 * DATA[[#This Row],[STORAGE DAYS]], 20 * DATA[[#This Row],[STORAGE DAYS]])</f>
        <v>273</v>
      </c>
      <c r="R36" s="84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 t="shared" si="0"/>
        <v>349</v>
      </c>
      <c r="U36" s="112">
        <v>2024</v>
      </c>
      <c r="V36" s="112" t="s">
        <v>1914</v>
      </c>
      <c r="W36" s="112">
        <v>2024</v>
      </c>
      <c r="X36" s="112" t="s">
        <v>1910</v>
      </c>
    </row>
    <row r="37" spans="1:24" s="37" customFormat="1" ht="21" hidden="1" x14ac:dyDescent="0.25">
      <c r="A37" s="77" t="s">
        <v>204</v>
      </c>
      <c r="B37" s="78" t="s">
        <v>205</v>
      </c>
      <c r="C37" s="78">
        <v>55</v>
      </c>
      <c r="D37" s="79" t="s">
        <v>5</v>
      </c>
      <c r="E37" s="79" t="s">
        <v>206</v>
      </c>
      <c r="F37" s="79" t="s">
        <v>1594</v>
      </c>
      <c r="G37" s="79" t="s">
        <v>26</v>
      </c>
      <c r="H37" s="81">
        <v>0.83333333333333337</v>
      </c>
      <c r="I37" s="79" t="s">
        <v>10</v>
      </c>
      <c r="J37" s="82">
        <v>45576</v>
      </c>
      <c r="K37" s="82">
        <v>45709</v>
      </c>
      <c r="L37" s="78">
        <f>IF(ISBLANK(DATA[[#This Row],[DISCHARGE DATE]]), "NO DATE", DATA[[#This Row],[DISCHARGE DATE]]-DATA[[#This Row],[ADMISSION DATE]]+1)</f>
        <v>134</v>
      </c>
      <c r="M37" s="83">
        <v>350</v>
      </c>
      <c r="N37" s="83">
        <v>1742</v>
      </c>
      <c r="O37" s="93" t="s">
        <v>207</v>
      </c>
      <c r="P37" s="93" t="s">
        <v>193</v>
      </c>
      <c r="Q37" s="84">
        <f>IF(DATA[[#This Row],[Column1]]="Normal", 13 * DATA[[#This Row],[STORAGE DAYS]], 20 * DATA[[#This Row],[STORAGE DAYS]])</f>
        <v>1742</v>
      </c>
      <c r="R37" s="84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 t="shared" si="0"/>
        <v>349</v>
      </c>
      <c r="U37" s="112">
        <v>2024</v>
      </c>
      <c r="V37" s="112" t="s">
        <v>1914</v>
      </c>
      <c r="W37" s="112">
        <v>2025</v>
      </c>
      <c r="X37" s="112" t="s">
        <v>1915</v>
      </c>
    </row>
    <row r="38" spans="1:24" s="37" customFormat="1" ht="21" hidden="1" x14ac:dyDescent="0.25">
      <c r="A38" s="77" t="s">
        <v>208</v>
      </c>
      <c r="B38" s="78" t="s">
        <v>1553</v>
      </c>
      <c r="C38" s="78">
        <v>36</v>
      </c>
      <c r="D38" s="79" t="s">
        <v>5</v>
      </c>
      <c r="E38" s="79" t="s">
        <v>209</v>
      </c>
      <c r="F38" s="79" t="s">
        <v>1595</v>
      </c>
      <c r="G38" s="79" t="s">
        <v>26</v>
      </c>
      <c r="H38" s="81">
        <v>0.75</v>
      </c>
      <c r="I38" s="79" t="s">
        <v>10</v>
      </c>
      <c r="J38" s="82">
        <v>45578</v>
      </c>
      <c r="K38" s="82">
        <v>45744</v>
      </c>
      <c r="L38" s="78">
        <f>IF(ISBLANK(DATA[[#This Row],[DISCHARGE DATE]]), "NO DATE", DATA[[#This Row],[DISCHARGE DATE]]-DATA[[#This Row],[ADMISSION DATE]]+1)</f>
        <v>167</v>
      </c>
      <c r="M38" s="83">
        <v>350</v>
      </c>
      <c r="N38" s="83">
        <v>2171</v>
      </c>
      <c r="O38" s="93" t="s">
        <v>210</v>
      </c>
      <c r="P38" s="93" t="s">
        <v>211</v>
      </c>
      <c r="Q38" s="84">
        <f>IF(DATA[[#This Row],[Column1]]="Normal", 13 * DATA[[#This Row],[STORAGE DAYS]], 20 * DATA[[#This Row],[STORAGE DAYS]])</f>
        <v>2171</v>
      </c>
      <c r="R38" s="84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 t="shared" si="0"/>
        <v>349</v>
      </c>
      <c r="U38" s="112">
        <v>2024</v>
      </c>
      <c r="V38" s="112" t="s">
        <v>1914</v>
      </c>
      <c r="W38" s="112">
        <v>2025</v>
      </c>
      <c r="X38" s="112" t="s">
        <v>1912</v>
      </c>
    </row>
    <row r="39" spans="1:24" s="37" customFormat="1" ht="21" hidden="1" x14ac:dyDescent="0.25">
      <c r="A39" s="77" t="s">
        <v>212</v>
      </c>
      <c r="B39" s="78" t="s">
        <v>213</v>
      </c>
      <c r="C39" s="78">
        <v>80</v>
      </c>
      <c r="D39" s="79" t="s">
        <v>5</v>
      </c>
      <c r="E39" s="79" t="s">
        <v>214</v>
      </c>
      <c r="F39" s="79" t="s">
        <v>1596</v>
      </c>
      <c r="G39" s="79" t="s">
        <v>26</v>
      </c>
      <c r="H39" s="81">
        <v>0.25</v>
      </c>
      <c r="I39" s="79" t="s">
        <v>12</v>
      </c>
      <c r="J39" s="82">
        <v>45583</v>
      </c>
      <c r="K39" s="82">
        <v>45730</v>
      </c>
      <c r="L39" s="78">
        <f>IF(ISBLANK(DATA[[#This Row],[DISCHARGE DATE]]), "NO DATE", DATA[[#This Row],[DISCHARGE DATE]]-DATA[[#This Row],[ADMISSION DATE]]+1)</f>
        <v>148</v>
      </c>
      <c r="M39" s="83">
        <v>350</v>
      </c>
      <c r="N39" s="83">
        <v>2960</v>
      </c>
      <c r="O39" s="93" t="s">
        <v>180</v>
      </c>
      <c r="P39" s="93" t="s">
        <v>215</v>
      </c>
      <c r="Q39" s="84">
        <f>IF(DATA[[#This Row],[Column1]]="Normal", 13 * DATA[[#This Row],[STORAGE DAYS]], 20 * DATA[[#This Row],[STORAGE DAYS]])</f>
        <v>2960</v>
      </c>
      <c r="R39" s="84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 t="shared" si="0"/>
        <v>349</v>
      </c>
      <c r="U39" s="112">
        <v>2024</v>
      </c>
      <c r="V39" s="112" t="s">
        <v>1914</v>
      </c>
      <c r="W39" s="112">
        <v>2025</v>
      </c>
      <c r="X39" s="112" t="s">
        <v>1912</v>
      </c>
    </row>
    <row r="40" spans="1:24" s="37" customFormat="1" ht="21" hidden="1" x14ac:dyDescent="0.25">
      <c r="A40" s="77" t="s">
        <v>216</v>
      </c>
      <c r="B40" s="78" t="s">
        <v>217</v>
      </c>
      <c r="C40" s="78">
        <v>74</v>
      </c>
      <c r="D40" s="79" t="s">
        <v>4</v>
      </c>
      <c r="E40" s="79" t="s">
        <v>218</v>
      </c>
      <c r="F40" s="79" t="s">
        <v>1597</v>
      </c>
      <c r="G40" s="79" t="s">
        <v>25</v>
      </c>
      <c r="H40" s="81">
        <v>0.875</v>
      </c>
      <c r="I40" s="79" t="s">
        <v>10</v>
      </c>
      <c r="J40" s="82">
        <v>45583</v>
      </c>
      <c r="K40" s="82">
        <v>45744</v>
      </c>
      <c r="L40" s="78">
        <f>IF(ISBLANK(DATA[[#This Row],[DISCHARGE DATE]]), "NO DATE", DATA[[#This Row],[DISCHARGE DATE]]-DATA[[#This Row],[ADMISSION DATE]]+1)</f>
        <v>162</v>
      </c>
      <c r="M40" s="83">
        <v>350</v>
      </c>
      <c r="N40" s="83">
        <v>2106</v>
      </c>
      <c r="O40" s="93" t="s">
        <v>93</v>
      </c>
      <c r="P40" s="93" t="s">
        <v>219</v>
      </c>
      <c r="Q40" s="84">
        <f>IF(DATA[[#This Row],[Column1]]="Normal", 13 * DATA[[#This Row],[STORAGE DAYS]], 20 * DATA[[#This Row],[STORAGE DAYS]])</f>
        <v>2106</v>
      </c>
      <c r="R40" s="84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 t="shared" si="0"/>
        <v>349</v>
      </c>
      <c r="U40" s="112">
        <v>2024</v>
      </c>
      <c r="V40" s="112" t="s">
        <v>1914</v>
      </c>
      <c r="W40" s="112">
        <v>2025</v>
      </c>
      <c r="X40" s="112" t="s">
        <v>1912</v>
      </c>
    </row>
    <row r="41" spans="1:24" s="37" customFormat="1" ht="21" hidden="1" x14ac:dyDescent="0.25">
      <c r="A41" s="77" t="s">
        <v>220</v>
      </c>
      <c r="B41" s="78" t="s">
        <v>221</v>
      </c>
      <c r="C41" s="78">
        <v>62</v>
      </c>
      <c r="D41" s="79" t="s">
        <v>5</v>
      </c>
      <c r="E41" s="79" t="s">
        <v>222</v>
      </c>
      <c r="F41" s="79" t="s">
        <v>1577</v>
      </c>
      <c r="G41" s="79" t="s">
        <v>27</v>
      </c>
      <c r="H41" s="81">
        <v>0.66666666666666663</v>
      </c>
      <c r="I41" s="79" t="s">
        <v>10</v>
      </c>
      <c r="J41" s="82">
        <v>45586</v>
      </c>
      <c r="K41" s="82">
        <v>45807</v>
      </c>
      <c r="L41" s="78">
        <f>IF(ISBLANK(DATA[[#This Row],[DISCHARGE DATE]]), "NO DATE", DATA[[#This Row],[DISCHARGE DATE]]-DATA[[#This Row],[ADMISSION DATE]]+1)</f>
        <v>222</v>
      </c>
      <c r="M41" s="83">
        <v>350</v>
      </c>
      <c r="N41" s="83">
        <v>2886</v>
      </c>
      <c r="O41" s="93" t="s">
        <v>223</v>
      </c>
      <c r="P41" s="93" t="s">
        <v>224</v>
      </c>
      <c r="Q41" s="84">
        <f>IF(DATA[[#This Row],[Column1]]="Normal", 13 * DATA[[#This Row],[STORAGE DAYS]], 20 * DATA[[#This Row],[STORAGE DAYS]])</f>
        <v>2886</v>
      </c>
      <c r="R41" s="84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 t="shared" si="0"/>
        <v>349</v>
      </c>
      <c r="U41" s="112">
        <v>2024</v>
      </c>
      <c r="V41" s="112" t="s">
        <v>1914</v>
      </c>
      <c r="W41" s="112">
        <v>2025</v>
      </c>
      <c r="X41" s="112" t="s">
        <v>1913</v>
      </c>
    </row>
    <row r="42" spans="1:24" s="37" customFormat="1" ht="21" hidden="1" x14ac:dyDescent="0.25">
      <c r="A42" s="77" t="s">
        <v>225</v>
      </c>
      <c r="B42" s="78" t="s">
        <v>226</v>
      </c>
      <c r="C42" s="78">
        <v>80</v>
      </c>
      <c r="D42" s="79" t="s">
        <v>5</v>
      </c>
      <c r="E42" s="79" t="s">
        <v>227</v>
      </c>
      <c r="F42" s="79" t="s">
        <v>1598</v>
      </c>
      <c r="G42" s="79" t="s">
        <v>25</v>
      </c>
      <c r="H42" s="81">
        <v>0.61805555555555558</v>
      </c>
      <c r="I42" s="79" t="s">
        <v>10</v>
      </c>
      <c r="J42" s="82">
        <v>45587</v>
      </c>
      <c r="K42" s="82">
        <v>45744</v>
      </c>
      <c r="L42" s="78">
        <f>IF(ISBLANK(DATA[[#This Row],[DISCHARGE DATE]]), "NO DATE", DATA[[#This Row],[DISCHARGE DATE]]-DATA[[#This Row],[ADMISSION DATE]]+1)</f>
        <v>158</v>
      </c>
      <c r="M42" s="83">
        <v>350</v>
      </c>
      <c r="N42" s="83">
        <v>2054</v>
      </c>
      <c r="O42" s="93" t="s">
        <v>228</v>
      </c>
      <c r="P42" s="93" t="s">
        <v>229</v>
      </c>
      <c r="Q42" s="84">
        <f>IF(DATA[[#This Row],[Column1]]="Normal", 13 * DATA[[#This Row],[STORAGE DAYS]], 20 * DATA[[#This Row],[STORAGE DAYS]])</f>
        <v>2054</v>
      </c>
      <c r="R42" s="84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 t="shared" si="0"/>
        <v>349</v>
      </c>
      <c r="U42" s="112">
        <v>2024</v>
      </c>
      <c r="V42" s="112" t="s">
        <v>1914</v>
      </c>
      <c r="W42" s="112">
        <v>2025</v>
      </c>
      <c r="X42" s="112" t="s">
        <v>1912</v>
      </c>
    </row>
    <row r="43" spans="1:24" s="37" customFormat="1" ht="21" hidden="1" x14ac:dyDescent="0.25">
      <c r="A43" s="77" t="s">
        <v>230</v>
      </c>
      <c r="B43" s="78" t="s">
        <v>231</v>
      </c>
      <c r="C43" s="78">
        <v>71</v>
      </c>
      <c r="D43" s="79" t="s">
        <v>5</v>
      </c>
      <c r="E43" s="79" t="s">
        <v>232</v>
      </c>
      <c r="F43" s="79" t="s">
        <v>960</v>
      </c>
      <c r="G43" s="79" t="s">
        <v>26</v>
      </c>
      <c r="H43" s="81">
        <v>0.75</v>
      </c>
      <c r="I43" s="79" t="s">
        <v>10</v>
      </c>
      <c r="J43" s="82">
        <v>45587</v>
      </c>
      <c r="K43" s="82">
        <v>45709</v>
      </c>
      <c r="L43" s="78">
        <f>IF(ISBLANK(DATA[[#This Row],[DISCHARGE DATE]]), "NO DATE", DATA[[#This Row],[DISCHARGE DATE]]-DATA[[#This Row],[ADMISSION DATE]]+1)</f>
        <v>123</v>
      </c>
      <c r="M43" s="83">
        <v>350</v>
      </c>
      <c r="N43" s="83">
        <v>1599</v>
      </c>
      <c r="O43" s="93" t="s">
        <v>215</v>
      </c>
      <c r="P43" s="93" t="s">
        <v>184</v>
      </c>
      <c r="Q43" s="84">
        <f>IF(DATA[[#This Row],[Column1]]="Normal", 13 * DATA[[#This Row],[STORAGE DAYS]], 20 * DATA[[#This Row],[STORAGE DAYS]])</f>
        <v>1599</v>
      </c>
      <c r="R43" s="84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 t="shared" si="0"/>
        <v>349</v>
      </c>
      <c r="U43" s="112">
        <v>2024</v>
      </c>
      <c r="V43" s="112" t="s">
        <v>1914</v>
      </c>
      <c r="W43" s="112">
        <v>2025</v>
      </c>
      <c r="X43" s="112" t="s">
        <v>1915</v>
      </c>
    </row>
    <row r="44" spans="1:24" s="37" customFormat="1" ht="21" hidden="1" x14ac:dyDescent="0.25">
      <c r="A44" s="77" t="s">
        <v>233</v>
      </c>
      <c r="B44" s="78" t="s">
        <v>234</v>
      </c>
      <c r="C44" s="78">
        <v>55</v>
      </c>
      <c r="D44" s="79" t="s">
        <v>5</v>
      </c>
      <c r="E44" s="79" t="s">
        <v>235</v>
      </c>
      <c r="F44" s="79" t="s">
        <v>1599</v>
      </c>
      <c r="G44" s="79" t="s">
        <v>26</v>
      </c>
      <c r="H44" s="81">
        <v>0.69444444444444442</v>
      </c>
      <c r="I44" s="79" t="s">
        <v>10</v>
      </c>
      <c r="J44" s="82">
        <v>45588</v>
      </c>
      <c r="K44" s="82">
        <v>45807</v>
      </c>
      <c r="L44" s="78">
        <f>IF(ISBLANK(DATA[[#This Row],[DISCHARGE DATE]]), "NO DATE", DATA[[#This Row],[DISCHARGE DATE]]-DATA[[#This Row],[ADMISSION DATE]]+1)</f>
        <v>220</v>
      </c>
      <c r="M44" s="83">
        <v>350</v>
      </c>
      <c r="N44" s="83">
        <v>2860</v>
      </c>
      <c r="O44" s="93" t="s">
        <v>211</v>
      </c>
      <c r="P44" s="93" t="s">
        <v>236</v>
      </c>
      <c r="Q44" s="84">
        <f>IF(DATA[[#This Row],[Column1]]="Normal", 13 * DATA[[#This Row],[STORAGE DAYS]], 20 * DATA[[#This Row],[STORAGE DAYS]])</f>
        <v>2860</v>
      </c>
      <c r="R44" s="84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 t="shared" si="0"/>
        <v>349</v>
      </c>
      <c r="U44" s="112">
        <v>2024</v>
      </c>
      <c r="V44" s="112" t="s">
        <v>1914</v>
      </c>
      <c r="W44" s="112">
        <v>2025</v>
      </c>
      <c r="X44" s="112" t="s">
        <v>1913</v>
      </c>
    </row>
    <row r="45" spans="1:24" s="37" customFormat="1" ht="21" hidden="1" x14ac:dyDescent="0.25">
      <c r="A45" s="77" t="s">
        <v>237</v>
      </c>
      <c r="B45" s="78" t="s">
        <v>238</v>
      </c>
      <c r="C45" s="78">
        <v>75</v>
      </c>
      <c r="D45" s="79" t="s">
        <v>5</v>
      </c>
      <c r="E45" s="79" t="s">
        <v>239</v>
      </c>
      <c r="F45" s="79" t="s">
        <v>1600</v>
      </c>
      <c r="G45" s="79" t="s">
        <v>27</v>
      </c>
      <c r="H45" s="81">
        <v>0.44097222222222221</v>
      </c>
      <c r="I45" s="79" t="s">
        <v>10</v>
      </c>
      <c r="J45" s="82">
        <v>45594</v>
      </c>
      <c r="K45" s="82">
        <v>45772</v>
      </c>
      <c r="L45" s="78">
        <f>IF(ISBLANK(DATA[[#This Row],[DISCHARGE DATE]]), "NO DATE", DATA[[#This Row],[DISCHARGE DATE]]-DATA[[#This Row],[ADMISSION DATE]]+1)</f>
        <v>179</v>
      </c>
      <c r="M45" s="83">
        <v>350</v>
      </c>
      <c r="N45" s="83">
        <v>2327</v>
      </c>
      <c r="O45" s="93" t="s">
        <v>240</v>
      </c>
      <c r="P45" s="93" t="s">
        <v>241</v>
      </c>
      <c r="Q45" s="84">
        <f>IF(DATA[[#This Row],[Column1]]="Normal", 13 * DATA[[#This Row],[STORAGE DAYS]], 20 * DATA[[#This Row],[STORAGE DAYS]])</f>
        <v>2327</v>
      </c>
      <c r="R45" s="84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 t="shared" si="0"/>
        <v>349</v>
      </c>
      <c r="U45" s="112">
        <v>2024</v>
      </c>
      <c r="V45" s="112" t="s">
        <v>1914</v>
      </c>
      <c r="W45" s="112">
        <v>2025</v>
      </c>
      <c r="X45" s="112" t="s">
        <v>1873</v>
      </c>
    </row>
    <row r="46" spans="1:24" s="37" customFormat="1" ht="21" hidden="1" x14ac:dyDescent="0.25">
      <c r="A46" s="77" t="s">
        <v>242</v>
      </c>
      <c r="B46" s="78" t="s">
        <v>243</v>
      </c>
      <c r="C46" s="78">
        <v>60</v>
      </c>
      <c r="D46" s="79" t="s">
        <v>4</v>
      </c>
      <c r="E46" s="79" t="s">
        <v>244</v>
      </c>
      <c r="F46" s="79" t="s">
        <v>1601</v>
      </c>
      <c r="G46" s="79" t="s">
        <v>17</v>
      </c>
      <c r="H46" s="81">
        <v>0.5</v>
      </c>
      <c r="I46" s="79" t="s">
        <v>12</v>
      </c>
      <c r="J46" s="82">
        <v>45597</v>
      </c>
      <c r="K46" s="82">
        <v>45779</v>
      </c>
      <c r="L46" s="78">
        <f>IF(ISBLANK(DATA[[#This Row],[DISCHARGE DATE]]), "NO DATE", DATA[[#This Row],[DISCHARGE DATE]]-DATA[[#This Row],[ADMISSION DATE]]+1)</f>
        <v>183</v>
      </c>
      <c r="M46" s="83">
        <v>350</v>
      </c>
      <c r="N46" s="83">
        <v>2860</v>
      </c>
      <c r="O46" s="93" t="s">
        <v>245</v>
      </c>
      <c r="P46" s="93" t="s">
        <v>246</v>
      </c>
      <c r="Q46" s="84">
        <f>IF(DATA[[#This Row],[Column1]]="Normal", 13 * DATA[[#This Row],[STORAGE DAYS]], 20 * DATA[[#This Row],[STORAGE DAYS]])</f>
        <v>3660</v>
      </c>
      <c r="R46" s="84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 t="shared" si="0"/>
        <v>349</v>
      </c>
      <c r="U46" s="112">
        <v>2024</v>
      </c>
      <c r="V46" s="112" t="s">
        <v>1910</v>
      </c>
      <c r="W46" s="112">
        <v>2025</v>
      </c>
      <c r="X46" s="112" t="s">
        <v>1913</v>
      </c>
    </row>
    <row r="47" spans="1:24" s="37" customFormat="1" ht="21" hidden="1" x14ac:dyDescent="0.25">
      <c r="A47" s="77" t="s">
        <v>247</v>
      </c>
      <c r="B47" s="78" t="s">
        <v>248</v>
      </c>
      <c r="C47" s="78">
        <v>85</v>
      </c>
      <c r="D47" s="79" t="s">
        <v>5</v>
      </c>
      <c r="E47" s="79" t="s">
        <v>249</v>
      </c>
      <c r="F47" s="79" t="s">
        <v>1602</v>
      </c>
      <c r="G47" s="79" t="s">
        <v>26</v>
      </c>
      <c r="H47" s="81">
        <v>0.20833333333333334</v>
      </c>
      <c r="I47" s="79" t="s">
        <v>12</v>
      </c>
      <c r="J47" s="82">
        <v>45602</v>
      </c>
      <c r="K47" s="82">
        <v>45772</v>
      </c>
      <c r="L47" s="78">
        <f>IF(ISBLANK(DATA[[#This Row],[DISCHARGE DATE]]), "NO DATE", DATA[[#This Row],[DISCHARGE DATE]]-DATA[[#This Row],[ADMISSION DATE]]+1)</f>
        <v>171</v>
      </c>
      <c r="M47" s="83">
        <v>350</v>
      </c>
      <c r="N47" s="83">
        <v>3420</v>
      </c>
      <c r="O47" s="93" t="s">
        <v>250</v>
      </c>
      <c r="P47" s="93" t="s">
        <v>251</v>
      </c>
      <c r="Q47" s="84">
        <f>IF(DATA[[#This Row],[Column1]]="Normal", 13 * DATA[[#This Row],[STORAGE DAYS]], 20 * DATA[[#This Row],[STORAGE DAYS]])</f>
        <v>3420</v>
      </c>
      <c r="R47" s="84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 t="shared" si="0"/>
        <v>349</v>
      </c>
      <c r="U47" s="112">
        <v>2024</v>
      </c>
      <c r="V47" s="112" t="s">
        <v>1910</v>
      </c>
      <c r="W47" s="112">
        <v>2025</v>
      </c>
      <c r="X47" s="112" t="s">
        <v>1873</v>
      </c>
    </row>
    <row r="48" spans="1:24" s="37" customFormat="1" ht="21" hidden="1" x14ac:dyDescent="0.25">
      <c r="A48" s="77" t="s">
        <v>252</v>
      </c>
      <c r="B48" s="78" t="s">
        <v>253</v>
      </c>
      <c r="C48" s="78">
        <v>56</v>
      </c>
      <c r="D48" s="79" t="s">
        <v>4</v>
      </c>
      <c r="E48" s="79" t="s">
        <v>254</v>
      </c>
      <c r="F48" s="79" t="s">
        <v>1603</v>
      </c>
      <c r="G48" s="79" t="s">
        <v>25</v>
      </c>
      <c r="H48" s="81">
        <v>0.22916666666666666</v>
      </c>
      <c r="I48" s="79" t="s">
        <v>10</v>
      </c>
      <c r="J48" s="82">
        <v>45604</v>
      </c>
      <c r="K48" s="82">
        <v>45688</v>
      </c>
      <c r="L48" s="78">
        <f>IF(ISBLANK(DATA[[#This Row],[DISCHARGE DATE]]), "NO DATE", DATA[[#This Row],[DISCHARGE DATE]]-DATA[[#This Row],[ADMISSION DATE]]+1)</f>
        <v>85</v>
      </c>
      <c r="M48" s="83">
        <v>350</v>
      </c>
      <c r="N48" s="83">
        <v>1105</v>
      </c>
      <c r="O48" s="93" t="s">
        <v>255</v>
      </c>
      <c r="P48" s="93" t="s">
        <v>167</v>
      </c>
      <c r="Q48" s="84">
        <f>IF(DATA[[#This Row],[Column1]]="Normal", 13 * DATA[[#This Row],[STORAGE DAYS]], 20 * DATA[[#This Row],[STORAGE DAYS]])</f>
        <v>1105</v>
      </c>
      <c r="R48" s="84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 t="shared" si="0"/>
        <v>349</v>
      </c>
      <c r="U48" s="112">
        <v>2024</v>
      </c>
      <c r="V48" s="112" t="s">
        <v>1910</v>
      </c>
      <c r="W48" s="112">
        <v>2025</v>
      </c>
      <c r="X48" s="112" t="s">
        <v>1874</v>
      </c>
    </row>
    <row r="49" spans="1:24" s="37" customFormat="1" ht="21" hidden="1" x14ac:dyDescent="0.25">
      <c r="A49" s="77" t="s">
        <v>256</v>
      </c>
      <c r="B49" s="78" t="s">
        <v>257</v>
      </c>
      <c r="C49" s="78">
        <v>79</v>
      </c>
      <c r="D49" s="79" t="s">
        <v>4</v>
      </c>
      <c r="E49" s="79" t="s">
        <v>258</v>
      </c>
      <c r="F49" s="79" t="s">
        <v>1604</v>
      </c>
      <c r="G49" s="79" t="s">
        <v>24</v>
      </c>
      <c r="H49" s="81">
        <v>0.54166666666666663</v>
      </c>
      <c r="I49" s="79" t="s">
        <v>10</v>
      </c>
      <c r="J49" s="82">
        <v>45604</v>
      </c>
      <c r="K49" s="82">
        <v>45723</v>
      </c>
      <c r="L49" s="78">
        <f>IF(ISBLANK(DATA[[#This Row],[DISCHARGE DATE]]), "NO DATE", DATA[[#This Row],[DISCHARGE DATE]]-DATA[[#This Row],[ADMISSION DATE]]+1)</f>
        <v>120</v>
      </c>
      <c r="M49" s="83">
        <v>350</v>
      </c>
      <c r="N49" s="83">
        <v>1469</v>
      </c>
      <c r="O49" s="93" t="s">
        <v>259</v>
      </c>
      <c r="P49" s="93" t="s">
        <v>179</v>
      </c>
      <c r="Q49" s="84">
        <f>IF(DATA[[#This Row],[Column1]]="Normal", 13 * DATA[[#This Row],[STORAGE DAYS]], 20 * DATA[[#This Row],[STORAGE DAYS]])</f>
        <v>1560</v>
      </c>
      <c r="R49" s="84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 t="shared" si="0"/>
        <v>349</v>
      </c>
      <c r="U49" s="112">
        <v>2024</v>
      </c>
      <c r="V49" s="112" t="s">
        <v>1910</v>
      </c>
      <c r="W49" s="112">
        <v>2025</v>
      </c>
      <c r="X49" s="112" t="s">
        <v>1912</v>
      </c>
    </row>
    <row r="50" spans="1:24" s="37" customFormat="1" ht="21" hidden="1" x14ac:dyDescent="0.25">
      <c r="A50" s="77" t="s">
        <v>260</v>
      </c>
      <c r="B50" s="78" t="s">
        <v>261</v>
      </c>
      <c r="C50" s="78">
        <v>73</v>
      </c>
      <c r="D50" s="79" t="s">
        <v>5</v>
      </c>
      <c r="E50" s="79" t="s">
        <v>262</v>
      </c>
      <c r="F50" s="79" t="s">
        <v>1605</v>
      </c>
      <c r="G50" s="79" t="s">
        <v>27</v>
      </c>
      <c r="H50" s="81">
        <v>0.5</v>
      </c>
      <c r="I50" s="79" t="s">
        <v>10</v>
      </c>
      <c r="J50" s="82">
        <v>45612</v>
      </c>
      <c r="K50" s="82">
        <v>45744</v>
      </c>
      <c r="L50" s="78">
        <f>IF(ISBLANK(DATA[[#This Row],[DISCHARGE DATE]]), "NO DATE", DATA[[#This Row],[DISCHARGE DATE]]-DATA[[#This Row],[ADMISSION DATE]]+1)</f>
        <v>133</v>
      </c>
      <c r="M50" s="83">
        <v>350</v>
      </c>
      <c r="N50" s="83">
        <v>1729</v>
      </c>
      <c r="O50" s="93" t="s">
        <v>263</v>
      </c>
      <c r="P50" s="93" t="s">
        <v>264</v>
      </c>
      <c r="Q50" s="84">
        <f>IF(DATA[[#This Row],[Column1]]="Normal", 13 * DATA[[#This Row],[STORAGE DAYS]], 20 * DATA[[#This Row],[STORAGE DAYS]])</f>
        <v>1729</v>
      </c>
      <c r="R50" s="84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 t="shared" si="0"/>
        <v>349</v>
      </c>
      <c r="U50" s="112">
        <v>2024</v>
      </c>
      <c r="V50" s="112" t="s">
        <v>1910</v>
      </c>
      <c r="W50" s="112">
        <v>2025</v>
      </c>
      <c r="X50" s="112" t="s">
        <v>1912</v>
      </c>
    </row>
    <row r="51" spans="1:24" s="37" customFormat="1" ht="21" hidden="1" x14ac:dyDescent="0.25">
      <c r="A51" s="77" t="s">
        <v>265</v>
      </c>
      <c r="B51" s="78" t="s">
        <v>266</v>
      </c>
      <c r="C51" s="78">
        <v>82</v>
      </c>
      <c r="D51" s="79" t="s">
        <v>5</v>
      </c>
      <c r="E51" s="79" t="s">
        <v>267</v>
      </c>
      <c r="F51" s="79" t="s">
        <v>1606</v>
      </c>
      <c r="G51" s="79" t="s">
        <v>25</v>
      </c>
      <c r="H51" s="81">
        <v>0.72916666666666663</v>
      </c>
      <c r="I51" s="79" t="s">
        <v>12</v>
      </c>
      <c r="J51" s="82">
        <v>45612</v>
      </c>
      <c r="K51" s="82">
        <v>45688</v>
      </c>
      <c r="L51" s="78">
        <f>IF(ISBLANK(DATA[[#This Row],[DISCHARGE DATE]]), "NO DATE", DATA[[#This Row],[DISCHARGE DATE]]-DATA[[#This Row],[ADMISSION DATE]]+1)</f>
        <v>77</v>
      </c>
      <c r="M51" s="83">
        <v>350</v>
      </c>
      <c r="N51" s="83">
        <v>1540</v>
      </c>
      <c r="O51" s="93" t="s">
        <v>268</v>
      </c>
      <c r="P51" s="93" t="s">
        <v>171</v>
      </c>
      <c r="Q51" s="84">
        <f>IF(DATA[[#This Row],[Column1]]="Normal", 13 * DATA[[#This Row],[STORAGE DAYS]], 20 * DATA[[#This Row],[STORAGE DAYS]])</f>
        <v>1540</v>
      </c>
      <c r="R51" s="84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 t="shared" si="0"/>
        <v>349</v>
      </c>
      <c r="U51" s="112">
        <v>2024</v>
      </c>
      <c r="V51" s="112" t="s">
        <v>1910</v>
      </c>
      <c r="W51" s="112">
        <v>2025</v>
      </c>
      <c r="X51" s="112" t="s">
        <v>1874</v>
      </c>
    </row>
    <row r="52" spans="1:24" s="37" customFormat="1" ht="21" hidden="1" x14ac:dyDescent="0.25">
      <c r="A52" s="77" t="s">
        <v>269</v>
      </c>
      <c r="B52" s="78" t="s">
        <v>270</v>
      </c>
      <c r="C52" s="78">
        <v>40</v>
      </c>
      <c r="D52" s="79" t="s">
        <v>4</v>
      </c>
      <c r="E52" s="79" t="s">
        <v>271</v>
      </c>
      <c r="F52" s="79" t="s">
        <v>1607</v>
      </c>
      <c r="G52" s="79" t="s">
        <v>22</v>
      </c>
      <c r="H52" s="81">
        <v>0.5</v>
      </c>
      <c r="I52" s="79" t="s">
        <v>10</v>
      </c>
      <c r="J52" s="82">
        <v>45614</v>
      </c>
      <c r="K52" s="82">
        <v>45709</v>
      </c>
      <c r="L52" s="78">
        <f>IF(ISBLANK(DATA[[#This Row],[DISCHARGE DATE]]), "NO DATE", DATA[[#This Row],[DISCHARGE DATE]]-DATA[[#This Row],[ADMISSION DATE]]+1)</f>
        <v>96</v>
      </c>
      <c r="M52" s="83">
        <v>350</v>
      </c>
      <c r="N52" s="83">
        <v>1920</v>
      </c>
      <c r="O52" s="93" t="s">
        <v>272</v>
      </c>
      <c r="P52" s="93" t="s">
        <v>198</v>
      </c>
      <c r="Q52" s="84">
        <f>IF(DATA[[#This Row],[Column1]]="Normal", 13 * DATA[[#This Row],[STORAGE DAYS]], 20 * DATA[[#This Row],[STORAGE DAYS]])</f>
        <v>1248</v>
      </c>
      <c r="R52" s="84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 t="shared" si="0"/>
        <v>349</v>
      </c>
      <c r="U52" s="112">
        <v>2024</v>
      </c>
      <c r="V52" s="112" t="s">
        <v>1910</v>
      </c>
      <c r="W52" s="112">
        <v>2025</v>
      </c>
      <c r="X52" s="112" t="s">
        <v>1915</v>
      </c>
    </row>
    <row r="53" spans="1:24" s="37" customFormat="1" ht="21" hidden="1" x14ac:dyDescent="0.25">
      <c r="A53" s="77" t="s">
        <v>273</v>
      </c>
      <c r="B53" s="78" t="s">
        <v>274</v>
      </c>
      <c r="C53" s="78">
        <v>70</v>
      </c>
      <c r="D53" s="79" t="s">
        <v>4</v>
      </c>
      <c r="E53" s="79" t="s">
        <v>275</v>
      </c>
      <c r="F53" s="79" t="s">
        <v>1608</v>
      </c>
      <c r="G53" s="79" t="s">
        <v>27</v>
      </c>
      <c r="H53" s="81">
        <v>0.25</v>
      </c>
      <c r="I53" s="79" t="s">
        <v>12</v>
      </c>
      <c r="J53" s="82">
        <v>45618</v>
      </c>
      <c r="K53" s="82">
        <v>45807</v>
      </c>
      <c r="L53" s="78">
        <f>IF(ISBLANK(DATA[[#This Row],[DISCHARGE DATE]]), "NO DATE", DATA[[#This Row],[DISCHARGE DATE]]-DATA[[#This Row],[ADMISSION DATE]]+1)</f>
        <v>190</v>
      </c>
      <c r="M53" s="83">
        <v>350</v>
      </c>
      <c r="N53" s="83">
        <v>3800</v>
      </c>
      <c r="O53" s="93" t="s">
        <v>276</v>
      </c>
      <c r="P53" s="93" t="s">
        <v>277</v>
      </c>
      <c r="Q53" s="84">
        <f>IF(DATA[[#This Row],[Column1]]="Normal", 13 * DATA[[#This Row],[STORAGE DAYS]], 20 * DATA[[#This Row],[STORAGE DAYS]])</f>
        <v>3800</v>
      </c>
      <c r="R53" s="84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 t="shared" si="0"/>
        <v>349</v>
      </c>
      <c r="U53" s="112">
        <v>2024</v>
      </c>
      <c r="V53" s="112" t="s">
        <v>1910</v>
      </c>
      <c r="W53" s="112">
        <v>2025</v>
      </c>
      <c r="X53" s="112" t="s">
        <v>1913</v>
      </c>
    </row>
    <row r="54" spans="1:24" s="37" customFormat="1" ht="21" hidden="1" x14ac:dyDescent="0.25">
      <c r="A54" s="77" t="s">
        <v>278</v>
      </c>
      <c r="B54" s="78" t="s">
        <v>279</v>
      </c>
      <c r="C54" s="78">
        <v>42</v>
      </c>
      <c r="D54" s="79" t="s">
        <v>4</v>
      </c>
      <c r="E54" s="79" t="s">
        <v>280</v>
      </c>
      <c r="F54" s="79" t="s">
        <v>1609</v>
      </c>
      <c r="G54" s="79" t="s">
        <v>27</v>
      </c>
      <c r="H54" s="81">
        <v>0.25</v>
      </c>
      <c r="I54" s="79" t="s">
        <v>10</v>
      </c>
      <c r="J54" s="82">
        <v>45621</v>
      </c>
      <c r="K54" s="82">
        <v>45709</v>
      </c>
      <c r="L54" s="78">
        <f>IF(ISBLANK(DATA[[#This Row],[DISCHARGE DATE]]), "NO DATE", DATA[[#This Row],[DISCHARGE DATE]]-DATA[[#This Row],[ADMISSION DATE]]+1)</f>
        <v>89</v>
      </c>
      <c r="M54" s="83">
        <v>350</v>
      </c>
      <c r="N54" s="83">
        <v>1157</v>
      </c>
      <c r="O54" s="93" t="s">
        <v>281</v>
      </c>
      <c r="P54" s="93" t="s">
        <v>207</v>
      </c>
      <c r="Q54" s="84">
        <f>IF(DATA[[#This Row],[Column1]]="Normal", 13 * DATA[[#This Row],[STORAGE DAYS]], 20 * DATA[[#This Row],[STORAGE DAYS]])</f>
        <v>1157</v>
      </c>
      <c r="R54" s="84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 t="shared" si="0"/>
        <v>349</v>
      </c>
      <c r="U54" s="112">
        <v>2024</v>
      </c>
      <c r="V54" s="112" t="s">
        <v>1910</v>
      </c>
      <c r="W54" s="112">
        <v>2025</v>
      </c>
      <c r="X54" s="112" t="s">
        <v>1915</v>
      </c>
    </row>
    <row r="55" spans="1:24" s="37" customFormat="1" ht="21" hidden="1" x14ac:dyDescent="0.25">
      <c r="A55" s="77" t="s">
        <v>282</v>
      </c>
      <c r="B55" s="78" t="s">
        <v>283</v>
      </c>
      <c r="C55" s="78">
        <v>56</v>
      </c>
      <c r="D55" s="79" t="s">
        <v>5</v>
      </c>
      <c r="E55" s="79" t="s">
        <v>284</v>
      </c>
      <c r="F55" s="79" t="s">
        <v>1608</v>
      </c>
      <c r="G55" s="79" t="s">
        <v>27</v>
      </c>
      <c r="H55" s="81">
        <v>0.77083333333333337</v>
      </c>
      <c r="I55" s="79" t="s">
        <v>12</v>
      </c>
      <c r="J55" s="82">
        <v>45619</v>
      </c>
      <c r="K55" s="82">
        <v>45744</v>
      </c>
      <c r="L55" s="78">
        <f>IF(ISBLANK(DATA[[#This Row],[DISCHARGE DATE]]), "NO DATE", DATA[[#This Row],[DISCHARGE DATE]]-DATA[[#This Row],[ADMISSION DATE]]+1)</f>
        <v>126</v>
      </c>
      <c r="M55" s="83">
        <v>350</v>
      </c>
      <c r="N55" s="83">
        <v>2520</v>
      </c>
      <c r="O55" s="93" t="s">
        <v>199</v>
      </c>
      <c r="P55" s="93" t="s">
        <v>285</v>
      </c>
      <c r="Q55" s="84">
        <f>IF(DATA[[#This Row],[Column1]]="Normal", 13 * DATA[[#This Row],[STORAGE DAYS]], 20 * DATA[[#This Row],[STORAGE DAYS]])</f>
        <v>2520</v>
      </c>
      <c r="R55" s="84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 t="shared" si="0"/>
        <v>349</v>
      </c>
      <c r="U55" s="112">
        <v>2024</v>
      </c>
      <c r="V55" s="112" t="s">
        <v>1910</v>
      </c>
      <c r="W55" s="112">
        <v>2025</v>
      </c>
      <c r="X55" s="112" t="s">
        <v>1912</v>
      </c>
    </row>
    <row r="56" spans="1:24" s="37" customFormat="1" ht="21" hidden="1" x14ac:dyDescent="0.25">
      <c r="A56" s="77" t="s">
        <v>286</v>
      </c>
      <c r="B56" s="78" t="s">
        <v>287</v>
      </c>
      <c r="C56" s="78">
        <v>87</v>
      </c>
      <c r="D56" s="79" t="s">
        <v>4</v>
      </c>
      <c r="E56" s="79" t="s">
        <v>288</v>
      </c>
      <c r="F56" s="79" t="s">
        <v>1610</v>
      </c>
      <c r="G56" s="79" t="s">
        <v>27</v>
      </c>
      <c r="H56" s="81">
        <v>0.52222222222222225</v>
      </c>
      <c r="I56" s="79" t="s">
        <v>10</v>
      </c>
      <c r="J56" s="82">
        <v>45624</v>
      </c>
      <c r="K56" s="82">
        <v>45744</v>
      </c>
      <c r="L56" s="78">
        <f>IF(ISBLANK(DATA[[#This Row],[DISCHARGE DATE]]), "NO DATE", DATA[[#This Row],[DISCHARGE DATE]]-DATA[[#This Row],[ADMISSION DATE]]+1)</f>
        <v>121</v>
      </c>
      <c r="M56" s="83">
        <v>350</v>
      </c>
      <c r="N56" s="83">
        <v>1573</v>
      </c>
      <c r="O56" s="93" t="s">
        <v>229</v>
      </c>
      <c r="P56" s="93" t="s">
        <v>259</v>
      </c>
      <c r="Q56" s="84">
        <f>IF(DATA[[#This Row],[Column1]]="Normal", 13 * DATA[[#This Row],[STORAGE DAYS]], 20 * DATA[[#This Row],[STORAGE DAYS]])</f>
        <v>1573</v>
      </c>
      <c r="R56" s="84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 t="shared" si="0"/>
        <v>349</v>
      </c>
      <c r="U56" s="112">
        <v>2024</v>
      </c>
      <c r="V56" s="112" t="s">
        <v>1910</v>
      </c>
      <c r="W56" s="112">
        <v>2025</v>
      </c>
      <c r="X56" s="112" t="s">
        <v>1912</v>
      </c>
    </row>
    <row r="57" spans="1:24" s="37" customFormat="1" ht="21" hidden="1" x14ac:dyDescent="0.25">
      <c r="A57" s="77" t="s">
        <v>289</v>
      </c>
      <c r="B57" s="78" t="s">
        <v>290</v>
      </c>
      <c r="C57" s="78">
        <v>80</v>
      </c>
      <c r="D57" s="79" t="s">
        <v>4</v>
      </c>
      <c r="E57" s="79" t="s">
        <v>291</v>
      </c>
      <c r="F57" s="79" t="s">
        <v>1611</v>
      </c>
      <c r="G57" s="79" t="s">
        <v>27</v>
      </c>
      <c r="H57" s="81">
        <v>0.52916666666666667</v>
      </c>
      <c r="I57" s="79" t="s">
        <v>12</v>
      </c>
      <c r="J57" s="82">
        <v>45625</v>
      </c>
      <c r="K57" s="82">
        <v>45723</v>
      </c>
      <c r="L57" s="78">
        <f>IF(ISBLANK(DATA[[#This Row],[DISCHARGE DATE]]), "NO DATE", DATA[[#This Row],[DISCHARGE DATE]]-DATA[[#This Row],[ADMISSION DATE]]+1)</f>
        <v>99</v>
      </c>
      <c r="M57" s="83">
        <v>350</v>
      </c>
      <c r="N57" s="83">
        <v>1980</v>
      </c>
      <c r="O57" s="93" t="s">
        <v>292</v>
      </c>
      <c r="P57" s="93" t="s">
        <v>223</v>
      </c>
      <c r="Q57" s="84">
        <f>IF(DATA[[#This Row],[Column1]]="Normal", 13 * DATA[[#This Row],[STORAGE DAYS]], 20 * DATA[[#This Row],[STORAGE DAYS]])</f>
        <v>1980</v>
      </c>
      <c r="R57" s="84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 t="shared" si="0"/>
        <v>349</v>
      </c>
      <c r="U57" s="112">
        <v>2024</v>
      </c>
      <c r="V57" s="112" t="s">
        <v>1910</v>
      </c>
      <c r="W57" s="112">
        <v>2025</v>
      </c>
      <c r="X57" s="112" t="s">
        <v>1912</v>
      </c>
    </row>
    <row r="58" spans="1:24" s="37" customFormat="1" ht="21" hidden="1" x14ac:dyDescent="0.25">
      <c r="A58" s="77" t="s">
        <v>293</v>
      </c>
      <c r="B58" s="78" t="s">
        <v>294</v>
      </c>
      <c r="C58" s="78">
        <v>62</v>
      </c>
      <c r="D58" s="79" t="s">
        <v>5</v>
      </c>
      <c r="E58" s="79" t="s">
        <v>295</v>
      </c>
      <c r="F58" s="79" t="s">
        <v>1612</v>
      </c>
      <c r="G58" s="79" t="s">
        <v>25</v>
      </c>
      <c r="H58" s="81">
        <v>0.83333333333333337</v>
      </c>
      <c r="I58" s="79" t="s">
        <v>10</v>
      </c>
      <c r="J58" s="82">
        <v>45627</v>
      </c>
      <c r="K58" s="82">
        <v>45723</v>
      </c>
      <c r="L58" s="78">
        <f>IF(ISBLANK(DATA[[#This Row],[DISCHARGE DATE]]), "NO DATE", DATA[[#This Row],[DISCHARGE DATE]]-DATA[[#This Row],[ADMISSION DATE]]+1)</f>
        <v>97</v>
      </c>
      <c r="M58" s="83">
        <v>350</v>
      </c>
      <c r="N58" s="83">
        <v>1261</v>
      </c>
      <c r="O58" s="93" t="s">
        <v>296</v>
      </c>
      <c r="P58" s="93" t="s">
        <v>210</v>
      </c>
      <c r="Q58" s="84">
        <f>IF(DATA[[#This Row],[Column1]]="Normal", 13 * DATA[[#This Row],[STORAGE DAYS]], 20 * DATA[[#This Row],[STORAGE DAYS]])</f>
        <v>1261</v>
      </c>
      <c r="R58" s="84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 t="shared" si="0"/>
        <v>349</v>
      </c>
      <c r="U58" s="112">
        <v>2024</v>
      </c>
      <c r="V58" s="112" t="s">
        <v>1916</v>
      </c>
      <c r="W58" s="112">
        <v>2025</v>
      </c>
      <c r="X58" s="112" t="s">
        <v>1912</v>
      </c>
    </row>
    <row r="59" spans="1:24" s="37" customFormat="1" ht="21" hidden="1" x14ac:dyDescent="0.25">
      <c r="A59" s="77" t="s">
        <v>297</v>
      </c>
      <c r="B59" s="78" t="s">
        <v>298</v>
      </c>
      <c r="C59" s="78">
        <v>64</v>
      </c>
      <c r="D59" s="79" t="s">
        <v>5</v>
      </c>
      <c r="E59" s="79" t="s">
        <v>299</v>
      </c>
      <c r="F59" s="79" t="s">
        <v>1613</v>
      </c>
      <c r="G59" s="79" t="s">
        <v>27</v>
      </c>
      <c r="H59" s="81">
        <v>0.61319444444444449</v>
      </c>
      <c r="I59" s="79" t="s">
        <v>10</v>
      </c>
      <c r="J59" s="82">
        <v>45628</v>
      </c>
      <c r="K59" s="82">
        <v>45744</v>
      </c>
      <c r="L59" s="78">
        <f>IF(ISBLANK(DATA[[#This Row],[DISCHARGE DATE]]), "NO DATE", DATA[[#This Row],[DISCHARGE DATE]]-DATA[[#This Row],[ADMISSION DATE]]+1)</f>
        <v>117</v>
      </c>
      <c r="M59" s="83">
        <v>350</v>
      </c>
      <c r="N59" s="83">
        <v>1521</v>
      </c>
      <c r="O59" s="93" t="s">
        <v>300</v>
      </c>
      <c r="P59" s="93" t="s">
        <v>301</v>
      </c>
      <c r="Q59" s="84">
        <f>IF(DATA[[#This Row],[Column1]]="Normal", 13 * DATA[[#This Row],[STORAGE DAYS]], 20 * DATA[[#This Row],[STORAGE DAYS]])</f>
        <v>1521</v>
      </c>
      <c r="R59" s="84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 t="shared" si="0"/>
        <v>349</v>
      </c>
      <c r="U59" s="112">
        <v>2024</v>
      </c>
      <c r="V59" s="112" t="s">
        <v>1916</v>
      </c>
      <c r="W59" s="112">
        <v>2025</v>
      </c>
      <c r="X59" s="112" t="s">
        <v>1912</v>
      </c>
    </row>
    <row r="60" spans="1:24" s="37" customFormat="1" ht="21" hidden="1" x14ac:dyDescent="0.25">
      <c r="A60" s="77" t="s">
        <v>302</v>
      </c>
      <c r="B60" s="78" t="s">
        <v>303</v>
      </c>
      <c r="C60" s="78">
        <v>43</v>
      </c>
      <c r="D60" s="79" t="s">
        <v>5</v>
      </c>
      <c r="E60" s="79" t="s">
        <v>304</v>
      </c>
      <c r="F60" s="79" t="s">
        <v>1614</v>
      </c>
      <c r="G60" s="79" t="s">
        <v>27</v>
      </c>
      <c r="H60" s="81">
        <v>0.79166666666666663</v>
      </c>
      <c r="I60" s="79" t="s">
        <v>10</v>
      </c>
      <c r="J60" s="82">
        <v>45626</v>
      </c>
      <c r="K60" s="82">
        <v>45641</v>
      </c>
      <c r="L60" s="78">
        <f>IF(ISBLANK(DATA[[#This Row],[DISCHARGE DATE]]), "NO DATE", DATA[[#This Row],[DISCHARGE DATE]]-DATA[[#This Row],[ADMISSION DATE]]+1)</f>
        <v>16</v>
      </c>
      <c r="M60" s="83">
        <v>350</v>
      </c>
      <c r="N60" s="83">
        <v>208</v>
      </c>
      <c r="O60" s="93" t="s">
        <v>103</v>
      </c>
      <c r="P60" s="93" t="s">
        <v>163</v>
      </c>
      <c r="Q60" s="84">
        <f>IF(DATA[[#This Row],[Column1]]="Normal", 13 * DATA[[#This Row],[STORAGE DAYS]], 20 * DATA[[#This Row],[STORAGE DAYS]])</f>
        <v>208</v>
      </c>
      <c r="R60" s="84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 t="shared" si="0"/>
        <v>349</v>
      </c>
      <c r="U60" s="112">
        <v>2024</v>
      </c>
      <c r="V60" s="112" t="s">
        <v>1910</v>
      </c>
      <c r="W60" s="112">
        <v>2024</v>
      </c>
      <c r="X60" s="112" t="s">
        <v>1916</v>
      </c>
    </row>
    <row r="61" spans="1:24" s="37" customFormat="1" ht="21" hidden="1" x14ac:dyDescent="0.25">
      <c r="A61" s="77" t="s">
        <v>305</v>
      </c>
      <c r="B61" s="78" t="s">
        <v>306</v>
      </c>
      <c r="C61" s="78">
        <v>60</v>
      </c>
      <c r="D61" s="79" t="s">
        <v>5</v>
      </c>
      <c r="E61" s="79" t="s">
        <v>307</v>
      </c>
      <c r="F61" s="79" t="s">
        <v>1615</v>
      </c>
      <c r="G61" s="79" t="s">
        <v>24</v>
      </c>
      <c r="H61" s="81">
        <v>0.29166666666666669</v>
      </c>
      <c r="I61" s="79" t="s">
        <v>12</v>
      </c>
      <c r="J61" s="82">
        <v>45639</v>
      </c>
      <c r="K61" s="82">
        <v>45737</v>
      </c>
      <c r="L61" s="78">
        <f>IF(ISBLANK(DATA[[#This Row],[DISCHARGE DATE]]), "NO DATE", DATA[[#This Row],[DISCHARGE DATE]]-DATA[[#This Row],[ADMISSION DATE]]+1)</f>
        <v>99</v>
      </c>
      <c r="M61" s="83">
        <v>350</v>
      </c>
      <c r="N61" s="83">
        <v>1980</v>
      </c>
      <c r="O61" s="93" t="s">
        <v>308</v>
      </c>
      <c r="P61" s="93" t="s">
        <v>272</v>
      </c>
      <c r="Q61" s="84">
        <f>IF(DATA[[#This Row],[Column1]]="Normal", 13 * DATA[[#This Row],[STORAGE DAYS]], 20 * DATA[[#This Row],[STORAGE DAYS]])</f>
        <v>1980</v>
      </c>
      <c r="R61" s="84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 t="shared" si="0"/>
        <v>349</v>
      </c>
      <c r="U61" s="112">
        <v>2024</v>
      </c>
      <c r="V61" s="112" t="s">
        <v>1916</v>
      </c>
      <c r="W61" s="112">
        <v>2025</v>
      </c>
      <c r="X61" s="112" t="s">
        <v>1912</v>
      </c>
    </row>
    <row r="62" spans="1:24" s="37" customFormat="1" ht="21" hidden="1" x14ac:dyDescent="0.25">
      <c r="A62" s="77" t="s">
        <v>309</v>
      </c>
      <c r="B62" s="78" t="s">
        <v>310</v>
      </c>
      <c r="C62" s="78">
        <v>65</v>
      </c>
      <c r="D62" s="79" t="s">
        <v>5</v>
      </c>
      <c r="E62" s="79" t="s">
        <v>311</v>
      </c>
      <c r="F62" s="79" t="s">
        <v>1616</v>
      </c>
      <c r="G62" s="79" t="s">
        <v>24</v>
      </c>
      <c r="H62" s="81">
        <v>0.8125</v>
      </c>
      <c r="I62" s="79" t="s">
        <v>10</v>
      </c>
      <c r="J62" s="82">
        <v>45641</v>
      </c>
      <c r="K62" s="82">
        <v>45737</v>
      </c>
      <c r="L62" s="78">
        <f>IF(ISBLANK(DATA[[#This Row],[DISCHARGE DATE]]), "NO DATE", DATA[[#This Row],[DISCHARGE DATE]]-DATA[[#This Row],[ADMISSION DATE]]+1)</f>
        <v>97</v>
      </c>
      <c r="M62" s="83">
        <v>350</v>
      </c>
      <c r="N62" s="83">
        <v>1261</v>
      </c>
      <c r="O62" s="93" t="s">
        <v>120</v>
      </c>
      <c r="P62" s="93" t="s">
        <v>263</v>
      </c>
      <c r="Q62" s="84">
        <f>IF(DATA[[#This Row],[Column1]]="Normal", 13 * DATA[[#This Row],[STORAGE DAYS]], 20 * DATA[[#This Row],[STORAGE DAYS]])</f>
        <v>1261</v>
      </c>
      <c r="R62" s="84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 t="shared" si="0"/>
        <v>349</v>
      </c>
      <c r="U62" s="112">
        <v>2024</v>
      </c>
      <c r="V62" s="112" t="s">
        <v>1916</v>
      </c>
      <c r="W62" s="112">
        <v>2025</v>
      </c>
      <c r="X62" s="112" t="s">
        <v>1912</v>
      </c>
    </row>
    <row r="63" spans="1:24" s="37" customFormat="1" ht="21" hidden="1" x14ac:dyDescent="0.25">
      <c r="A63" s="77" t="s">
        <v>312</v>
      </c>
      <c r="B63" s="78" t="s">
        <v>313</v>
      </c>
      <c r="C63" s="78">
        <v>64</v>
      </c>
      <c r="D63" s="79" t="s">
        <v>5</v>
      </c>
      <c r="E63" s="79" t="s">
        <v>118</v>
      </c>
      <c r="F63" s="79" t="s">
        <v>1617</v>
      </c>
      <c r="G63" s="79" t="s">
        <v>25</v>
      </c>
      <c r="H63" s="81">
        <v>0.3125</v>
      </c>
      <c r="I63" s="79" t="s">
        <v>10</v>
      </c>
      <c r="J63" s="82">
        <v>45643</v>
      </c>
      <c r="K63" s="82">
        <v>45744</v>
      </c>
      <c r="L63" s="78">
        <f>IF(ISBLANK(DATA[[#This Row],[DISCHARGE DATE]]), "NO DATE", DATA[[#This Row],[DISCHARGE DATE]]-DATA[[#This Row],[ADMISSION DATE]]+1)</f>
        <v>102</v>
      </c>
      <c r="M63" s="83">
        <v>350</v>
      </c>
      <c r="N63" s="83">
        <v>1326</v>
      </c>
      <c r="O63" s="93" t="s">
        <v>219</v>
      </c>
      <c r="P63" s="93" t="s">
        <v>308</v>
      </c>
      <c r="Q63" s="84">
        <f>IF(DATA[[#This Row],[Column1]]="Normal", 13 * DATA[[#This Row],[STORAGE DAYS]], 20 * DATA[[#This Row],[STORAGE DAYS]])</f>
        <v>1326</v>
      </c>
      <c r="R63" s="84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 t="shared" si="0"/>
        <v>349</v>
      </c>
      <c r="U63" s="112">
        <v>2024</v>
      </c>
      <c r="V63" s="112" t="s">
        <v>1916</v>
      </c>
      <c r="W63" s="112">
        <v>2025</v>
      </c>
      <c r="X63" s="112" t="s">
        <v>1912</v>
      </c>
    </row>
    <row r="64" spans="1:24" s="37" customFormat="1" ht="21" hidden="1" x14ac:dyDescent="0.25">
      <c r="A64" s="77" t="s">
        <v>314</v>
      </c>
      <c r="B64" s="78" t="s">
        <v>315</v>
      </c>
      <c r="C64" s="78">
        <v>52</v>
      </c>
      <c r="D64" s="79" t="s">
        <v>4</v>
      </c>
      <c r="E64" s="79" t="s">
        <v>316</v>
      </c>
      <c r="F64" s="79" t="s">
        <v>1618</v>
      </c>
      <c r="G64" s="79" t="s">
        <v>27</v>
      </c>
      <c r="H64" s="81">
        <v>0.39583333333333331</v>
      </c>
      <c r="I64" s="79" t="s">
        <v>10</v>
      </c>
      <c r="J64" s="82">
        <v>45644</v>
      </c>
      <c r="K64" s="82">
        <v>45772</v>
      </c>
      <c r="L64" s="78">
        <f>IF(ISBLANK(DATA[[#This Row],[DISCHARGE DATE]]), "NO DATE", DATA[[#This Row],[DISCHARGE DATE]]-DATA[[#This Row],[ADMISSION DATE]]+1)</f>
        <v>129</v>
      </c>
      <c r="M64" s="83">
        <v>350</v>
      </c>
      <c r="N64" s="83">
        <v>1677</v>
      </c>
      <c r="O64" s="93" t="s">
        <v>317</v>
      </c>
      <c r="P64" s="93" t="s">
        <v>318</v>
      </c>
      <c r="Q64" s="84">
        <f>IF(DATA[[#This Row],[Column1]]="Normal", 13 * DATA[[#This Row],[STORAGE DAYS]], 20 * DATA[[#This Row],[STORAGE DAYS]])</f>
        <v>1677</v>
      </c>
      <c r="R64" s="84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 t="shared" si="0"/>
        <v>349</v>
      </c>
      <c r="U64" s="112">
        <v>2024</v>
      </c>
      <c r="V64" s="112" t="s">
        <v>1916</v>
      </c>
      <c r="W64" s="112">
        <v>2025</v>
      </c>
      <c r="X64" s="112" t="s">
        <v>1873</v>
      </c>
    </row>
    <row r="65" spans="1:24" s="37" customFormat="1" ht="21" hidden="1" x14ac:dyDescent="0.25">
      <c r="A65" s="77" t="s">
        <v>319</v>
      </c>
      <c r="B65" s="78" t="s">
        <v>320</v>
      </c>
      <c r="C65" s="78">
        <v>41</v>
      </c>
      <c r="D65" s="79" t="s">
        <v>5</v>
      </c>
      <c r="E65" s="79" t="s">
        <v>321</v>
      </c>
      <c r="F65" s="79" t="s">
        <v>1619</v>
      </c>
      <c r="G65" s="79" t="s">
        <v>27</v>
      </c>
      <c r="H65" s="81">
        <v>0.5</v>
      </c>
      <c r="I65" s="79" t="s">
        <v>10</v>
      </c>
      <c r="J65" s="82">
        <v>45649</v>
      </c>
      <c r="K65" s="82">
        <v>45744</v>
      </c>
      <c r="L65" s="78">
        <f>IF(ISBLANK(DATA[[#This Row],[DISCHARGE DATE]]), "NO DATE", DATA[[#This Row],[DISCHARGE DATE]]-DATA[[#This Row],[ADMISSION DATE]]+1)</f>
        <v>96</v>
      </c>
      <c r="M65" s="83">
        <v>350</v>
      </c>
      <c r="N65" s="83">
        <v>1248</v>
      </c>
      <c r="O65" s="93" t="s">
        <v>264</v>
      </c>
      <c r="P65" s="93" t="s">
        <v>228</v>
      </c>
      <c r="Q65" s="84">
        <f>IF(DATA[[#This Row],[Column1]]="Normal", 13 * DATA[[#This Row],[STORAGE DAYS]], 20 * DATA[[#This Row],[STORAGE DAYS]])</f>
        <v>1248</v>
      </c>
      <c r="R65" s="84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 t="shared" si="0"/>
        <v>349</v>
      </c>
      <c r="U65" s="112">
        <v>2024</v>
      </c>
      <c r="V65" s="112" t="s">
        <v>1916</v>
      </c>
      <c r="W65" s="112">
        <v>2025</v>
      </c>
      <c r="X65" s="112" t="s">
        <v>1912</v>
      </c>
    </row>
    <row r="66" spans="1:24" s="37" customFormat="1" ht="21" hidden="1" x14ac:dyDescent="0.25">
      <c r="A66" s="77" t="s">
        <v>322</v>
      </c>
      <c r="B66" s="78" t="s">
        <v>323</v>
      </c>
      <c r="C66" s="78">
        <v>76</v>
      </c>
      <c r="D66" s="79" t="s">
        <v>4</v>
      </c>
      <c r="E66" s="79" t="s">
        <v>324</v>
      </c>
      <c r="F66" s="79" t="s">
        <v>1620</v>
      </c>
      <c r="G66" s="79" t="s">
        <v>26</v>
      </c>
      <c r="H66" s="81">
        <v>0.54861111111111116</v>
      </c>
      <c r="I66" s="79" t="s">
        <v>10</v>
      </c>
      <c r="J66" s="82">
        <v>45649</v>
      </c>
      <c r="K66" s="82">
        <v>45744</v>
      </c>
      <c r="L66" s="78">
        <f>IF(ISBLANK(DATA[[#This Row],[DISCHARGE DATE]]), "NO DATE", DATA[[#This Row],[DISCHARGE DATE]]-DATA[[#This Row],[ADMISSION DATE]]+1)</f>
        <v>96</v>
      </c>
      <c r="M66" s="83">
        <v>350</v>
      </c>
      <c r="N66" s="83">
        <v>1248</v>
      </c>
      <c r="O66" s="93" t="s">
        <v>189</v>
      </c>
      <c r="P66" s="93" t="s">
        <v>325</v>
      </c>
      <c r="Q66" s="84">
        <f>IF(DATA[[#This Row],[Column1]]="Normal", 13 * DATA[[#This Row],[STORAGE DAYS]], 20 * DATA[[#This Row],[STORAGE DAYS]])</f>
        <v>1248</v>
      </c>
      <c r="R66" s="84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 t="shared" ref="T66:T129" si="1">COUNTA(A:A)-2</f>
        <v>349</v>
      </c>
      <c r="U66" s="112">
        <v>2024</v>
      </c>
      <c r="V66" s="112" t="s">
        <v>1916</v>
      </c>
      <c r="W66" s="112">
        <v>2025</v>
      </c>
      <c r="X66" s="112" t="s">
        <v>1912</v>
      </c>
    </row>
    <row r="67" spans="1:24" s="37" customFormat="1" ht="21" hidden="1" x14ac:dyDescent="0.25">
      <c r="A67" s="77" t="s">
        <v>326</v>
      </c>
      <c r="B67" s="78" t="s">
        <v>327</v>
      </c>
      <c r="C67" s="78">
        <v>98</v>
      </c>
      <c r="D67" s="79" t="s">
        <v>4</v>
      </c>
      <c r="E67" s="79" t="s">
        <v>328</v>
      </c>
      <c r="F67" s="79" t="s">
        <v>1621</v>
      </c>
      <c r="G67" s="79" t="s">
        <v>27</v>
      </c>
      <c r="H67" s="81">
        <v>0.70833333333333337</v>
      </c>
      <c r="I67" s="79" t="s">
        <v>10</v>
      </c>
      <c r="J67" s="82">
        <v>45651</v>
      </c>
      <c r="K67" s="82">
        <v>45849</v>
      </c>
      <c r="L67" s="78">
        <f>IF(ISBLANK(DATA[[#This Row],[DISCHARGE DATE]]), "NO DATE", DATA[[#This Row],[DISCHARGE DATE]]-DATA[[#This Row],[ADMISSION DATE]]+1)</f>
        <v>199</v>
      </c>
      <c r="M67" s="83">
        <v>350</v>
      </c>
      <c r="N67" s="83">
        <v>2587</v>
      </c>
      <c r="O67" s="93" t="s">
        <v>325</v>
      </c>
      <c r="P67" s="93" t="s">
        <v>329</v>
      </c>
      <c r="Q67" s="84">
        <f>IF(DATA[[#This Row],[Column1]]="Normal", 13 * DATA[[#This Row],[STORAGE DAYS]], 20 * DATA[[#This Row],[STORAGE DAYS]])</f>
        <v>2587</v>
      </c>
      <c r="R67" s="84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 t="shared" si="1"/>
        <v>349</v>
      </c>
      <c r="U67" s="112">
        <v>2024</v>
      </c>
      <c r="V67" s="112" t="s">
        <v>1916</v>
      </c>
      <c r="W67" s="112">
        <v>2025</v>
      </c>
      <c r="X67" s="112" t="s">
        <v>1908</v>
      </c>
    </row>
    <row r="68" spans="1:24" s="37" customFormat="1" ht="21" hidden="1" x14ac:dyDescent="0.25">
      <c r="A68" s="77" t="s">
        <v>330</v>
      </c>
      <c r="B68" s="78" t="s">
        <v>331</v>
      </c>
      <c r="C68" s="78">
        <v>60</v>
      </c>
      <c r="D68" s="79" t="s">
        <v>4</v>
      </c>
      <c r="E68" s="79" t="s">
        <v>332</v>
      </c>
      <c r="F68" s="79" t="s">
        <v>1622</v>
      </c>
      <c r="G68" s="79" t="s">
        <v>27</v>
      </c>
      <c r="H68" s="81">
        <v>0.47916666666666669</v>
      </c>
      <c r="I68" s="79" t="s">
        <v>10</v>
      </c>
      <c r="J68" s="82">
        <v>45653</v>
      </c>
      <c r="K68" s="82">
        <v>45744</v>
      </c>
      <c r="L68" s="78">
        <f>IF(ISBLANK(DATA[[#This Row],[DISCHARGE DATE]]), "NO DATE", DATA[[#This Row],[DISCHARGE DATE]]-DATA[[#This Row],[ADMISSION DATE]]+1)</f>
        <v>92</v>
      </c>
      <c r="M68" s="83">
        <v>350</v>
      </c>
      <c r="N68" s="83">
        <v>1196</v>
      </c>
      <c r="O68" s="93" t="s">
        <v>333</v>
      </c>
      <c r="P68" s="93" t="s">
        <v>292</v>
      </c>
      <c r="Q68" s="84">
        <f>IF(DATA[[#This Row],[Column1]]="Normal", 13 * DATA[[#This Row],[STORAGE DAYS]], 20 * DATA[[#This Row],[STORAGE DAYS]])</f>
        <v>1196</v>
      </c>
      <c r="R68" s="84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 t="shared" si="1"/>
        <v>349</v>
      </c>
      <c r="U68" s="112">
        <v>2024</v>
      </c>
      <c r="V68" s="112" t="s">
        <v>1916</v>
      </c>
      <c r="W68" s="112">
        <v>2025</v>
      </c>
      <c r="X68" s="112" t="s">
        <v>1912</v>
      </c>
    </row>
    <row r="69" spans="1:24" s="37" customFormat="1" ht="21" hidden="1" x14ac:dyDescent="0.25">
      <c r="A69" s="77" t="s">
        <v>334</v>
      </c>
      <c r="B69" s="78" t="s">
        <v>335</v>
      </c>
      <c r="C69" s="78">
        <v>68</v>
      </c>
      <c r="D69" s="79" t="s">
        <v>4</v>
      </c>
      <c r="E69" s="79" t="s">
        <v>336</v>
      </c>
      <c r="F69" s="79" t="s">
        <v>1623</v>
      </c>
      <c r="G69" s="79" t="s">
        <v>27</v>
      </c>
      <c r="H69" s="81">
        <v>0.58333333333333337</v>
      </c>
      <c r="I69" s="79" t="s">
        <v>10</v>
      </c>
      <c r="J69" s="82">
        <v>45653</v>
      </c>
      <c r="K69" s="82">
        <v>45828</v>
      </c>
      <c r="L69" s="78">
        <f>IF(ISBLANK(DATA[[#This Row],[DISCHARGE DATE]]), "NO DATE", DATA[[#This Row],[DISCHARGE DATE]]-DATA[[#This Row],[ADMISSION DATE]]+1)</f>
        <v>176</v>
      </c>
      <c r="M69" s="83">
        <v>350</v>
      </c>
      <c r="N69" s="83">
        <v>2288</v>
      </c>
      <c r="O69" s="93" t="s">
        <v>285</v>
      </c>
      <c r="P69" s="93" t="s">
        <v>337</v>
      </c>
      <c r="Q69" s="84">
        <f>IF(DATA[[#This Row],[Column1]]="Normal", 13 * DATA[[#This Row],[STORAGE DAYS]], 20 * DATA[[#This Row],[STORAGE DAYS]])</f>
        <v>2288</v>
      </c>
      <c r="R69" s="84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 t="shared" si="1"/>
        <v>349</v>
      </c>
      <c r="U69" s="112">
        <v>2024</v>
      </c>
      <c r="V69" s="112" t="s">
        <v>1916</v>
      </c>
      <c r="W69" s="112">
        <v>2025</v>
      </c>
      <c r="X69" s="112" t="s">
        <v>1917</v>
      </c>
    </row>
    <row r="70" spans="1:24" s="37" customFormat="1" ht="21" hidden="1" x14ac:dyDescent="0.25">
      <c r="A70" s="77" t="s">
        <v>338</v>
      </c>
      <c r="B70" s="78" t="s">
        <v>1555</v>
      </c>
      <c r="C70" s="78">
        <v>78</v>
      </c>
      <c r="D70" s="79" t="s">
        <v>4</v>
      </c>
      <c r="E70" s="79" t="s">
        <v>258</v>
      </c>
      <c r="F70" s="79" t="s">
        <v>1624</v>
      </c>
      <c r="G70" s="79" t="s">
        <v>25</v>
      </c>
      <c r="H70" s="81">
        <v>0.5</v>
      </c>
      <c r="I70" s="79" t="s">
        <v>10</v>
      </c>
      <c r="J70" s="82">
        <v>45656</v>
      </c>
      <c r="K70" s="82">
        <v>45807</v>
      </c>
      <c r="L70" s="78">
        <f>IF(ISBLANK(DATA[[#This Row],[DISCHARGE DATE]]), "NO DATE", DATA[[#This Row],[DISCHARGE DATE]]-DATA[[#This Row],[ADMISSION DATE]]+1)</f>
        <v>152</v>
      </c>
      <c r="M70" s="83">
        <v>350</v>
      </c>
      <c r="N70" s="83">
        <v>1976</v>
      </c>
      <c r="O70" s="93" t="s">
        <v>301</v>
      </c>
      <c r="P70" s="93" t="s">
        <v>339</v>
      </c>
      <c r="Q70" s="84">
        <f>IF(DATA[[#This Row],[Column1]]="Normal", 13 * DATA[[#This Row],[STORAGE DAYS]], 20 * DATA[[#This Row],[STORAGE DAYS]])</f>
        <v>1976</v>
      </c>
      <c r="R70" s="84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 t="shared" si="1"/>
        <v>349</v>
      </c>
      <c r="U70" s="112">
        <v>2024</v>
      </c>
      <c r="V70" s="112" t="s">
        <v>1916</v>
      </c>
      <c r="W70" s="112">
        <v>2025</v>
      </c>
      <c r="X70" s="112" t="s">
        <v>1913</v>
      </c>
    </row>
    <row r="71" spans="1:24" s="37" customFormat="1" ht="21" hidden="1" x14ac:dyDescent="0.25">
      <c r="A71" s="77" t="s">
        <v>340</v>
      </c>
      <c r="B71" s="78" t="s">
        <v>341</v>
      </c>
      <c r="C71" s="78">
        <v>45</v>
      </c>
      <c r="D71" s="79" t="s">
        <v>4</v>
      </c>
      <c r="E71" s="79" t="s">
        <v>342</v>
      </c>
      <c r="F71" s="79" t="s">
        <v>1625</v>
      </c>
      <c r="G71" s="79" t="s">
        <v>22</v>
      </c>
      <c r="H71" s="81">
        <v>0.47916666666666669</v>
      </c>
      <c r="I71" s="79" t="s">
        <v>12</v>
      </c>
      <c r="J71" s="82">
        <v>45657</v>
      </c>
      <c r="K71" s="82">
        <v>45772</v>
      </c>
      <c r="L71" s="78">
        <f>IF(ISBLANK(DATA[[#This Row],[DISCHARGE DATE]]), "NO DATE", DATA[[#This Row],[DISCHARGE DATE]]-DATA[[#This Row],[ADMISSION DATE]]+1)</f>
        <v>116</v>
      </c>
      <c r="M71" s="83">
        <v>350</v>
      </c>
      <c r="N71" s="83">
        <v>2320</v>
      </c>
      <c r="O71" s="93" t="s">
        <v>343</v>
      </c>
      <c r="P71" s="93" t="s">
        <v>344</v>
      </c>
      <c r="Q71" s="84">
        <f>IF(DATA[[#This Row],[Column1]]="Normal", 13 * DATA[[#This Row],[STORAGE DAYS]], 20 * DATA[[#This Row],[STORAGE DAYS]])</f>
        <v>2320</v>
      </c>
      <c r="R71" s="84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 t="shared" si="1"/>
        <v>349</v>
      </c>
      <c r="U71" s="112">
        <v>2024</v>
      </c>
      <c r="V71" s="112" t="s">
        <v>1916</v>
      </c>
      <c r="W71" s="112">
        <v>2025</v>
      </c>
      <c r="X71" s="112" t="s">
        <v>1873</v>
      </c>
    </row>
    <row r="72" spans="1:24" s="37" customFormat="1" ht="21" hidden="1" x14ac:dyDescent="0.25">
      <c r="A72" s="77" t="s">
        <v>345</v>
      </c>
      <c r="B72" s="78" t="s">
        <v>346</v>
      </c>
      <c r="C72" s="78">
        <v>80</v>
      </c>
      <c r="D72" s="79" t="s">
        <v>4</v>
      </c>
      <c r="E72" s="79" t="s">
        <v>347</v>
      </c>
      <c r="F72" s="79" t="s">
        <v>1626</v>
      </c>
      <c r="G72" s="79" t="s">
        <v>25</v>
      </c>
      <c r="H72" s="81">
        <v>0.33333333333333331</v>
      </c>
      <c r="I72" s="79" t="s">
        <v>10</v>
      </c>
      <c r="J72" s="82">
        <v>45658</v>
      </c>
      <c r="K72" s="82">
        <v>45772</v>
      </c>
      <c r="L72" s="78">
        <f>IF(ISBLANK(DATA[[#This Row],[DISCHARGE DATE]]), "NO DATE", DATA[[#This Row],[DISCHARGE DATE]]-DATA[[#This Row],[ADMISSION DATE]]+1)</f>
        <v>115</v>
      </c>
      <c r="M72" s="83">
        <v>350</v>
      </c>
      <c r="N72" s="83">
        <v>1495</v>
      </c>
      <c r="O72" s="93" t="s">
        <v>348</v>
      </c>
      <c r="P72" s="93" t="s">
        <v>349</v>
      </c>
      <c r="Q72" s="84">
        <f>IF(DATA[[#This Row],[Column1]]="Normal", 13 * DATA[[#This Row],[STORAGE DAYS]], 20 * DATA[[#This Row],[STORAGE DAYS]])</f>
        <v>1495</v>
      </c>
      <c r="R72" s="84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 t="shared" si="1"/>
        <v>349</v>
      </c>
      <c r="U72" s="112">
        <v>2025</v>
      </c>
      <c r="V72" s="112" t="s">
        <v>1874</v>
      </c>
      <c r="W72" s="112">
        <v>2025</v>
      </c>
      <c r="X72" s="112" t="s">
        <v>1873</v>
      </c>
    </row>
    <row r="73" spans="1:24" s="37" customFormat="1" ht="21" hidden="1" x14ac:dyDescent="0.25">
      <c r="A73" s="77" t="s">
        <v>350</v>
      </c>
      <c r="B73" s="78" t="s">
        <v>351</v>
      </c>
      <c r="C73" s="78">
        <v>68</v>
      </c>
      <c r="D73" s="79" t="s">
        <v>5</v>
      </c>
      <c r="E73" s="79" t="s">
        <v>352</v>
      </c>
      <c r="F73" s="79" t="s">
        <v>1627</v>
      </c>
      <c r="G73" s="79" t="s">
        <v>26</v>
      </c>
      <c r="H73" s="81">
        <v>0.70833333333333337</v>
      </c>
      <c r="I73" s="79" t="s">
        <v>12</v>
      </c>
      <c r="J73" s="82">
        <v>45664</v>
      </c>
      <c r="K73" s="82">
        <v>45771</v>
      </c>
      <c r="L73" s="78">
        <f>IF(ISBLANK(DATA[[#This Row],[DISCHARGE DATE]]), "NO DATE", DATA[[#This Row],[DISCHARGE DATE]]-DATA[[#This Row],[ADMISSION DATE]]+1)</f>
        <v>108</v>
      </c>
      <c r="M73" s="83">
        <v>350</v>
      </c>
      <c r="N73" s="83">
        <v>2160</v>
      </c>
      <c r="O73" s="93" t="s">
        <v>353</v>
      </c>
      <c r="P73" s="93" t="s">
        <v>354</v>
      </c>
      <c r="Q73" s="84">
        <f>IF(DATA[[#This Row],[Column1]]="Normal", 13 * DATA[[#This Row],[STORAGE DAYS]], 20 * DATA[[#This Row],[STORAGE DAYS]])</f>
        <v>2160</v>
      </c>
      <c r="R73" s="84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 t="shared" si="1"/>
        <v>349</v>
      </c>
      <c r="U73" s="112">
        <v>2025</v>
      </c>
      <c r="V73" s="112" t="s">
        <v>1874</v>
      </c>
      <c r="W73" s="112">
        <v>2025</v>
      </c>
      <c r="X73" s="112" t="s">
        <v>1873</v>
      </c>
    </row>
    <row r="74" spans="1:24" s="37" customFormat="1" ht="21" hidden="1" x14ac:dyDescent="0.25">
      <c r="A74" s="77" t="s">
        <v>355</v>
      </c>
      <c r="B74" s="78" t="s">
        <v>356</v>
      </c>
      <c r="C74" s="78">
        <v>50</v>
      </c>
      <c r="D74" s="79" t="s">
        <v>5</v>
      </c>
      <c r="E74" s="79" t="s">
        <v>357</v>
      </c>
      <c r="F74" s="79" t="s">
        <v>1628</v>
      </c>
      <c r="G74" s="79" t="s">
        <v>27</v>
      </c>
      <c r="H74" s="81">
        <v>0.47916666666666669</v>
      </c>
      <c r="I74" s="79" t="s">
        <v>10</v>
      </c>
      <c r="J74" s="82">
        <v>45666</v>
      </c>
      <c r="K74" s="82">
        <v>45744</v>
      </c>
      <c r="L74" s="78">
        <f>IF(ISBLANK(DATA[[#This Row],[DISCHARGE DATE]]), "NO DATE", DATA[[#This Row],[DISCHARGE DATE]]-DATA[[#This Row],[ADMISSION DATE]]+1)</f>
        <v>79</v>
      </c>
      <c r="M74" s="83">
        <v>350</v>
      </c>
      <c r="N74" s="83">
        <v>1027</v>
      </c>
      <c r="O74" s="93" t="s">
        <v>358</v>
      </c>
      <c r="P74" s="93" t="s">
        <v>333</v>
      </c>
      <c r="Q74" s="84">
        <f>IF(DATA[[#This Row],[Column1]]="Normal", 13 * DATA[[#This Row],[STORAGE DAYS]], 20 * DATA[[#This Row],[STORAGE DAYS]])</f>
        <v>1027</v>
      </c>
      <c r="R74" s="84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 t="shared" si="1"/>
        <v>349</v>
      </c>
      <c r="U74" s="112">
        <v>2025</v>
      </c>
      <c r="V74" s="112" t="s">
        <v>1874</v>
      </c>
      <c r="W74" s="112">
        <v>2025</v>
      </c>
      <c r="X74" s="112" t="s">
        <v>1912</v>
      </c>
    </row>
    <row r="75" spans="1:24" s="37" customFormat="1" ht="21" hidden="1" x14ac:dyDescent="0.25">
      <c r="A75" s="77" t="s">
        <v>359</v>
      </c>
      <c r="B75" s="78" t="s">
        <v>360</v>
      </c>
      <c r="C75" s="78">
        <v>40</v>
      </c>
      <c r="D75" s="79" t="s">
        <v>5</v>
      </c>
      <c r="E75" s="79" t="s">
        <v>361</v>
      </c>
      <c r="F75" s="79" t="s">
        <v>1629</v>
      </c>
      <c r="G75" s="79" t="s">
        <v>27</v>
      </c>
      <c r="H75" s="81">
        <v>0.35416666666666669</v>
      </c>
      <c r="I75" s="79" t="s">
        <v>10</v>
      </c>
      <c r="J75" s="82">
        <v>45673</v>
      </c>
      <c r="K75" s="82">
        <v>45744</v>
      </c>
      <c r="L75" s="78">
        <f>IF(ISBLANK(DATA[[#This Row],[DISCHARGE DATE]]), "NO DATE", DATA[[#This Row],[DISCHARGE DATE]]-DATA[[#This Row],[ADMISSION DATE]]+1)</f>
        <v>72</v>
      </c>
      <c r="M75" s="83">
        <v>350</v>
      </c>
      <c r="N75" s="83">
        <v>923</v>
      </c>
      <c r="O75" s="93" t="s">
        <v>362</v>
      </c>
      <c r="P75" s="93" t="s">
        <v>250</v>
      </c>
      <c r="Q75" s="84">
        <f>IF(DATA[[#This Row],[Column1]]="Normal", 13 * DATA[[#This Row],[STORAGE DAYS]], 20 * DATA[[#This Row],[STORAGE DAYS]])</f>
        <v>936</v>
      </c>
      <c r="R75" s="84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 t="shared" si="1"/>
        <v>349</v>
      </c>
      <c r="U75" s="112">
        <v>2025</v>
      </c>
      <c r="V75" s="112" t="s">
        <v>1874</v>
      </c>
      <c r="W75" s="112">
        <v>2025</v>
      </c>
      <c r="X75" s="112" t="s">
        <v>1912</v>
      </c>
    </row>
    <row r="76" spans="1:24" s="37" customFormat="1" ht="21" hidden="1" x14ac:dyDescent="0.25">
      <c r="A76" s="77" t="s">
        <v>363</v>
      </c>
      <c r="B76" s="78" t="s">
        <v>364</v>
      </c>
      <c r="C76" s="78">
        <v>30</v>
      </c>
      <c r="D76" s="79" t="s">
        <v>5</v>
      </c>
      <c r="E76" s="79" t="s">
        <v>365</v>
      </c>
      <c r="F76" s="79" t="s">
        <v>1630</v>
      </c>
      <c r="G76" s="79" t="s">
        <v>22</v>
      </c>
      <c r="H76" s="81">
        <v>0.6875</v>
      </c>
      <c r="I76" s="79" t="s">
        <v>10</v>
      </c>
      <c r="J76" s="82">
        <v>45672</v>
      </c>
      <c r="K76" s="82">
        <v>45730</v>
      </c>
      <c r="L76" s="78">
        <f>IF(ISBLANK(DATA[[#This Row],[DISCHARGE DATE]]), "NO DATE", DATA[[#This Row],[DISCHARGE DATE]]-DATA[[#This Row],[ADMISSION DATE]]+1)</f>
        <v>59</v>
      </c>
      <c r="M76" s="83">
        <v>350</v>
      </c>
      <c r="N76" s="83">
        <v>767</v>
      </c>
      <c r="O76" s="93" t="s">
        <v>349</v>
      </c>
      <c r="P76" s="93" t="s">
        <v>245</v>
      </c>
      <c r="Q76" s="84">
        <f>IF(DATA[[#This Row],[Column1]]="Normal", 13 * DATA[[#This Row],[STORAGE DAYS]], 20 * DATA[[#This Row],[STORAGE DAYS]])</f>
        <v>767</v>
      </c>
      <c r="R76" s="84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 t="shared" si="1"/>
        <v>349</v>
      </c>
      <c r="U76" s="112">
        <v>2025</v>
      </c>
      <c r="V76" s="112" t="s">
        <v>1874</v>
      </c>
      <c r="W76" s="112">
        <v>2025</v>
      </c>
      <c r="X76" s="112" t="s">
        <v>1912</v>
      </c>
    </row>
    <row r="77" spans="1:24" s="37" customFormat="1" ht="21" hidden="1" x14ac:dyDescent="0.25">
      <c r="A77" s="77" t="s">
        <v>366</v>
      </c>
      <c r="B77" s="78" t="s">
        <v>367</v>
      </c>
      <c r="C77" s="78">
        <v>65</v>
      </c>
      <c r="D77" s="79" t="s">
        <v>4</v>
      </c>
      <c r="E77" s="79" t="s">
        <v>368</v>
      </c>
      <c r="F77" s="79" t="s">
        <v>1631</v>
      </c>
      <c r="G77" s="79" t="s">
        <v>27</v>
      </c>
      <c r="H77" s="81">
        <v>0.95833333333333337</v>
      </c>
      <c r="I77" s="79" t="s">
        <v>10</v>
      </c>
      <c r="J77" s="82">
        <v>45676</v>
      </c>
      <c r="K77" s="82">
        <v>45807</v>
      </c>
      <c r="L77" s="78">
        <f>IF(ISBLANK(DATA[[#This Row],[DISCHARGE DATE]]), "NO DATE", DATA[[#This Row],[DISCHARGE DATE]]-DATA[[#This Row],[ADMISSION DATE]]+1)</f>
        <v>132</v>
      </c>
      <c r="M77" s="83">
        <v>350</v>
      </c>
      <c r="N77" s="83">
        <v>1716</v>
      </c>
      <c r="O77" s="93" t="s">
        <v>369</v>
      </c>
      <c r="P77" s="93" t="s">
        <v>370</v>
      </c>
      <c r="Q77" s="84">
        <f>IF(DATA[[#This Row],[Column1]]="Normal", 13 * DATA[[#This Row],[STORAGE DAYS]], 20 * DATA[[#This Row],[STORAGE DAYS]])</f>
        <v>1716</v>
      </c>
      <c r="R77" s="84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 t="shared" si="1"/>
        <v>349</v>
      </c>
      <c r="U77" s="112">
        <v>2025</v>
      </c>
      <c r="V77" s="112" t="s">
        <v>1874</v>
      </c>
      <c r="W77" s="112">
        <v>2025</v>
      </c>
      <c r="X77" s="112" t="s">
        <v>1913</v>
      </c>
    </row>
    <row r="78" spans="1:24" s="37" customFormat="1" ht="21" hidden="1" x14ac:dyDescent="0.25">
      <c r="A78" s="77" t="s">
        <v>371</v>
      </c>
      <c r="B78" s="78" t="s">
        <v>372</v>
      </c>
      <c r="C78" s="78">
        <v>49</v>
      </c>
      <c r="D78" s="79" t="s">
        <v>4</v>
      </c>
      <c r="E78" s="79" t="s">
        <v>373</v>
      </c>
      <c r="F78" s="79" t="s">
        <v>1632</v>
      </c>
      <c r="G78" s="79" t="s">
        <v>27</v>
      </c>
      <c r="H78" s="81">
        <v>0.95833333333333337</v>
      </c>
      <c r="I78" s="79" t="s">
        <v>10</v>
      </c>
      <c r="J78" s="82">
        <v>45675</v>
      </c>
      <c r="K78" s="82">
        <v>45772</v>
      </c>
      <c r="L78" s="78">
        <f>IF(ISBLANK(DATA[[#This Row],[DISCHARGE DATE]]), "NO DATE", DATA[[#This Row],[DISCHARGE DATE]]-DATA[[#This Row],[ADMISSION DATE]]+1)</f>
        <v>98</v>
      </c>
      <c r="M78" s="83">
        <v>350</v>
      </c>
      <c r="N78" s="83">
        <v>1274</v>
      </c>
      <c r="O78" s="93" t="s">
        <v>318</v>
      </c>
      <c r="P78" s="93" t="s">
        <v>374</v>
      </c>
      <c r="Q78" s="84">
        <f>IF(DATA[[#This Row],[Column1]]="Normal", 13 * DATA[[#This Row],[STORAGE DAYS]], 20 * DATA[[#This Row],[STORAGE DAYS]])</f>
        <v>1274</v>
      </c>
      <c r="R78" s="84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 t="shared" si="1"/>
        <v>349</v>
      </c>
      <c r="U78" s="112">
        <v>2025</v>
      </c>
      <c r="V78" s="112" t="s">
        <v>1874</v>
      </c>
      <c r="W78" s="112">
        <v>2025</v>
      </c>
      <c r="X78" s="112" t="s">
        <v>1873</v>
      </c>
    </row>
    <row r="79" spans="1:24" s="37" customFormat="1" ht="21" hidden="1" x14ac:dyDescent="0.25">
      <c r="A79" s="77" t="s">
        <v>375</v>
      </c>
      <c r="B79" s="78" t="s">
        <v>376</v>
      </c>
      <c r="C79" s="78">
        <v>65</v>
      </c>
      <c r="D79" s="79" t="s">
        <v>4</v>
      </c>
      <c r="E79" s="79" t="s">
        <v>377</v>
      </c>
      <c r="F79" s="79" t="s">
        <v>1633</v>
      </c>
      <c r="G79" s="79" t="s">
        <v>27</v>
      </c>
      <c r="H79" s="81">
        <v>0.51041666666666663</v>
      </c>
      <c r="I79" s="79" t="s">
        <v>10</v>
      </c>
      <c r="J79" s="82">
        <v>45679</v>
      </c>
      <c r="K79" s="82">
        <v>45744</v>
      </c>
      <c r="L79" s="78">
        <f>IF(ISBLANK(DATA[[#This Row],[DISCHARGE DATE]]), "NO DATE", DATA[[#This Row],[DISCHARGE DATE]]-DATA[[#This Row],[ADMISSION DATE]]+1)</f>
        <v>66</v>
      </c>
      <c r="M79" s="83">
        <v>350</v>
      </c>
      <c r="N79" s="83">
        <v>858</v>
      </c>
      <c r="O79" s="93" t="s">
        <v>251</v>
      </c>
      <c r="P79" s="93" t="s">
        <v>300</v>
      </c>
      <c r="Q79" s="84">
        <f>IF(DATA[[#This Row],[Column1]]="Normal", 13 * DATA[[#This Row],[STORAGE DAYS]], 20 * DATA[[#This Row],[STORAGE DAYS]])</f>
        <v>858</v>
      </c>
      <c r="R79" s="84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 t="shared" si="1"/>
        <v>349</v>
      </c>
      <c r="U79" s="112">
        <v>2025</v>
      </c>
      <c r="V79" s="112" t="s">
        <v>1874</v>
      </c>
      <c r="W79" s="112">
        <v>2025</v>
      </c>
      <c r="X79" s="112" t="s">
        <v>1912</v>
      </c>
    </row>
    <row r="80" spans="1:24" s="37" customFormat="1" ht="21" hidden="1" x14ac:dyDescent="0.25">
      <c r="A80" s="77" t="s">
        <v>378</v>
      </c>
      <c r="B80" s="78" t="s">
        <v>379</v>
      </c>
      <c r="C80" s="78">
        <v>55</v>
      </c>
      <c r="D80" s="79" t="s">
        <v>5</v>
      </c>
      <c r="E80" s="79" t="s">
        <v>380</v>
      </c>
      <c r="F80" s="79" t="s">
        <v>1634</v>
      </c>
      <c r="G80" s="79" t="s">
        <v>27</v>
      </c>
      <c r="H80" s="81">
        <v>0.71875</v>
      </c>
      <c r="I80" s="79" t="s">
        <v>10</v>
      </c>
      <c r="J80" s="82">
        <v>45683</v>
      </c>
      <c r="K80" s="82">
        <v>45709</v>
      </c>
      <c r="L80" s="78">
        <f>IF(ISBLANK(DATA[[#This Row],[DISCHARGE DATE]]), "NO DATE", DATA[[#This Row],[DISCHARGE DATE]]-DATA[[#This Row],[ADMISSION DATE]]+1)</f>
        <v>27</v>
      </c>
      <c r="M80" s="83">
        <v>350</v>
      </c>
      <c r="N80" s="83">
        <v>351</v>
      </c>
      <c r="O80" s="93" t="s">
        <v>374</v>
      </c>
      <c r="P80" s="93" t="s">
        <v>188</v>
      </c>
      <c r="Q80" s="84">
        <f>IF(DATA[[#This Row],[Column1]]="Normal", 13 * DATA[[#This Row],[STORAGE DAYS]], 20 * DATA[[#This Row],[STORAGE DAYS]])</f>
        <v>351</v>
      </c>
      <c r="R80" s="84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 t="shared" si="1"/>
        <v>349</v>
      </c>
      <c r="U80" s="112">
        <v>2025</v>
      </c>
      <c r="V80" s="112" t="s">
        <v>1874</v>
      </c>
      <c r="W80" s="112">
        <v>2025</v>
      </c>
      <c r="X80" s="112" t="s">
        <v>1915</v>
      </c>
    </row>
    <row r="81" spans="1:24" s="37" customFormat="1" ht="21" hidden="1" x14ac:dyDescent="0.25">
      <c r="A81" s="77" t="s">
        <v>381</v>
      </c>
      <c r="B81" s="78" t="s">
        <v>382</v>
      </c>
      <c r="C81" s="78">
        <v>32</v>
      </c>
      <c r="D81" s="79" t="s">
        <v>5</v>
      </c>
      <c r="E81" s="79" t="s">
        <v>383</v>
      </c>
      <c r="F81" s="79" t="s">
        <v>1635</v>
      </c>
      <c r="G81" s="79" t="s">
        <v>26</v>
      </c>
      <c r="H81" s="81">
        <v>0.36805555555555558</v>
      </c>
      <c r="I81" s="79" t="s">
        <v>10</v>
      </c>
      <c r="J81" s="82">
        <v>45684</v>
      </c>
      <c r="K81" s="82">
        <v>45989</v>
      </c>
      <c r="L81" s="78">
        <f>IF(ISBLANK(DATA[[#This Row],[DISCHARGE DATE]]), "NO DATE", DATA[[#This Row],[DISCHARGE DATE]]-DATA[[#This Row],[ADMISSION DATE]]+1)</f>
        <v>306</v>
      </c>
      <c r="M81" s="83">
        <v>350</v>
      </c>
      <c r="N81" s="83">
        <v>3978</v>
      </c>
      <c r="O81" s="93" t="s">
        <v>384</v>
      </c>
      <c r="P81" s="93" t="s">
        <v>468</v>
      </c>
      <c r="Q81" s="84">
        <f>IF(DATA[[#This Row],[Column1]]="Normal", 13 * DATA[[#This Row],[STORAGE DAYS]], 20 * DATA[[#This Row],[STORAGE DAYS]])</f>
        <v>3978</v>
      </c>
      <c r="R81" s="84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 t="shared" si="1"/>
        <v>349</v>
      </c>
      <c r="U81" s="112">
        <v>2025</v>
      </c>
      <c r="V81" s="112" t="s">
        <v>1874</v>
      </c>
      <c r="W81" s="112">
        <v>2025</v>
      </c>
      <c r="X81" s="112" t="s">
        <v>1910</v>
      </c>
    </row>
    <row r="82" spans="1:24" s="37" customFormat="1" ht="21" hidden="1" x14ac:dyDescent="0.25">
      <c r="A82" s="77" t="s">
        <v>385</v>
      </c>
      <c r="B82" s="78" t="s">
        <v>386</v>
      </c>
      <c r="C82" s="78">
        <v>30</v>
      </c>
      <c r="D82" s="79" t="s">
        <v>4</v>
      </c>
      <c r="E82" s="79" t="s">
        <v>387</v>
      </c>
      <c r="F82" s="79" t="s">
        <v>1636</v>
      </c>
      <c r="G82" s="79" t="s">
        <v>20</v>
      </c>
      <c r="H82" s="81">
        <v>0.21875</v>
      </c>
      <c r="I82" s="79" t="s">
        <v>10</v>
      </c>
      <c r="J82" s="82">
        <v>45684</v>
      </c>
      <c r="K82" s="82">
        <v>45849</v>
      </c>
      <c r="L82" s="78">
        <f>IF(ISBLANK(DATA[[#This Row],[DISCHARGE DATE]]), "NO DATE", DATA[[#This Row],[DISCHARGE DATE]]-DATA[[#This Row],[ADMISSION DATE]]+1)</f>
        <v>166</v>
      </c>
      <c r="M82" s="83">
        <v>350</v>
      </c>
      <c r="N82" s="83">
        <v>2158</v>
      </c>
      <c r="O82" s="93" t="s">
        <v>241</v>
      </c>
      <c r="P82" s="93" t="s">
        <v>388</v>
      </c>
      <c r="Q82" s="84">
        <f>IF(DATA[[#This Row],[Column1]]="Normal", 13 * DATA[[#This Row],[STORAGE DAYS]], 20 * DATA[[#This Row],[STORAGE DAYS]])</f>
        <v>2158</v>
      </c>
      <c r="R82" s="84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 t="shared" si="1"/>
        <v>349</v>
      </c>
      <c r="U82" s="112">
        <v>2025</v>
      </c>
      <c r="V82" s="112" t="s">
        <v>1874</v>
      </c>
      <c r="W82" s="112">
        <v>2025</v>
      </c>
      <c r="X82" s="112" t="s">
        <v>1908</v>
      </c>
    </row>
    <row r="83" spans="1:24" s="37" customFormat="1" ht="21" hidden="1" x14ac:dyDescent="0.25">
      <c r="A83" s="77" t="s">
        <v>389</v>
      </c>
      <c r="B83" s="78" t="s">
        <v>390</v>
      </c>
      <c r="C83" s="78">
        <v>77</v>
      </c>
      <c r="D83" s="79" t="s">
        <v>5</v>
      </c>
      <c r="E83" s="79" t="s">
        <v>391</v>
      </c>
      <c r="F83" s="79" t="s">
        <v>1637</v>
      </c>
      <c r="G83" s="79" t="s">
        <v>1377</v>
      </c>
      <c r="H83" s="81">
        <v>0.45833333333333331</v>
      </c>
      <c r="I83" s="79" t="s">
        <v>10</v>
      </c>
      <c r="J83" s="82">
        <v>45688</v>
      </c>
      <c r="K83" s="82">
        <v>45814</v>
      </c>
      <c r="L83" s="78">
        <f>IF(ISBLANK(DATA[[#This Row],[DISCHARGE DATE]]), "NO DATE", DATA[[#This Row],[DISCHARGE DATE]]-DATA[[#This Row],[ADMISSION DATE]]+1)</f>
        <v>127</v>
      </c>
      <c r="M83" s="83">
        <v>350</v>
      </c>
      <c r="N83" s="83">
        <v>1651</v>
      </c>
      <c r="O83" s="93" t="s">
        <v>392</v>
      </c>
      <c r="P83" s="93" t="s">
        <v>393</v>
      </c>
      <c r="Q83" s="84">
        <f>IF(DATA[[#This Row],[Column1]]="Normal", 13 * DATA[[#This Row],[STORAGE DAYS]], 20 * DATA[[#This Row],[STORAGE DAYS]])</f>
        <v>1651</v>
      </c>
      <c r="R83" s="84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 t="shared" si="1"/>
        <v>349</v>
      </c>
      <c r="U83" s="112">
        <v>2025</v>
      </c>
      <c r="V83" s="112" t="s">
        <v>1874</v>
      </c>
      <c r="W83" s="112">
        <v>2025</v>
      </c>
      <c r="X83" s="112" t="s">
        <v>1917</v>
      </c>
    </row>
    <row r="84" spans="1:24" s="37" customFormat="1" ht="21" hidden="1" x14ac:dyDescent="0.25">
      <c r="A84" s="77" t="s">
        <v>394</v>
      </c>
      <c r="B84" s="78" t="s">
        <v>372</v>
      </c>
      <c r="C84" s="78">
        <v>52</v>
      </c>
      <c r="D84" s="79" t="s">
        <v>4</v>
      </c>
      <c r="E84" s="79" t="s">
        <v>395</v>
      </c>
      <c r="F84" s="79" t="s">
        <v>1638</v>
      </c>
      <c r="G84" s="79" t="s">
        <v>27</v>
      </c>
      <c r="H84" s="81">
        <v>0.625</v>
      </c>
      <c r="I84" s="79" t="s">
        <v>10</v>
      </c>
      <c r="J84" s="82">
        <v>45687</v>
      </c>
      <c r="K84" s="82">
        <v>45744</v>
      </c>
      <c r="L84" s="78">
        <f>IF(ISBLANK(DATA[[#This Row],[DISCHARGE DATE]]), "NO DATE", DATA[[#This Row],[DISCHARGE DATE]]-DATA[[#This Row],[ADMISSION DATE]]+1)</f>
        <v>58</v>
      </c>
      <c r="M84" s="83">
        <v>350</v>
      </c>
      <c r="N84" s="83">
        <v>754</v>
      </c>
      <c r="O84" s="93" t="s">
        <v>354</v>
      </c>
      <c r="P84" s="93" t="s">
        <v>317</v>
      </c>
      <c r="Q84" s="84">
        <f>IF(DATA[[#This Row],[Column1]]="Normal", 13 * DATA[[#This Row],[STORAGE DAYS]], 20 * DATA[[#This Row],[STORAGE DAYS]])</f>
        <v>754</v>
      </c>
      <c r="R84" s="84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 t="shared" si="1"/>
        <v>349</v>
      </c>
      <c r="U84" s="112">
        <v>2025</v>
      </c>
      <c r="V84" s="112" t="s">
        <v>1874</v>
      </c>
      <c r="W84" s="112">
        <v>2025</v>
      </c>
      <c r="X84" s="112" t="s">
        <v>1912</v>
      </c>
    </row>
    <row r="85" spans="1:24" s="37" customFormat="1" ht="21" hidden="1" x14ac:dyDescent="0.25">
      <c r="A85" s="77" t="s">
        <v>396</v>
      </c>
      <c r="B85" s="78" t="s">
        <v>397</v>
      </c>
      <c r="C85" s="78">
        <v>46</v>
      </c>
      <c r="D85" s="79" t="s">
        <v>5</v>
      </c>
      <c r="E85" s="79" t="s">
        <v>398</v>
      </c>
      <c r="F85" s="79" t="s">
        <v>1639</v>
      </c>
      <c r="G85" s="79" t="s">
        <v>26</v>
      </c>
      <c r="H85" s="81">
        <v>0.66666666666666663</v>
      </c>
      <c r="I85" s="79" t="s">
        <v>10</v>
      </c>
      <c r="J85" s="82">
        <v>45690</v>
      </c>
      <c r="K85" s="82">
        <v>45709</v>
      </c>
      <c r="L85" s="78">
        <f>IF(ISBLANK(DATA[[#This Row],[DISCHARGE DATE]]), "NO DATE", DATA[[#This Row],[DISCHARGE DATE]]-DATA[[#This Row],[ADMISSION DATE]]+1)</f>
        <v>20</v>
      </c>
      <c r="M85" s="83">
        <v>350</v>
      </c>
      <c r="N85" s="83">
        <v>260</v>
      </c>
      <c r="O85" s="93" t="s">
        <v>194</v>
      </c>
      <c r="P85" s="93" t="s">
        <v>203</v>
      </c>
      <c r="Q85" s="84">
        <f>IF(DATA[[#This Row],[Column1]]="Normal", 13 * DATA[[#This Row],[STORAGE DAYS]], 20 * DATA[[#This Row],[STORAGE DAYS]])</f>
        <v>260</v>
      </c>
      <c r="R85" s="84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 t="shared" si="1"/>
        <v>349</v>
      </c>
      <c r="U85" s="112">
        <v>2025</v>
      </c>
      <c r="V85" s="112" t="s">
        <v>1915</v>
      </c>
      <c r="W85" s="112">
        <v>2025</v>
      </c>
      <c r="X85" s="112" t="s">
        <v>1915</v>
      </c>
    </row>
    <row r="86" spans="1:24" s="37" customFormat="1" ht="21" hidden="1" x14ac:dyDescent="0.25">
      <c r="A86" s="77" t="s">
        <v>399</v>
      </c>
      <c r="B86" s="78" t="s">
        <v>400</v>
      </c>
      <c r="C86" s="78">
        <v>90</v>
      </c>
      <c r="D86" s="79" t="s">
        <v>4</v>
      </c>
      <c r="E86" s="79" t="s">
        <v>401</v>
      </c>
      <c r="F86" s="79" t="s">
        <v>1640</v>
      </c>
      <c r="G86" s="79" t="s">
        <v>26</v>
      </c>
      <c r="H86" s="81">
        <v>0.16666666666666666</v>
      </c>
      <c r="I86" s="79" t="s">
        <v>12</v>
      </c>
      <c r="J86" s="82">
        <v>45692</v>
      </c>
      <c r="K86" s="82">
        <v>45806</v>
      </c>
      <c r="L86" s="78">
        <f>IF(ISBLANK(DATA[[#This Row],[DISCHARGE DATE]]), "NO DATE", DATA[[#This Row],[DISCHARGE DATE]]-DATA[[#This Row],[ADMISSION DATE]]+1)</f>
        <v>115</v>
      </c>
      <c r="M86" s="83">
        <v>350</v>
      </c>
      <c r="N86" s="83">
        <v>2300</v>
      </c>
      <c r="O86" s="93" t="s">
        <v>344</v>
      </c>
      <c r="P86" s="93" t="s">
        <v>255</v>
      </c>
      <c r="Q86" s="84">
        <f>IF(DATA[[#This Row],[Column1]]="Normal", 13 * DATA[[#This Row],[STORAGE DAYS]], 20 * DATA[[#This Row],[STORAGE DAYS]])</f>
        <v>2300</v>
      </c>
      <c r="R86" s="84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 t="shared" si="1"/>
        <v>349</v>
      </c>
      <c r="U86" s="112">
        <v>2025</v>
      </c>
      <c r="V86" s="112" t="s">
        <v>1915</v>
      </c>
      <c r="W86" s="112">
        <v>2025</v>
      </c>
      <c r="X86" s="112" t="s">
        <v>1913</v>
      </c>
    </row>
    <row r="87" spans="1:24" s="37" customFormat="1" ht="21" hidden="1" x14ac:dyDescent="0.25">
      <c r="A87" s="77" t="s">
        <v>402</v>
      </c>
      <c r="B87" s="78" t="s">
        <v>403</v>
      </c>
      <c r="C87" s="78">
        <v>20</v>
      </c>
      <c r="D87" s="79" t="s">
        <v>4</v>
      </c>
      <c r="E87" s="79" t="s">
        <v>404</v>
      </c>
      <c r="F87" s="79" t="s">
        <v>1641</v>
      </c>
      <c r="G87" s="79" t="s">
        <v>27</v>
      </c>
      <c r="H87" s="81">
        <v>0.29166666666666669</v>
      </c>
      <c r="I87" s="79" t="s">
        <v>10</v>
      </c>
      <c r="J87" s="82">
        <v>45692</v>
      </c>
      <c r="K87" s="82">
        <v>45849</v>
      </c>
      <c r="L87" s="78">
        <f>IF(ISBLANK(DATA[[#This Row],[DISCHARGE DATE]]), "NO DATE", DATA[[#This Row],[DISCHARGE DATE]]-DATA[[#This Row],[ADMISSION DATE]]+1)</f>
        <v>158</v>
      </c>
      <c r="M87" s="83">
        <v>350</v>
      </c>
      <c r="N87" s="83">
        <v>1885</v>
      </c>
      <c r="O87" s="93" t="s">
        <v>107</v>
      </c>
      <c r="P87" s="93" t="s">
        <v>405</v>
      </c>
      <c r="Q87" s="84">
        <f>IF(DATA[[#This Row],[Column1]]="Normal", 13 * DATA[[#This Row],[STORAGE DAYS]], 20 * DATA[[#This Row],[STORAGE DAYS]])</f>
        <v>2054</v>
      </c>
      <c r="R87" s="84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 t="shared" si="1"/>
        <v>349</v>
      </c>
      <c r="U87" s="112">
        <v>2025</v>
      </c>
      <c r="V87" s="112" t="s">
        <v>1915</v>
      </c>
      <c r="W87" s="112">
        <v>2025</v>
      </c>
      <c r="X87" s="112" t="s">
        <v>1908</v>
      </c>
    </row>
    <row r="88" spans="1:24" s="37" customFormat="1" ht="21" hidden="1" x14ac:dyDescent="0.25">
      <c r="A88" s="77" t="s">
        <v>406</v>
      </c>
      <c r="B88" s="78" t="s">
        <v>407</v>
      </c>
      <c r="C88" s="78">
        <v>54</v>
      </c>
      <c r="D88" s="79" t="s">
        <v>5</v>
      </c>
      <c r="E88" s="79" t="s">
        <v>408</v>
      </c>
      <c r="F88" s="79" t="s">
        <v>1642</v>
      </c>
      <c r="G88" s="79" t="s">
        <v>22</v>
      </c>
      <c r="H88" s="81">
        <v>0.6875</v>
      </c>
      <c r="I88" s="79" t="s">
        <v>10</v>
      </c>
      <c r="J88" s="82">
        <v>45692</v>
      </c>
      <c r="K88" s="82">
        <v>45856</v>
      </c>
      <c r="L88" s="78">
        <f>IF(ISBLANK(DATA[[#This Row],[DISCHARGE DATE]]), "NO DATE", DATA[[#This Row],[DISCHARGE DATE]]-DATA[[#This Row],[ADMISSION DATE]]+1)</f>
        <v>165</v>
      </c>
      <c r="M88" s="83">
        <v>350</v>
      </c>
      <c r="N88" s="83">
        <v>2145</v>
      </c>
      <c r="O88" s="93" t="s">
        <v>135</v>
      </c>
      <c r="P88" s="93" t="s">
        <v>409</v>
      </c>
      <c r="Q88" s="84">
        <f>IF(DATA[[#This Row],[Column1]]="Normal", 13 * DATA[[#This Row],[STORAGE DAYS]], 20 * DATA[[#This Row],[STORAGE DAYS]])</f>
        <v>2145</v>
      </c>
      <c r="R88" s="84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 t="shared" si="1"/>
        <v>349</v>
      </c>
      <c r="U88" s="112">
        <v>2025</v>
      </c>
      <c r="V88" s="112" t="s">
        <v>1915</v>
      </c>
      <c r="W88" s="112">
        <v>2025</v>
      </c>
      <c r="X88" s="112" t="s">
        <v>1908</v>
      </c>
    </row>
    <row r="89" spans="1:24" s="37" customFormat="1" ht="21" hidden="1" x14ac:dyDescent="0.25">
      <c r="A89" s="77" t="s">
        <v>410</v>
      </c>
      <c r="B89" s="78" t="s">
        <v>411</v>
      </c>
      <c r="C89" s="78">
        <v>66</v>
      </c>
      <c r="D89" s="79" t="s">
        <v>5</v>
      </c>
      <c r="E89" s="79" t="s">
        <v>401</v>
      </c>
      <c r="F89" s="79" t="s">
        <v>1643</v>
      </c>
      <c r="G89" s="79" t="s">
        <v>27</v>
      </c>
      <c r="H89" s="81">
        <v>0.8125</v>
      </c>
      <c r="I89" s="79" t="s">
        <v>10</v>
      </c>
      <c r="J89" s="82">
        <v>45692</v>
      </c>
      <c r="K89" s="82">
        <v>45744</v>
      </c>
      <c r="L89" s="78">
        <f>IF(ISBLANK(DATA[[#This Row],[DISCHARGE DATE]]), "NO DATE", DATA[[#This Row],[DISCHARGE DATE]]-DATA[[#This Row],[ADMISSION DATE]]+1)</f>
        <v>53</v>
      </c>
      <c r="M89" s="83">
        <v>350</v>
      </c>
      <c r="N89" s="83">
        <v>689</v>
      </c>
      <c r="O89" s="93" t="s">
        <v>412</v>
      </c>
      <c r="P89" s="93" t="s">
        <v>281</v>
      </c>
      <c r="Q89" s="84">
        <f>IF(DATA[[#This Row],[Column1]]="Normal", 13 * DATA[[#This Row],[STORAGE DAYS]], 20 * DATA[[#This Row],[STORAGE DAYS]])</f>
        <v>689</v>
      </c>
      <c r="R89" s="84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 t="shared" si="1"/>
        <v>349</v>
      </c>
      <c r="U89" s="112">
        <v>2025</v>
      </c>
      <c r="V89" s="112" t="s">
        <v>1915</v>
      </c>
      <c r="W89" s="112">
        <v>2025</v>
      </c>
      <c r="X89" s="112" t="s">
        <v>1912</v>
      </c>
    </row>
    <row r="90" spans="1:24" s="37" customFormat="1" ht="21" hidden="1" x14ac:dyDescent="0.25">
      <c r="A90" s="77" t="s">
        <v>413</v>
      </c>
      <c r="B90" s="78" t="s">
        <v>414</v>
      </c>
      <c r="C90" s="78">
        <v>49</v>
      </c>
      <c r="D90" s="79" t="s">
        <v>5</v>
      </c>
      <c r="E90" s="79" t="s">
        <v>415</v>
      </c>
      <c r="F90" s="79" t="s">
        <v>1644</v>
      </c>
      <c r="G90" s="79" t="s">
        <v>27</v>
      </c>
      <c r="H90" s="81">
        <v>0.52083333333333337</v>
      </c>
      <c r="I90" s="79" t="s">
        <v>10</v>
      </c>
      <c r="J90" s="82">
        <v>45694</v>
      </c>
      <c r="K90" s="82">
        <v>45700</v>
      </c>
      <c r="L90" s="78">
        <f>IF(ISBLANK(DATA[[#This Row],[DISCHARGE DATE]]), "NO DATE", DATA[[#This Row],[DISCHARGE DATE]]-DATA[[#This Row],[ADMISSION DATE]]+1)</f>
        <v>7</v>
      </c>
      <c r="M90" s="83">
        <v>350</v>
      </c>
      <c r="N90" s="83">
        <v>91</v>
      </c>
      <c r="O90" s="93" t="s">
        <v>405</v>
      </c>
      <c r="P90" s="93" t="s">
        <v>175</v>
      </c>
      <c r="Q90" s="84">
        <f>IF(DATA[[#This Row],[Column1]]="Normal", 13 * DATA[[#This Row],[STORAGE DAYS]], 20 * DATA[[#This Row],[STORAGE DAYS]])</f>
        <v>91</v>
      </c>
      <c r="R90" s="84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 t="shared" si="1"/>
        <v>349</v>
      </c>
      <c r="U90" s="112">
        <v>2025</v>
      </c>
      <c r="V90" s="112" t="s">
        <v>1915</v>
      </c>
      <c r="W90" s="112">
        <v>2025</v>
      </c>
      <c r="X90" s="112" t="s">
        <v>1915</v>
      </c>
    </row>
    <row r="91" spans="1:24" s="37" customFormat="1" ht="21" hidden="1" x14ac:dyDescent="0.25">
      <c r="A91" s="77" t="s">
        <v>416</v>
      </c>
      <c r="B91" s="78" t="s">
        <v>417</v>
      </c>
      <c r="C91" s="78">
        <v>66</v>
      </c>
      <c r="D91" s="79" t="s">
        <v>4</v>
      </c>
      <c r="E91" s="79" t="s">
        <v>418</v>
      </c>
      <c r="F91" s="79" t="s">
        <v>1645</v>
      </c>
      <c r="G91" s="79" t="s">
        <v>27</v>
      </c>
      <c r="H91" s="81">
        <v>0.6875</v>
      </c>
      <c r="I91" s="79" t="s">
        <v>10</v>
      </c>
      <c r="J91" s="82">
        <v>45697</v>
      </c>
      <c r="K91" s="82">
        <v>45744</v>
      </c>
      <c r="L91" s="78">
        <f>IF(ISBLANK(DATA[[#This Row],[DISCHARGE DATE]]), "NO DATE", DATA[[#This Row],[DISCHARGE DATE]]-DATA[[#This Row],[ADMISSION DATE]]+1)</f>
        <v>48</v>
      </c>
      <c r="M91" s="83">
        <v>350</v>
      </c>
      <c r="N91" s="83">
        <v>624</v>
      </c>
      <c r="O91" s="93" t="s">
        <v>236</v>
      </c>
      <c r="P91" s="93" t="s">
        <v>296</v>
      </c>
      <c r="Q91" s="84">
        <f>IF(DATA[[#This Row],[Column1]]="Normal", 13 * DATA[[#This Row],[STORAGE DAYS]], 20 * DATA[[#This Row],[STORAGE DAYS]])</f>
        <v>624</v>
      </c>
      <c r="R91" s="84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 t="shared" si="1"/>
        <v>349</v>
      </c>
      <c r="U91" s="112">
        <v>2025</v>
      </c>
      <c r="V91" s="112" t="s">
        <v>1915</v>
      </c>
      <c r="W91" s="112">
        <v>2025</v>
      </c>
      <c r="X91" s="112" t="s">
        <v>1912</v>
      </c>
    </row>
    <row r="92" spans="1:24" s="37" customFormat="1" ht="21" hidden="1" x14ac:dyDescent="0.25">
      <c r="A92" s="77" t="s">
        <v>419</v>
      </c>
      <c r="B92" s="78" t="s">
        <v>420</v>
      </c>
      <c r="C92" s="78">
        <v>80</v>
      </c>
      <c r="D92" s="79" t="s">
        <v>4</v>
      </c>
      <c r="E92" s="79" t="s">
        <v>421</v>
      </c>
      <c r="F92" s="79" t="s">
        <v>1646</v>
      </c>
      <c r="G92" s="79" t="s">
        <v>27</v>
      </c>
      <c r="H92" s="81">
        <v>0.625</v>
      </c>
      <c r="I92" s="79" t="s">
        <v>10</v>
      </c>
      <c r="J92" s="82">
        <v>45695</v>
      </c>
      <c r="K92" s="82">
        <v>45898</v>
      </c>
      <c r="L92" s="78">
        <f>IF(ISBLANK(DATA[[#This Row],[DISCHARGE DATE]]), "NO DATE", DATA[[#This Row],[DISCHARGE DATE]]-DATA[[#This Row],[ADMISSION DATE]]+1)</f>
        <v>204</v>
      </c>
      <c r="M92" s="83">
        <v>350</v>
      </c>
      <c r="N92" s="83">
        <v>2652</v>
      </c>
      <c r="O92" s="93" t="s">
        <v>277</v>
      </c>
      <c r="P92" s="93" t="s">
        <v>422</v>
      </c>
      <c r="Q92" s="84">
        <f>IF(DATA[[#This Row],[Column1]]="Normal", 13 * DATA[[#This Row],[STORAGE DAYS]], 20 * DATA[[#This Row],[STORAGE DAYS]])</f>
        <v>2652</v>
      </c>
      <c r="R92" s="84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 t="shared" si="1"/>
        <v>349</v>
      </c>
      <c r="U92" s="112">
        <v>2025</v>
      </c>
      <c r="V92" s="112" t="s">
        <v>1915</v>
      </c>
      <c r="W92" s="112">
        <v>2025</v>
      </c>
      <c r="X92" s="112" t="s">
        <v>1909</v>
      </c>
    </row>
    <row r="93" spans="1:24" s="37" customFormat="1" ht="21" hidden="1" x14ac:dyDescent="0.25">
      <c r="A93" s="77" t="s">
        <v>423</v>
      </c>
      <c r="B93" s="78" t="s">
        <v>424</v>
      </c>
      <c r="C93" s="78">
        <v>65</v>
      </c>
      <c r="D93" s="79" t="s">
        <v>5</v>
      </c>
      <c r="E93" s="79" t="s">
        <v>425</v>
      </c>
      <c r="F93" s="79" t="s">
        <v>1647</v>
      </c>
      <c r="G93" s="79" t="s">
        <v>27</v>
      </c>
      <c r="H93" s="81">
        <v>0.61805555555555558</v>
      </c>
      <c r="I93" s="79" t="s">
        <v>12</v>
      </c>
      <c r="J93" s="82">
        <v>45699</v>
      </c>
      <c r="K93" s="82">
        <v>45870</v>
      </c>
      <c r="L93" s="78">
        <f>IF(ISBLANK(DATA[[#This Row],[DISCHARGE DATE]]), "NO DATE", DATA[[#This Row],[DISCHARGE DATE]]-DATA[[#This Row],[ADMISSION DATE]]+1)</f>
        <v>172</v>
      </c>
      <c r="M93" s="83">
        <v>350</v>
      </c>
      <c r="N93" s="83">
        <v>3440</v>
      </c>
      <c r="O93" s="93" t="s">
        <v>426</v>
      </c>
      <c r="P93" s="93" t="s">
        <v>427</v>
      </c>
      <c r="Q93" s="84">
        <f>IF(DATA[[#This Row],[Column1]]="Normal", 13 * DATA[[#This Row],[STORAGE DAYS]], 20 * DATA[[#This Row],[STORAGE DAYS]])</f>
        <v>3440</v>
      </c>
      <c r="R93" s="84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 t="shared" si="1"/>
        <v>349</v>
      </c>
      <c r="U93" s="112">
        <v>2025</v>
      </c>
      <c r="V93" s="112" t="s">
        <v>1915</v>
      </c>
      <c r="W93" s="112">
        <v>2025</v>
      </c>
      <c r="X93" s="112" t="s">
        <v>1909</v>
      </c>
    </row>
    <row r="94" spans="1:24" s="37" customFormat="1" ht="21" hidden="1" x14ac:dyDescent="0.25">
      <c r="A94" s="77" t="s">
        <v>428</v>
      </c>
      <c r="B94" s="78" t="s">
        <v>429</v>
      </c>
      <c r="C94" s="78">
        <v>68</v>
      </c>
      <c r="D94" s="79" t="s">
        <v>5</v>
      </c>
      <c r="E94" s="79" t="s">
        <v>430</v>
      </c>
      <c r="F94" s="79" t="s">
        <v>1648</v>
      </c>
      <c r="G94" s="79" t="s">
        <v>27</v>
      </c>
      <c r="H94" s="81">
        <v>0.52083333333333337</v>
      </c>
      <c r="I94" s="79" t="s">
        <v>10</v>
      </c>
      <c r="J94" s="82">
        <v>45705</v>
      </c>
      <c r="K94" s="82">
        <v>45772</v>
      </c>
      <c r="L94" s="78">
        <f>IF(ISBLANK(DATA[[#This Row],[DISCHARGE DATE]]), "NO DATE", DATA[[#This Row],[DISCHARGE DATE]]-DATA[[#This Row],[ADMISSION DATE]]+1)</f>
        <v>68</v>
      </c>
      <c r="M94" s="83">
        <v>350</v>
      </c>
      <c r="N94" s="83">
        <v>884</v>
      </c>
      <c r="O94" s="93" t="s">
        <v>431</v>
      </c>
      <c r="P94" s="93" t="s">
        <v>392</v>
      </c>
      <c r="Q94" s="84">
        <f>IF(DATA[[#This Row],[Column1]]="Normal", 13 * DATA[[#This Row],[STORAGE DAYS]], 20 * DATA[[#This Row],[STORAGE DAYS]])</f>
        <v>884</v>
      </c>
      <c r="R94" s="84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 t="shared" si="1"/>
        <v>349</v>
      </c>
      <c r="U94" s="112">
        <v>2025</v>
      </c>
      <c r="V94" s="112" t="s">
        <v>1915</v>
      </c>
      <c r="W94" s="112">
        <v>2025</v>
      </c>
      <c r="X94" s="112" t="s">
        <v>1873</v>
      </c>
    </row>
    <row r="95" spans="1:24" s="37" customFormat="1" ht="21" hidden="1" x14ac:dyDescent="0.25">
      <c r="A95" s="77" t="s">
        <v>432</v>
      </c>
      <c r="B95" s="78" t="s">
        <v>433</v>
      </c>
      <c r="C95" s="78">
        <v>73</v>
      </c>
      <c r="D95" s="79" t="s">
        <v>4</v>
      </c>
      <c r="E95" s="79" t="s">
        <v>434</v>
      </c>
      <c r="F95" s="79" t="s">
        <v>1649</v>
      </c>
      <c r="G95" s="79" t="s">
        <v>27</v>
      </c>
      <c r="H95" s="81">
        <v>0.66666666666666663</v>
      </c>
      <c r="I95" s="79" t="s">
        <v>10</v>
      </c>
      <c r="J95" s="82">
        <v>45706</v>
      </c>
      <c r="K95" s="82">
        <v>45807</v>
      </c>
      <c r="L95" s="78">
        <f>IF(ISBLANK(DATA[[#This Row],[DISCHARGE DATE]]), "NO DATE", DATA[[#This Row],[DISCHARGE DATE]]-DATA[[#This Row],[ADMISSION DATE]]+1)</f>
        <v>102</v>
      </c>
      <c r="M95" s="83">
        <v>350</v>
      </c>
      <c r="N95" s="83">
        <v>1326</v>
      </c>
      <c r="O95" s="93" t="s">
        <v>435</v>
      </c>
      <c r="P95" s="93" t="s">
        <v>436</v>
      </c>
      <c r="Q95" s="84">
        <f>IF(DATA[[#This Row],[Column1]]="Normal", 13 * DATA[[#This Row],[STORAGE DAYS]], 20 * DATA[[#This Row],[STORAGE DAYS]])</f>
        <v>1326</v>
      </c>
      <c r="R95" s="84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 t="shared" si="1"/>
        <v>349</v>
      </c>
      <c r="U95" s="112">
        <v>2025</v>
      </c>
      <c r="V95" s="112" t="s">
        <v>1915</v>
      </c>
      <c r="W95" s="112">
        <v>2025</v>
      </c>
      <c r="X95" s="112" t="s">
        <v>1913</v>
      </c>
    </row>
    <row r="96" spans="1:24" s="37" customFormat="1" ht="21" hidden="1" x14ac:dyDescent="0.25">
      <c r="A96" s="77" t="s">
        <v>437</v>
      </c>
      <c r="B96" s="78" t="s">
        <v>438</v>
      </c>
      <c r="C96" s="78">
        <v>54</v>
      </c>
      <c r="D96" s="79" t="s">
        <v>5</v>
      </c>
      <c r="E96" s="79" t="s">
        <v>439</v>
      </c>
      <c r="F96" s="79" t="s">
        <v>1650</v>
      </c>
      <c r="G96" s="79" t="s">
        <v>27</v>
      </c>
      <c r="H96" s="81">
        <v>0.58333333333333337</v>
      </c>
      <c r="I96" s="79" t="s">
        <v>10</v>
      </c>
      <c r="J96" s="82">
        <v>45703</v>
      </c>
      <c r="K96" s="82">
        <v>45807</v>
      </c>
      <c r="L96" s="78">
        <f>IF(ISBLANK(DATA[[#This Row],[DISCHARGE DATE]]), "NO DATE", DATA[[#This Row],[DISCHARGE DATE]]-DATA[[#This Row],[ADMISSION DATE]]+1)</f>
        <v>105</v>
      </c>
      <c r="M96" s="83">
        <v>350</v>
      </c>
      <c r="N96" s="83">
        <v>1365</v>
      </c>
      <c r="O96" s="93" t="s">
        <v>440</v>
      </c>
      <c r="P96" s="93" t="s">
        <v>441</v>
      </c>
      <c r="Q96" s="84">
        <f>IF(DATA[[#This Row],[Column1]]="Normal", 13 * DATA[[#This Row],[STORAGE DAYS]], 20 * DATA[[#This Row],[STORAGE DAYS]])</f>
        <v>1365</v>
      </c>
      <c r="R96" s="84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 t="shared" si="1"/>
        <v>349</v>
      </c>
      <c r="U96" s="112">
        <v>2025</v>
      </c>
      <c r="V96" s="112" t="s">
        <v>1915</v>
      </c>
      <c r="W96" s="112">
        <v>2025</v>
      </c>
      <c r="X96" s="112" t="s">
        <v>1913</v>
      </c>
    </row>
    <row r="97" spans="1:24" s="37" customFormat="1" ht="21" hidden="1" x14ac:dyDescent="0.25">
      <c r="A97" s="77" t="s">
        <v>442</v>
      </c>
      <c r="B97" s="78" t="s">
        <v>443</v>
      </c>
      <c r="C97" s="78">
        <v>57</v>
      </c>
      <c r="D97" s="79" t="s">
        <v>4</v>
      </c>
      <c r="E97" s="79" t="s">
        <v>444</v>
      </c>
      <c r="F97" s="79" t="s">
        <v>1651</v>
      </c>
      <c r="G97" s="79" t="s">
        <v>27</v>
      </c>
      <c r="H97" s="81">
        <v>0.375</v>
      </c>
      <c r="I97" s="79" t="s">
        <v>10</v>
      </c>
      <c r="J97" s="82">
        <v>45708</v>
      </c>
      <c r="K97" s="82">
        <v>45744</v>
      </c>
      <c r="L97" s="78">
        <f>IF(ISBLANK(DATA[[#This Row],[DISCHARGE DATE]]), "NO DATE", DATA[[#This Row],[DISCHARGE DATE]]-DATA[[#This Row],[ADMISSION DATE]]+1)</f>
        <v>37</v>
      </c>
      <c r="M97" s="83">
        <v>350</v>
      </c>
      <c r="N97" s="83">
        <v>481</v>
      </c>
      <c r="O97" s="93" t="s">
        <v>224</v>
      </c>
      <c r="P97" s="93" t="s">
        <v>276</v>
      </c>
      <c r="Q97" s="84">
        <f>IF(DATA[[#This Row],[Column1]]="Normal", 13 * DATA[[#This Row],[STORAGE DAYS]], 20 * DATA[[#This Row],[STORAGE DAYS]])</f>
        <v>481</v>
      </c>
      <c r="R97" s="84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 t="shared" si="1"/>
        <v>349</v>
      </c>
      <c r="U97" s="112">
        <v>2025</v>
      </c>
      <c r="V97" s="112" t="s">
        <v>1915</v>
      </c>
      <c r="W97" s="112">
        <v>2025</v>
      </c>
      <c r="X97" s="112" t="s">
        <v>1912</v>
      </c>
    </row>
    <row r="98" spans="1:24" s="37" customFormat="1" ht="21" hidden="1" x14ac:dyDescent="0.25">
      <c r="A98" s="77" t="s">
        <v>445</v>
      </c>
      <c r="B98" s="78" t="s">
        <v>446</v>
      </c>
      <c r="C98" s="78">
        <v>52</v>
      </c>
      <c r="D98" s="79" t="s">
        <v>4</v>
      </c>
      <c r="E98" s="79" t="s">
        <v>447</v>
      </c>
      <c r="F98" s="79" t="s">
        <v>1652</v>
      </c>
      <c r="G98" s="79" t="s">
        <v>27</v>
      </c>
      <c r="H98" s="81">
        <v>0.52430555555555558</v>
      </c>
      <c r="I98" s="79" t="s">
        <v>10</v>
      </c>
      <c r="J98" s="82">
        <v>45709</v>
      </c>
      <c r="K98" s="82">
        <v>45805</v>
      </c>
      <c r="L98" s="78">
        <f>IF(ISBLANK(DATA[[#This Row],[DISCHARGE DATE]]), "NO DATE", DATA[[#This Row],[DISCHARGE DATE]]-DATA[[#This Row],[ADMISSION DATE]]+1)</f>
        <v>97</v>
      </c>
      <c r="M98" s="83">
        <v>350</v>
      </c>
      <c r="N98" s="83">
        <v>1261</v>
      </c>
      <c r="O98" s="93" t="s">
        <v>246</v>
      </c>
      <c r="P98" s="93" t="s">
        <v>426</v>
      </c>
      <c r="Q98" s="84">
        <f>IF(DATA[[#This Row],[Column1]]="Normal", 13 * DATA[[#This Row],[STORAGE DAYS]], 20 * DATA[[#This Row],[STORAGE DAYS]])</f>
        <v>1261</v>
      </c>
      <c r="R98" s="84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 t="shared" si="1"/>
        <v>349</v>
      </c>
      <c r="U98" s="112">
        <v>2025</v>
      </c>
      <c r="V98" s="112" t="s">
        <v>1915</v>
      </c>
      <c r="W98" s="112">
        <v>2025</v>
      </c>
      <c r="X98" s="112" t="s">
        <v>1913</v>
      </c>
    </row>
    <row r="99" spans="1:24" s="37" customFormat="1" ht="21" hidden="1" x14ac:dyDescent="0.25">
      <c r="A99" s="77" t="s">
        <v>448</v>
      </c>
      <c r="B99" s="78" t="s">
        <v>449</v>
      </c>
      <c r="C99" s="78">
        <v>90</v>
      </c>
      <c r="D99" s="79" t="s">
        <v>4</v>
      </c>
      <c r="E99" s="79" t="s">
        <v>450</v>
      </c>
      <c r="F99" s="79" t="s">
        <v>1653</v>
      </c>
      <c r="G99" s="79" t="s">
        <v>27</v>
      </c>
      <c r="H99" s="81">
        <v>0.22916666666666666</v>
      </c>
      <c r="I99" s="79" t="s">
        <v>12</v>
      </c>
      <c r="J99" s="82">
        <v>45712</v>
      </c>
      <c r="K99" s="82">
        <v>45954</v>
      </c>
      <c r="L99" s="78">
        <f>IF(ISBLANK(DATA[[#This Row],[DISCHARGE DATE]]), "NO DATE", DATA[[#This Row],[DISCHARGE DATE]]-DATA[[#This Row],[ADMISSION DATE]]+1)</f>
        <v>243</v>
      </c>
      <c r="M99" s="83">
        <v>350</v>
      </c>
      <c r="N99" s="83">
        <v>4860</v>
      </c>
      <c r="O99" s="93" t="s">
        <v>370</v>
      </c>
      <c r="P99" s="93" t="s">
        <v>1034</v>
      </c>
      <c r="Q99" s="84">
        <f>IF(DATA[[#This Row],[Column1]]="Normal", 13 * DATA[[#This Row],[STORAGE DAYS]], 20 * DATA[[#This Row],[STORAGE DAYS]])</f>
        <v>4860</v>
      </c>
      <c r="R99" s="84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 t="shared" si="1"/>
        <v>349</v>
      </c>
      <c r="U99" s="112">
        <v>2025</v>
      </c>
      <c r="V99" s="112" t="s">
        <v>1915</v>
      </c>
      <c r="W99" s="112">
        <v>2025</v>
      </c>
      <c r="X99" s="112" t="s">
        <v>1914</v>
      </c>
    </row>
    <row r="100" spans="1:24" s="37" customFormat="1" ht="21" hidden="1" x14ac:dyDescent="0.25">
      <c r="A100" s="77" t="s">
        <v>451</v>
      </c>
      <c r="B100" s="78" t="s">
        <v>82</v>
      </c>
      <c r="C100" s="78">
        <v>30</v>
      </c>
      <c r="D100" s="79" t="s">
        <v>5</v>
      </c>
      <c r="E100" s="79" t="s">
        <v>267</v>
      </c>
      <c r="F100" s="79" t="s">
        <v>1654</v>
      </c>
      <c r="G100" s="79" t="s">
        <v>27</v>
      </c>
      <c r="H100" s="81">
        <v>0.875</v>
      </c>
      <c r="I100" s="79" t="s">
        <v>10</v>
      </c>
      <c r="J100" s="82">
        <v>45710</v>
      </c>
      <c r="K100" s="82">
        <v>45751</v>
      </c>
      <c r="L100" s="78">
        <f>IF(ISBLANK(DATA[[#This Row],[DISCHARGE DATE]]), "NO DATE", DATA[[#This Row],[DISCHARGE DATE]]-DATA[[#This Row],[ADMISSION DATE]]+1)</f>
        <v>42</v>
      </c>
      <c r="M100" s="83">
        <v>350</v>
      </c>
      <c r="N100" s="83">
        <v>546</v>
      </c>
      <c r="O100" s="93" t="s">
        <v>339</v>
      </c>
      <c r="P100" s="93" t="s">
        <v>343</v>
      </c>
      <c r="Q100" s="84">
        <f>IF(DATA[[#This Row],[Column1]]="Normal", 13 * DATA[[#This Row],[STORAGE DAYS]], 20 * DATA[[#This Row],[STORAGE DAYS]])</f>
        <v>546</v>
      </c>
      <c r="R100" s="84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 t="shared" si="1"/>
        <v>349</v>
      </c>
      <c r="U100" s="112">
        <v>2025</v>
      </c>
      <c r="V100" s="112" t="s">
        <v>1915</v>
      </c>
      <c r="W100" s="112">
        <v>2025</v>
      </c>
      <c r="X100" s="112" t="s">
        <v>1873</v>
      </c>
    </row>
    <row r="101" spans="1:24" s="37" customFormat="1" ht="21" hidden="1" x14ac:dyDescent="0.25">
      <c r="A101" s="77" t="s">
        <v>452</v>
      </c>
      <c r="B101" s="78" t="s">
        <v>453</v>
      </c>
      <c r="C101" s="78">
        <v>70</v>
      </c>
      <c r="D101" s="79" t="s">
        <v>4</v>
      </c>
      <c r="E101" s="79" t="s">
        <v>454</v>
      </c>
      <c r="F101" s="79" t="s">
        <v>1655</v>
      </c>
      <c r="G101" s="79" t="s">
        <v>27</v>
      </c>
      <c r="H101" s="81">
        <v>0.8125</v>
      </c>
      <c r="I101" s="79" t="s">
        <v>10</v>
      </c>
      <c r="J101" s="82">
        <v>45712</v>
      </c>
      <c r="K101" s="82">
        <v>45772</v>
      </c>
      <c r="L101" s="78">
        <f>IF(ISBLANK(DATA[[#This Row],[DISCHARGE DATE]]), "NO DATE", DATA[[#This Row],[DISCHARGE DATE]]-DATA[[#This Row],[ADMISSION DATE]]+1)</f>
        <v>61</v>
      </c>
      <c r="M101" s="83">
        <v>350</v>
      </c>
      <c r="N101" s="83">
        <v>793</v>
      </c>
      <c r="O101" s="93" t="s">
        <v>455</v>
      </c>
      <c r="P101" s="93" t="s">
        <v>384</v>
      </c>
      <c r="Q101" s="84">
        <f>IF(DATA[[#This Row],[Column1]]="Normal", 13 * DATA[[#This Row],[STORAGE DAYS]], 20 * DATA[[#This Row],[STORAGE DAYS]])</f>
        <v>793</v>
      </c>
      <c r="R101" s="84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 t="shared" si="1"/>
        <v>349</v>
      </c>
      <c r="U101" s="112">
        <v>2025</v>
      </c>
      <c r="V101" s="112" t="s">
        <v>1915</v>
      </c>
      <c r="W101" s="112">
        <v>2025</v>
      </c>
      <c r="X101" s="112" t="s">
        <v>1873</v>
      </c>
    </row>
    <row r="102" spans="1:24" s="37" customFormat="1" ht="21" hidden="1" x14ac:dyDescent="0.25">
      <c r="A102" s="77" t="s">
        <v>456</v>
      </c>
      <c r="B102" s="78" t="s">
        <v>1554</v>
      </c>
      <c r="C102" s="78">
        <v>33</v>
      </c>
      <c r="D102" s="79" t="s">
        <v>4</v>
      </c>
      <c r="E102" s="79" t="s">
        <v>457</v>
      </c>
      <c r="F102" s="79" t="s">
        <v>1656</v>
      </c>
      <c r="G102" s="79" t="s">
        <v>25</v>
      </c>
      <c r="H102" s="81">
        <v>0.9375</v>
      </c>
      <c r="I102" s="79" t="s">
        <v>10</v>
      </c>
      <c r="J102" s="82">
        <v>45713</v>
      </c>
      <c r="K102" s="82">
        <v>45772</v>
      </c>
      <c r="L102" s="78">
        <f>IF(ISBLANK(DATA[[#This Row],[DISCHARGE DATE]]), "NO DATE", DATA[[#This Row],[DISCHARGE DATE]]-DATA[[#This Row],[ADMISSION DATE]]+1)</f>
        <v>60</v>
      </c>
      <c r="M102" s="83">
        <v>350</v>
      </c>
      <c r="N102" s="83">
        <v>780</v>
      </c>
      <c r="O102" s="93" t="s">
        <v>458</v>
      </c>
      <c r="P102" s="93" t="s">
        <v>369</v>
      </c>
      <c r="Q102" s="84">
        <f>IF(DATA[[#This Row],[Column1]]="Normal", 13 * DATA[[#This Row],[STORAGE DAYS]], 20 * DATA[[#This Row],[STORAGE DAYS]])</f>
        <v>780</v>
      </c>
      <c r="R102" s="84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 t="shared" si="1"/>
        <v>349</v>
      </c>
      <c r="U102" s="112">
        <v>2025</v>
      </c>
      <c r="V102" s="112" t="s">
        <v>1915</v>
      </c>
      <c r="W102" s="112">
        <v>2025</v>
      </c>
      <c r="X102" s="112" t="s">
        <v>1873</v>
      </c>
    </row>
    <row r="103" spans="1:24" s="37" customFormat="1" ht="21" hidden="1" x14ac:dyDescent="0.25">
      <c r="A103" s="77" t="s">
        <v>459</v>
      </c>
      <c r="B103" s="78" t="s">
        <v>1213</v>
      </c>
      <c r="C103" s="78">
        <v>75</v>
      </c>
      <c r="D103" s="79" t="s">
        <v>5</v>
      </c>
      <c r="E103" s="79" t="s">
        <v>1557</v>
      </c>
      <c r="F103" s="79" t="s">
        <v>1657</v>
      </c>
      <c r="G103" s="79" t="s">
        <v>25</v>
      </c>
      <c r="H103" s="81">
        <v>0.58333333333333337</v>
      </c>
      <c r="I103" s="79" t="s">
        <v>12</v>
      </c>
      <c r="J103" s="82">
        <v>45716</v>
      </c>
      <c r="K103" s="82">
        <v>45974</v>
      </c>
      <c r="L103" s="78">
        <f>IF(ISBLANK(DATA[[#This Row],[DISCHARGE DATE]]), "NO DATE", DATA[[#This Row],[DISCHARGE DATE]]-DATA[[#This Row],[ADMISSION DATE]]+1)</f>
        <v>259</v>
      </c>
      <c r="M103" s="83">
        <v>350</v>
      </c>
      <c r="N103" s="83">
        <v>5180</v>
      </c>
      <c r="O103" s="93" t="s">
        <v>460</v>
      </c>
      <c r="P103" s="93" t="s">
        <v>1190</v>
      </c>
      <c r="Q103" s="84">
        <f>IF(DATA[[#This Row],[Column1]]="Normal", 13 * DATA[[#This Row],[STORAGE DAYS]], 20 * DATA[[#This Row],[STORAGE DAYS]])</f>
        <v>5180</v>
      </c>
      <c r="R103" s="84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 t="shared" si="1"/>
        <v>349</v>
      </c>
      <c r="U103" s="112">
        <v>2025</v>
      </c>
      <c r="V103" s="112" t="s">
        <v>1915</v>
      </c>
      <c r="W103" s="112">
        <v>2025</v>
      </c>
      <c r="X103" s="112" t="s">
        <v>1910</v>
      </c>
    </row>
    <row r="104" spans="1:24" s="37" customFormat="1" ht="21" hidden="1" x14ac:dyDescent="0.25">
      <c r="A104" s="77" t="s">
        <v>461</v>
      </c>
      <c r="B104" s="78" t="s">
        <v>462</v>
      </c>
      <c r="C104" s="78">
        <v>60</v>
      </c>
      <c r="D104" s="79" t="s">
        <v>4</v>
      </c>
      <c r="E104" s="79" t="s">
        <v>463</v>
      </c>
      <c r="F104" s="79" t="s">
        <v>1658</v>
      </c>
      <c r="G104" s="79" t="s">
        <v>27</v>
      </c>
      <c r="H104" s="81">
        <v>0.875</v>
      </c>
      <c r="I104" s="79" t="s">
        <v>10</v>
      </c>
      <c r="J104" s="82">
        <v>45717</v>
      </c>
      <c r="K104" s="82">
        <v>45807</v>
      </c>
      <c r="L104" s="78">
        <f>IF(ISBLANK(DATA[[#This Row],[DISCHARGE DATE]]), "NO DATE", DATA[[#This Row],[DISCHARGE DATE]]-DATA[[#This Row],[ADMISSION DATE]]+1)</f>
        <v>91</v>
      </c>
      <c r="M104" s="83">
        <v>350</v>
      </c>
      <c r="N104" s="83">
        <v>1183</v>
      </c>
      <c r="O104" s="93" t="s">
        <v>464</v>
      </c>
      <c r="P104" s="93" t="s">
        <v>435</v>
      </c>
      <c r="Q104" s="84">
        <f>IF(DATA[[#This Row],[Column1]]="Normal", 13 * DATA[[#This Row],[STORAGE DAYS]], 20 * DATA[[#This Row],[STORAGE DAYS]])</f>
        <v>1183</v>
      </c>
      <c r="R104" s="84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 t="shared" si="1"/>
        <v>349</v>
      </c>
      <c r="U104" s="112">
        <v>2025</v>
      </c>
      <c r="V104" s="112" t="s">
        <v>1912</v>
      </c>
      <c r="W104" s="112">
        <v>2025</v>
      </c>
      <c r="X104" s="112" t="s">
        <v>1913</v>
      </c>
    </row>
    <row r="105" spans="1:24" s="37" customFormat="1" ht="21" hidden="1" x14ac:dyDescent="0.25">
      <c r="A105" s="77" t="s">
        <v>465</v>
      </c>
      <c r="B105" s="78" t="s">
        <v>466</v>
      </c>
      <c r="C105" s="78">
        <v>50</v>
      </c>
      <c r="D105" s="79" t="s">
        <v>5</v>
      </c>
      <c r="E105" s="79" t="s">
        <v>467</v>
      </c>
      <c r="F105" s="79" t="s">
        <v>1659</v>
      </c>
      <c r="G105" s="79" t="s">
        <v>26</v>
      </c>
      <c r="H105" s="81">
        <v>0.5</v>
      </c>
      <c r="I105" s="79" t="s">
        <v>10</v>
      </c>
      <c r="J105" s="82">
        <v>45715</v>
      </c>
      <c r="K105" s="82">
        <v>45891</v>
      </c>
      <c r="L105" s="78">
        <f>IF(ISBLANK(DATA[[#This Row],[DISCHARGE DATE]]), "NO DATE", DATA[[#This Row],[DISCHARGE DATE]]-DATA[[#This Row],[ADMISSION DATE]]+1)</f>
        <v>177</v>
      </c>
      <c r="M105" s="83">
        <v>350</v>
      </c>
      <c r="N105" s="83">
        <v>2301</v>
      </c>
      <c r="O105" s="93" t="s">
        <v>468</v>
      </c>
      <c r="P105" s="93" t="s">
        <v>469</v>
      </c>
      <c r="Q105" s="84">
        <f>IF(DATA[[#This Row],[Column1]]="Normal", 13 * DATA[[#This Row],[STORAGE DAYS]], 20 * DATA[[#This Row],[STORAGE DAYS]])</f>
        <v>2301</v>
      </c>
      <c r="R105" s="84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 t="shared" si="1"/>
        <v>349</v>
      </c>
      <c r="U105" s="112">
        <v>2025</v>
      </c>
      <c r="V105" s="112" t="s">
        <v>1915</v>
      </c>
      <c r="W105" s="112">
        <v>2025</v>
      </c>
      <c r="X105" s="112" t="s">
        <v>1909</v>
      </c>
    </row>
    <row r="106" spans="1:24" s="37" customFormat="1" ht="21" hidden="1" x14ac:dyDescent="0.25">
      <c r="A106" s="77" t="s">
        <v>470</v>
      </c>
      <c r="B106" s="78" t="s">
        <v>471</v>
      </c>
      <c r="C106" s="78">
        <v>30</v>
      </c>
      <c r="D106" s="79" t="s">
        <v>4</v>
      </c>
      <c r="E106" s="79" t="s">
        <v>235</v>
      </c>
      <c r="F106" s="79" t="s">
        <v>1660</v>
      </c>
      <c r="G106" s="79" t="s">
        <v>25</v>
      </c>
      <c r="H106" s="81">
        <v>0.2638888888888889</v>
      </c>
      <c r="I106" s="79" t="s">
        <v>10</v>
      </c>
      <c r="J106" s="82">
        <v>45721</v>
      </c>
      <c r="K106" s="82">
        <v>45772</v>
      </c>
      <c r="L106" s="78">
        <f>IF(ISBLANK(DATA[[#This Row],[DISCHARGE DATE]]), "NO DATE", DATA[[#This Row],[DISCHARGE DATE]]-DATA[[#This Row],[ADMISSION DATE]]+1)</f>
        <v>52</v>
      </c>
      <c r="M106" s="83">
        <v>350</v>
      </c>
      <c r="N106" s="83">
        <v>676</v>
      </c>
      <c r="O106" s="93" t="s">
        <v>472</v>
      </c>
      <c r="P106" s="93" t="s">
        <v>412</v>
      </c>
      <c r="Q106" s="84">
        <f>IF(DATA[[#This Row],[Column1]]="Normal", 13 * DATA[[#This Row],[STORAGE DAYS]], 20 * DATA[[#This Row],[STORAGE DAYS]])</f>
        <v>676</v>
      </c>
      <c r="R106" s="84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 t="shared" si="1"/>
        <v>349</v>
      </c>
      <c r="U106" s="112">
        <v>2025</v>
      </c>
      <c r="V106" s="112" t="s">
        <v>1912</v>
      </c>
      <c r="W106" s="112">
        <v>2025</v>
      </c>
      <c r="X106" s="112" t="s">
        <v>1873</v>
      </c>
    </row>
    <row r="107" spans="1:24" s="37" customFormat="1" ht="21" hidden="1" x14ac:dyDescent="0.25">
      <c r="A107" s="77" t="s">
        <v>473</v>
      </c>
      <c r="B107" s="78" t="s">
        <v>474</v>
      </c>
      <c r="C107" s="78">
        <v>76</v>
      </c>
      <c r="D107" s="79" t="s">
        <v>5</v>
      </c>
      <c r="E107" s="79" t="s">
        <v>475</v>
      </c>
      <c r="F107" s="79" t="s">
        <v>1661</v>
      </c>
      <c r="G107" s="79" t="s">
        <v>27</v>
      </c>
      <c r="H107" s="81">
        <v>0.57777777777777772</v>
      </c>
      <c r="I107" s="79" t="s">
        <v>10</v>
      </c>
      <c r="J107" s="82">
        <v>45723</v>
      </c>
      <c r="K107" s="82">
        <v>45849</v>
      </c>
      <c r="L107" s="78">
        <f>IF(ISBLANK(DATA[[#This Row],[DISCHARGE DATE]]), "NO DATE", DATA[[#This Row],[DISCHARGE DATE]]-DATA[[#This Row],[ADMISSION DATE]]+1)</f>
        <v>127</v>
      </c>
      <c r="M107" s="83">
        <v>350</v>
      </c>
      <c r="N107" s="83">
        <v>1651</v>
      </c>
      <c r="O107" s="93" t="s">
        <v>476</v>
      </c>
      <c r="P107" s="93" t="s">
        <v>477</v>
      </c>
      <c r="Q107" s="84">
        <f>IF(DATA[[#This Row],[Column1]]="Normal", 13 * DATA[[#This Row],[STORAGE DAYS]], 20 * DATA[[#This Row],[STORAGE DAYS]])</f>
        <v>1651</v>
      </c>
      <c r="R107" s="84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 t="shared" si="1"/>
        <v>349</v>
      </c>
      <c r="U107" s="112">
        <v>2025</v>
      </c>
      <c r="V107" s="112" t="s">
        <v>1912</v>
      </c>
      <c r="W107" s="112">
        <v>2025</v>
      </c>
      <c r="X107" s="112" t="s">
        <v>1908</v>
      </c>
    </row>
    <row r="108" spans="1:24" s="37" customFormat="1" ht="21" hidden="1" x14ac:dyDescent="0.25">
      <c r="A108" s="77" t="s">
        <v>478</v>
      </c>
      <c r="B108" s="78" t="s">
        <v>479</v>
      </c>
      <c r="C108" s="78">
        <v>67</v>
      </c>
      <c r="D108" s="79" t="s">
        <v>5</v>
      </c>
      <c r="E108" s="79" t="s">
        <v>480</v>
      </c>
      <c r="F108" s="79" t="s">
        <v>1662</v>
      </c>
      <c r="G108" s="79" t="s">
        <v>27</v>
      </c>
      <c r="H108" s="81">
        <v>0.54166666666666663</v>
      </c>
      <c r="I108" s="79" t="s">
        <v>12</v>
      </c>
      <c r="J108" s="82">
        <v>45724</v>
      </c>
      <c r="K108" s="82">
        <v>45828</v>
      </c>
      <c r="L108" s="78">
        <f>IF(ISBLANK(DATA[[#This Row],[DISCHARGE DATE]]), "NO DATE", DATA[[#This Row],[DISCHARGE DATE]]-DATA[[#This Row],[ADMISSION DATE]]+1)</f>
        <v>105</v>
      </c>
      <c r="M108" s="83">
        <v>350</v>
      </c>
      <c r="N108" s="83">
        <v>2100</v>
      </c>
      <c r="O108" s="93" t="s">
        <v>481</v>
      </c>
      <c r="P108" s="93" t="s">
        <v>482</v>
      </c>
      <c r="Q108" s="84">
        <f>IF(DATA[[#This Row],[Column1]]="Normal", 13 * DATA[[#This Row],[STORAGE DAYS]], 20 * DATA[[#This Row],[STORAGE DAYS]])</f>
        <v>2100</v>
      </c>
      <c r="R108" s="84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 t="shared" si="1"/>
        <v>349</v>
      </c>
      <c r="U108" s="112">
        <v>2025</v>
      </c>
      <c r="V108" s="112" t="s">
        <v>1912</v>
      </c>
      <c r="W108" s="112">
        <v>2025</v>
      </c>
      <c r="X108" s="112" t="s">
        <v>1917</v>
      </c>
    </row>
    <row r="109" spans="1:24" s="37" customFormat="1" ht="21" hidden="1" x14ac:dyDescent="0.25">
      <c r="A109" s="77" t="s">
        <v>483</v>
      </c>
      <c r="B109" s="78" t="s">
        <v>484</v>
      </c>
      <c r="C109" s="78">
        <v>38</v>
      </c>
      <c r="D109" s="79" t="s">
        <v>5</v>
      </c>
      <c r="E109" s="79" t="s">
        <v>485</v>
      </c>
      <c r="F109" s="79" t="s">
        <v>1663</v>
      </c>
      <c r="G109" s="79" t="s">
        <v>21</v>
      </c>
      <c r="H109" s="81">
        <v>0.52222222222222225</v>
      </c>
      <c r="I109" s="79" t="s">
        <v>10</v>
      </c>
      <c r="J109" s="82">
        <v>45726</v>
      </c>
      <c r="K109" s="82">
        <v>45807</v>
      </c>
      <c r="L109" s="78">
        <f>IF(ISBLANK(DATA[[#This Row],[DISCHARGE DATE]]), "NO DATE", DATA[[#This Row],[DISCHARGE DATE]]-DATA[[#This Row],[ADMISSION DATE]]+1)</f>
        <v>82</v>
      </c>
      <c r="M109" s="83">
        <v>350</v>
      </c>
      <c r="N109" s="83">
        <v>1066</v>
      </c>
      <c r="O109" s="93" t="s">
        <v>486</v>
      </c>
      <c r="P109" s="93" t="s">
        <v>440</v>
      </c>
      <c r="Q109" s="84">
        <f>IF(DATA[[#This Row],[Column1]]="Normal", 13 * DATA[[#This Row],[STORAGE DAYS]], 20 * DATA[[#This Row],[STORAGE DAYS]])</f>
        <v>1066</v>
      </c>
      <c r="R109" s="84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 t="shared" si="1"/>
        <v>349</v>
      </c>
      <c r="U109" s="112">
        <v>2025</v>
      </c>
      <c r="V109" s="112" t="s">
        <v>1912</v>
      </c>
      <c r="W109" s="112">
        <v>2025</v>
      </c>
      <c r="X109" s="112" t="s">
        <v>1913</v>
      </c>
    </row>
    <row r="110" spans="1:24" s="37" customFormat="1" ht="21" hidden="1" x14ac:dyDescent="0.25">
      <c r="A110" s="77" t="s">
        <v>487</v>
      </c>
      <c r="B110" s="78" t="s">
        <v>488</v>
      </c>
      <c r="C110" s="78">
        <v>66</v>
      </c>
      <c r="D110" s="79" t="s">
        <v>4</v>
      </c>
      <c r="E110" s="79" t="s">
        <v>489</v>
      </c>
      <c r="F110" s="79" t="s">
        <v>1664</v>
      </c>
      <c r="G110" s="79" t="s">
        <v>21</v>
      </c>
      <c r="H110" s="81">
        <v>0.67361111111111116</v>
      </c>
      <c r="I110" s="79" t="s">
        <v>12</v>
      </c>
      <c r="J110" s="82">
        <v>45727</v>
      </c>
      <c r="K110" s="82">
        <v>45898</v>
      </c>
      <c r="L110" s="78">
        <f>IF(ISBLANK(DATA[[#This Row],[DISCHARGE DATE]]), "NO DATE", DATA[[#This Row],[DISCHARGE DATE]]-DATA[[#This Row],[ADMISSION DATE]]+1)</f>
        <v>172</v>
      </c>
      <c r="M110" s="83">
        <v>350</v>
      </c>
      <c r="N110" s="83">
        <v>3440</v>
      </c>
      <c r="O110" s="93" t="s">
        <v>490</v>
      </c>
      <c r="P110" s="93" t="s">
        <v>491</v>
      </c>
      <c r="Q110" s="84">
        <f>IF(DATA[[#This Row],[Column1]]="Normal", 13 * DATA[[#This Row],[STORAGE DAYS]], 20 * DATA[[#This Row],[STORAGE DAYS]])</f>
        <v>3440</v>
      </c>
      <c r="R110" s="84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 t="shared" si="1"/>
        <v>349</v>
      </c>
      <c r="U110" s="112">
        <v>2025</v>
      </c>
      <c r="V110" s="112" t="s">
        <v>1912</v>
      </c>
      <c r="W110" s="112">
        <v>2025</v>
      </c>
      <c r="X110" s="112" t="s">
        <v>1909</v>
      </c>
    </row>
    <row r="111" spans="1:24" s="37" customFormat="1" ht="21" hidden="1" x14ac:dyDescent="0.25">
      <c r="A111" s="77" t="s">
        <v>492</v>
      </c>
      <c r="B111" s="78" t="s">
        <v>493</v>
      </c>
      <c r="C111" s="78">
        <v>61</v>
      </c>
      <c r="D111" s="79" t="s">
        <v>5</v>
      </c>
      <c r="E111" s="79" t="s">
        <v>494</v>
      </c>
      <c r="F111" s="79" t="s">
        <v>1665</v>
      </c>
      <c r="G111" s="79" t="s">
        <v>27</v>
      </c>
      <c r="H111" s="81">
        <v>0.5444444444444444</v>
      </c>
      <c r="I111" s="79" t="s">
        <v>10</v>
      </c>
      <c r="J111" s="82">
        <v>45729</v>
      </c>
      <c r="K111" s="82">
        <v>45849</v>
      </c>
      <c r="L111" s="78">
        <f>IF(ISBLANK(DATA[[#This Row],[DISCHARGE DATE]]), "NO DATE", DATA[[#This Row],[DISCHARGE DATE]]-DATA[[#This Row],[ADMISSION DATE]]+1)</f>
        <v>121</v>
      </c>
      <c r="M111" s="83">
        <v>350</v>
      </c>
      <c r="N111" s="83">
        <v>1573</v>
      </c>
      <c r="O111" s="93" t="s">
        <v>495</v>
      </c>
      <c r="P111" s="93" t="s">
        <v>496</v>
      </c>
      <c r="Q111" s="84">
        <f>IF(DATA[[#This Row],[Column1]]="Normal", 13 * DATA[[#This Row],[STORAGE DAYS]], 20 * DATA[[#This Row],[STORAGE DAYS]])</f>
        <v>1573</v>
      </c>
      <c r="R111" s="84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 t="shared" si="1"/>
        <v>349</v>
      </c>
      <c r="U111" s="112">
        <v>2025</v>
      </c>
      <c r="V111" s="112" t="s">
        <v>1912</v>
      </c>
      <c r="W111" s="112">
        <v>2025</v>
      </c>
      <c r="X111" s="112" t="s">
        <v>1908</v>
      </c>
    </row>
    <row r="112" spans="1:24" s="37" customFormat="1" ht="21" hidden="1" x14ac:dyDescent="0.25">
      <c r="A112" s="77" t="s">
        <v>497</v>
      </c>
      <c r="B112" s="78" t="s">
        <v>498</v>
      </c>
      <c r="C112" s="78">
        <v>77</v>
      </c>
      <c r="D112" s="79" t="s">
        <v>4</v>
      </c>
      <c r="E112" s="79" t="s">
        <v>499</v>
      </c>
      <c r="F112" s="79" t="s">
        <v>1666</v>
      </c>
      <c r="G112" s="79" t="s">
        <v>27</v>
      </c>
      <c r="H112" s="81">
        <v>0.67708333333333337</v>
      </c>
      <c r="I112" s="79" t="s">
        <v>12</v>
      </c>
      <c r="J112" s="82">
        <v>45733</v>
      </c>
      <c r="K112" s="82">
        <v>45807</v>
      </c>
      <c r="L112" s="78">
        <f>IF(ISBLANK(DATA[[#This Row],[DISCHARGE DATE]]), "NO DATE", DATA[[#This Row],[DISCHARGE DATE]]-DATA[[#This Row],[ADMISSION DATE]]+1)</f>
        <v>75</v>
      </c>
      <c r="M112" s="83">
        <v>350</v>
      </c>
      <c r="N112" s="83">
        <v>1486</v>
      </c>
      <c r="O112" s="93" t="s">
        <v>500</v>
      </c>
      <c r="P112" s="93" t="s">
        <v>431</v>
      </c>
      <c r="Q112" s="84">
        <f>IF(DATA[[#This Row],[Column1]]="Normal", 13 * DATA[[#This Row],[STORAGE DAYS]], 20 * DATA[[#This Row],[STORAGE DAYS]])</f>
        <v>1500</v>
      </c>
      <c r="R112" s="84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 t="shared" si="1"/>
        <v>349</v>
      </c>
      <c r="U112" s="112">
        <v>2025</v>
      </c>
      <c r="V112" s="112" t="s">
        <v>1912</v>
      </c>
      <c r="W112" s="112">
        <v>2025</v>
      </c>
      <c r="X112" s="112" t="s">
        <v>1913</v>
      </c>
    </row>
    <row r="113" spans="1:24" s="37" customFormat="1" ht="21" hidden="1" x14ac:dyDescent="0.25">
      <c r="A113" s="77" t="s">
        <v>501</v>
      </c>
      <c r="B113" s="78" t="s">
        <v>502</v>
      </c>
      <c r="C113" s="78">
        <v>64</v>
      </c>
      <c r="D113" s="79" t="s">
        <v>5</v>
      </c>
      <c r="E113" s="79" t="s">
        <v>503</v>
      </c>
      <c r="F113" s="79" t="s">
        <v>1667</v>
      </c>
      <c r="G113" s="79" t="s">
        <v>17</v>
      </c>
      <c r="H113" s="81">
        <v>0.4152777777777778</v>
      </c>
      <c r="I113" s="79" t="s">
        <v>10</v>
      </c>
      <c r="J113" s="82">
        <v>45743</v>
      </c>
      <c r="K113" s="82">
        <v>45835</v>
      </c>
      <c r="L113" s="78">
        <f>IF(ISBLANK(DATA[[#This Row],[DISCHARGE DATE]]), "NO DATE", DATA[[#This Row],[DISCHARGE DATE]]-DATA[[#This Row],[ADMISSION DATE]]+1)</f>
        <v>93</v>
      </c>
      <c r="M113" s="83">
        <v>350</v>
      </c>
      <c r="N113" s="83">
        <v>1209</v>
      </c>
      <c r="O113" s="93" t="s">
        <v>504</v>
      </c>
      <c r="P113" s="93" t="s">
        <v>505</v>
      </c>
      <c r="Q113" s="84">
        <f>IF(DATA[[#This Row],[Column1]]="Normal", 13 * DATA[[#This Row],[STORAGE DAYS]], 20 * DATA[[#This Row],[STORAGE DAYS]])</f>
        <v>1209</v>
      </c>
      <c r="R113" s="84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 t="shared" si="1"/>
        <v>349</v>
      </c>
      <c r="U113" s="112">
        <v>2025</v>
      </c>
      <c r="V113" s="112" t="s">
        <v>1912</v>
      </c>
      <c r="W113" s="112">
        <v>2025</v>
      </c>
      <c r="X113" s="112" t="s">
        <v>1917</v>
      </c>
    </row>
    <row r="114" spans="1:24" s="37" customFormat="1" ht="21" hidden="1" x14ac:dyDescent="0.25">
      <c r="A114" s="77" t="s">
        <v>506</v>
      </c>
      <c r="B114" s="78" t="s">
        <v>507</v>
      </c>
      <c r="C114" s="78">
        <v>68</v>
      </c>
      <c r="D114" s="79" t="s">
        <v>4</v>
      </c>
      <c r="E114" s="79" t="s">
        <v>508</v>
      </c>
      <c r="F114" s="79" t="s">
        <v>1599</v>
      </c>
      <c r="G114" s="79" t="s">
        <v>26</v>
      </c>
      <c r="H114" s="81">
        <v>0.70833333333333337</v>
      </c>
      <c r="I114" s="79" t="s">
        <v>12</v>
      </c>
      <c r="J114" s="82">
        <v>45746</v>
      </c>
      <c r="K114" s="82">
        <v>45764</v>
      </c>
      <c r="L114" s="78">
        <f>IF(ISBLANK(DATA[[#This Row],[DISCHARGE DATE]]), "NO DATE", DATA[[#This Row],[DISCHARGE DATE]]-DATA[[#This Row],[ADMISSION DATE]]+1)</f>
        <v>19</v>
      </c>
      <c r="M114" s="83">
        <v>350</v>
      </c>
      <c r="N114" s="83">
        <v>380</v>
      </c>
      <c r="O114" s="93" t="s">
        <v>509</v>
      </c>
      <c r="P114" s="93" t="s">
        <v>348</v>
      </c>
      <c r="Q114" s="84">
        <f>IF(DATA[[#This Row],[Column1]]="Normal", 13 * DATA[[#This Row],[STORAGE DAYS]], 20 * DATA[[#This Row],[STORAGE DAYS]])</f>
        <v>380</v>
      </c>
      <c r="R114" s="84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 t="shared" si="1"/>
        <v>349</v>
      </c>
      <c r="U114" s="112">
        <v>2025</v>
      </c>
      <c r="V114" s="112" t="s">
        <v>1912</v>
      </c>
      <c r="W114" s="112">
        <v>2025</v>
      </c>
      <c r="X114" s="112" t="s">
        <v>1873</v>
      </c>
    </row>
    <row r="115" spans="1:24" s="37" customFormat="1" ht="21" hidden="1" x14ac:dyDescent="0.25">
      <c r="A115" s="77" t="s">
        <v>510</v>
      </c>
      <c r="B115" s="78" t="s">
        <v>511</v>
      </c>
      <c r="C115" s="78">
        <v>82</v>
      </c>
      <c r="D115" s="79" t="s">
        <v>4</v>
      </c>
      <c r="E115" s="79" t="s">
        <v>512</v>
      </c>
      <c r="F115" s="79" t="s">
        <v>1668</v>
      </c>
      <c r="G115" s="79" t="s">
        <v>27</v>
      </c>
      <c r="H115" s="81">
        <v>0.58333333333333337</v>
      </c>
      <c r="I115" s="79" t="s">
        <v>10</v>
      </c>
      <c r="J115" s="82">
        <v>45745</v>
      </c>
      <c r="K115" s="82">
        <v>45961</v>
      </c>
      <c r="L115" s="78">
        <f>IF(ISBLANK(DATA[[#This Row],[DISCHARGE DATE]]), "NO DATE", DATA[[#This Row],[DISCHARGE DATE]]-DATA[[#This Row],[ADMISSION DATE]]+1)</f>
        <v>217</v>
      </c>
      <c r="M115" s="83">
        <v>350</v>
      </c>
      <c r="N115" s="83">
        <v>2821</v>
      </c>
      <c r="O115" s="93" t="s">
        <v>513</v>
      </c>
      <c r="P115" s="93" t="s">
        <v>1055</v>
      </c>
      <c r="Q115" s="84">
        <f>IF(DATA[[#This Row],[Column1]]="Normal", 13 * DATA[[#This Row],[STORAGE DAYS]], 20 * DATA[[#This Row],[STORAGE DAYS]])</f>
        <v>2821</v>
      </c>
      <c r="R115" s="84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 t="shared" si="1"/>
        <v>349</v>
      </c>
      <c r="U115" s="112">
        <v>2025</v>
      </c>
      <c r="V115" s="112" t="s">
        <v>1912</v>
      </c>
      <c r="W115" s="112">
        <v>2025</v>
      </c>
      <c r="X115" s="112" t="s">
        <v>1914</v>
      </c>
    </row>
    <row r="116" spans="1:24" s="37" customFormat="1" ht="21" hidden="1" x14ac:dyDescent="0.25">
      <c r="A116" s="77" t="s">
        <v>514</v>
      </c>
      <c r="B116" s="78" t="s">
        <v>515</v>
      </c>
      <c r="C116" s="78">
        <v>100</v>
      </c>
      <c r="D116" s="79" t="s">
        <v>4</v>
      </c>
      <c r="E116" s="79" t="s">
        <v>516</v>
      </c>
      <c r="F116" s="79" t="s">
        <v>1669</v>
      </c>
      <c r="G116" s="79" t="s">
        <v>6</v>
      </c>
      <c r="H116" s="81">
        <v>0.83333333333333337</v>
      </c>
      <c r="I116" s="79" t="s">
        <v>10</v>
      </c>
      <c r="J116" s="82">
        <v>45747</v>
      </c>
      <c r="K116" s="82">
        <v>45898</v>
      </c>
      <c r="L116" s="78">
        <f>IF(ISBLANK(DATA[[#This Row],[DISCHARGE DATE]]), "NO DATE", DATA[[#This Row],[DISCHARGE DATE]]-DATA[[#This Row],[ADMISSION DATE]]+1)</f>
        <v>152</v>
      </c>
      <c r="M116" s="83">
        <v>350</v>
      </c>
      <c r="N116" s="83">
        <v>1776</v>
      </c>
      <c r="O116" s="93" t="s">
        <v>517</v>
      </c>
      <c r="P116" s="93" t="s">
        <v>518</v>
      </c>
      <c r="Q116" s="84">
        <f>IF(DATA[[#This Row],[Column1]]="Normal", 13 * DATA[[#This Row],[STORAGE DAYS]], 20 * DATA[[#This Row],[STORAGE DAYS]])</f>
        <v>1976</v>
      </c>
      <c r="R116" s="84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 t="shared" si="1"/>
        <v>349</v>
      </c>
      <c r="U116" s="112">
        <v>2025</v>
      </c>
      <c r="V116" s="112" t="s">
        <v>1912</v>
      </c>
      <c r="W116" s="112">
        <v>2025</v>
      </c>
      <c r="X116" s="112" t="s">
        <v>1909</v>
      </c>
    </row>
    <row r="117" spans="1:24" s="37" customFormat="1" ht="21" hidden="1" x14ac:dyDescent="0.25">
      <c r="A117" s="77" t="s">
        <v>519</v>
      </c>
      <c r="B117" s="78" t="s">
        <v>520</v>
      </c>
      <c r="C117" s="78">
        <v>61</v>
      </c>
      <c r="D117" s="79" t="s">
        <v>4</v>
      </c>
      <c r="E117" s="79" t="s">
        <v>521</v>
      </c>
      <c r="F117" s="79" t="s">
        <v>1670</v>
      </c>
      <c r="G117" s="79" t="s">
        <v>27</v>
      </c>
      <c r="H117" s="81">
        <v>0.625</v>
      </c>
      <c r="I117" s="79" t="s">
        <v>10</v>
      </c>
      <c r="J117" s="82">
        <v>45753</v>
      </c>
      <c r="K117" s="82">
        <v>45807</v>
      </c>
      <c r="L117" s="78">
        <f>IF(ISBLANK(DATA[[#This Row],[DISCHARGE DATE]]), "NO DATE", DATA[[#This Row],[DISCHARGE DATE]]-DATA[[#This Row],[ADMISSION DATE]]+1)</f>
        <v>55</v>
      </c>
      <c r="M117" s="83">
        <v>350</v>
      </c>
      <c r="N117" s="83">
        <v>715</v>
      </c>
      <c r="O117" s="93" t="s">
        <v>522</v>
      </c>
      <c r="P117" s="93" t="s">
        <v>523</v>
      </c>
      <c r="Q117" s="84">
        <f>IF(DATA[[#This Row],[Column1]]="Normal", 13 * DATA[[#This Row],[STORAGE DAYS]], 20 * DATA[[#This Row],[STORAGE DAYS]])</f>
        <v>715</v>
      </c>
      <c r="R117" s="84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 t="shared" si="1"/>
        <v>349</v>
      </c>
      <c r="U117" s="112">
        <v>2025</v>
      </c>
      <c r="V117" s="112" t="s">
        <v>1873</v>
      </c>
      <c r="W117" s="112">
        <v>2025</v>
      </c>
      <c r="X117" s="112" t="s">
        <v>1913</v>
      </c>
    </row>
    <row r="118" spans="1:24" s="37" customFormat="1" ht="21" hidden="1" x14ac:dyDescent="0.25">
      <c r="A118" s="77" t="s">
        <v>524</v>
      </c>
      <c r="B118" s="78" t="s">
        <v>525</v>
      </c>
      <c r="C118" s="78">
        <v>63</v>
      </c>
      <c r="D118" s="79" t="s">
        <v>4</v>
      </c>
      <c r="E118" s="79" t="s">
        <v>526</v>
      </c>
      <c r="F118" s="79" t="s">
        <v>1671</v>
      </c>
      <c r="G118" s="79" t="s">
        <v>27</v>
      </c>
      <c r="H118" s="81">
        <v>0.48333333333333334</v>
      </c>
      <c r="I118" s="79" t="s">
        <v>12</v>
      </c>
      <c r="J118" s="82">
        <v>45755</v>
      </c>
      <c r="K118" s="82">
        <v>45870</v>
      </c>
      <c r="L118" s="78">
        <f>IF(ISBLANK(DATA[[#This Row],[DISCHARGE DATE]]), "NO DATE", DATA[[#This Row],[DISCHARGE DATE]]-DATA[[#This Row],[ADMISSION DATE]]+1)</f>
        <v>116</v>
      </c>
      <c r="M118" s="83">
        <v>350</v>
      </c>
      <c r="N118" s="83">
        <v>2320</v>
      </c>
      <c r="O118" s="93" t="s">
        <v>527</v>
      </c>
      <c r="P118" s="93" t="s">
        <v>528</v>
      </c>
      <c r="Q118" s="84">
        <f>IF(DATA[[#This Row],[Column1]]="Normal", 13 * DATA[[#This Row],[STORAGE DAYS]], 20 * DATA[[#This Row],[STORAGE DAYS]])</f>
        <v>2320</v>
      </c>
      <c r="R118" s="84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 t="shared" si="1"/>
        <v>349</v>
      </c>
      <c r="U118" s="112">
        <v>2025</v>
      </c>
      <c r="V118" s="112" t="s">
        <v>1873</v>
      </c>
      <c r="W118" s="112">
        <v>2025</v>
      </c>
      <c r="X118" s="112" t="s">
        <v>1909</v>
      </c>
    </row>
    <row r="119" spans="1:24" s="37" customFormat="1" ht="21" hidden="1" x14ac:dyDescent="0.25">
      <c r="A119" s="77" t="s">
        <v>529</v>
      </c>
      <c r="B119" s="78" t="s">
        <v>530</v>
      </c>
      <c r="C119" s="78">
        <v>55</v>
      </c>
      <c r="D119" s="79" t="s">
        <v>4</v>
      </c>
      <c r="E119" s="79" t="s">
        <v>531</v>
      </c>
      <c r="F119" s="79" t="s">
        <v>1672</v>
      </c>
      <c r="G119" s="79" t="s">
        <v>27</v>
      </c>
      <c r="H119" s="81">
        <v>0.83333333333333337</v>
      </c>
      <c r="I119" s="79" t="s">
        <v>12</v>
      </c>
      <c r="J119" s="82">
        <v>45757</v>
      </c>
      <c r="K119" s="82">
        <v>45898</v>
      </c>
      <c r="L119" s="78">
        <f>IF(ISBLANK(DATA[[#This Row],[DISCHARGE DATE]]), "NO DATE", DATA[[#This Row],[DISCHARGE DATE]]-DATA[[#This Row],[ADMISSION DATE]]+1)</f>
        <v>142</v>
      </c>
      <c r="M119" s="83">
        <v>350</v>
      </c>
      <c r="N119" s="83">
        <v>2540</v>
      </c>
      <c r="O119" s="93" t="s">
        <v>532</v>
      </c>
      <c r="P119" s="93" t="s">
        <v>533</v>
      </c>
      <c r="Q119" s="84">
        <f>IF(DATA[[#This Row],[Column1]]="Normal", 13 * DATA[[#This Row],[STORAGE DAYS]], 20 * DATA[[#This Row],[STORAGE DAYS]])</f>
        <v>2840</v>
      </c>
      <c r="R119" s="84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 t="shared" si="1"/>
        <v>349</v>
      </c>
      <c r="U119" s="112">
        <v>2025</v>
      </c>
      <c r="V119" s="112" t="s">
        <v>1873</v>
      </c>
      <c r="W119" s="112">
        <v>2025</v>
      </c>
      <c r="X119" s="112" t="s">
        <v>1909</v>
      </c>
    </row>
    <row r="120" spans="1:24" s="37" customFormat="1" ht="21" hidden="1" x14ac:dyDescent="0.25">
      <c r="A120" s="77" t="s">
        <v>534</v>
      </c>
      <c r="B120" s="78" t="s">
        <v>535</v>
      </c>
      <c r="C120" s="78">
        <v>26</v>
      </c>
      <c r="D120" s="79" t="s">
        <v>4</v>
      </c>
      <c r="E120" s="79" t="s">
        <v>536</v>
      </c>
      <c r="F120" s="79" t="s">
        <v>1534</v>
      </c>
      <c r="G120" s="79" t="s">
        <v>27</v>
      </c>
      <c r="H120" s="81">
        <v>0.95833333333333337</v>
      </c>
      <c r="I120" s="79" t="s">
        <v>12</v>
      </c>
      <c r="J120" s="82">
        <v>45757</v>
      </c>
      <c r="K120" s="82">
        <v>45835</v>
      </c>
      <c r="L120" s="78">
        <f>IF(ISBLANK(DATA[[#This Row],[DISCHARGE DATE]]), "NO DATE", DATA[[#This Row],[DISCHARGE DATE]]-DATA[[#This Row],[ADMISSION DATE]]+1)</f>
        <v>79</v>
      </c>
      <c r="M120" s="83">
        <v>350</v>
      </c>
      <c r="N120" s="83">
        <v>1580</v>
      </c>
      <c r="O120" s="93" t="s">
        <v>537</v>
      </c>
      <c r="P120" s="93" t="s">
        <v>538</v>
      </c>
      <c r="Q120" s="84">
        <f>IF(DATA[[#This Row],[Column1]]="Normal", 13 * DATA[[#This Row],[STORAGE DAYS]], 20 * DATA[[#This Row],[STORAGE DAYS]])</f>
        <v>1580</v>
      </c>
      <c r="R120" s="84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 t="shared" si="1"/>
        <v>349</v>
      </c>
      <c r="U120" s="112">
        <v>2025</v>
      </c>
      <c r="V120" s="112" t="s">
        <v>1873</v>
      </c>
      <c r="W120" s="112">
        <v>2025</v>
      </c>
      <c r="X120" s="112" t="s">
        <v>1917</v>
      </c>
    </row>
    <row r="121" spans="1:24" s="37" customFormat="1" ht="21" hidden="1" x14ac:dyDescent="0.25">
      <c r="A121" s="77" t="s">
        <v>539</v>
      </c>
      <c r="B121" s="78" t="s">
        <v>540</v>
      </c>
      <c r="C121" s="78">
        <v>125</v>
      </c>
      <c r="D121" s="79" t="s">
        <v>4</v>
      </c>
      <c r="E121" s="79" t="s">
        <v>541</v>
      </c>
      <c r="F121" s="79" t="s">
        <v>1673</v>
      </c>
      <c r="G121" s="79" t="s">
        <v>27</v>
      </c>
      <c r="H121" s="81">
        <v>0.61319444444444449</v>
      </c>
      <c r="I121" s="79" t="s">
        <v>10</v>
      </c>
      <c r="J121" s="82">
        <v>45758</v>
      </c>
      <c r="K121" s="82">
        <v>45828</v>
      </c>
      <c r="L121" s="78">
        <f>IF(ISBLANK(DATA[[#This Row],[DISCHARGE DATE]]), "NO DATE", DATA[[#This Row],[DISCHARGE DATE]]-DATA[[#This Row],[ADMISSION DATE]]+1)</f>
        <v>71</v>
      </c>
      <c r="M121" s="83">
        <v>350</v>
      </c>
      <c r="N121" s="83">
        <v>923</v>
      </c>
      <c r="O121" s="93" t="s">
        <v>542</v>
      </c>
      <c r="P121" s="93" t="s">
        <v>543</v>
      </c>
      <c r="Q121" s="84">
        <f>IF(DATA[[#This Row],[Column1]]="Normal", 13 * DATA[[#This Row],[STORAGE DAYS]], 20 * DATA[[#This Row],[STORAGE DAYS]])</f>
        <v>923</v>
      </c>
      <c r="R121" s="84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 t="shared" si="1"/>
        <v>349</v>
      </c>
      <c r="U121" s="112">
        <v>2025</v>
      </c>
      <c r="V121" s="112" t="s">
        <v>1873</v>
      </c>
      <c r="W121" s="112">
        <v>2025</v>
      </c>
      <c r="X121" s="112" t="s">
        <v>1917</v>
      </c>
    </row>
    <row r="122" spans="1:24" s="37" customFormat="1" ht="21" hidden="1" x14ac:dyDescent="0.25">
      <c r="A122" s="77" t="s">
        <v>544</v>
      </c>
      <c r="B122" s="78" t="s">
        <v>545</v>
      </c>
      <c r="C122" s="78">
        <v>66</v>
      </c>
      <c r="D122" s="79" t="s">
        <v>5</v>
      </c>
      <c r="E122" s="79" t="s">
        <v>546</v>
      </c>
      <c r="F122" s="79" t="s">
        <v>1674</v>
      </c>
      <c r="G122" s="79" t="s">
        <v>27</v>
      </c>
      <c r="H122" s="81">
        <v>0.37847222222222221</v>
      </c>
      <c r="I122" s="79" t="s">
        <v>10</v>
      </c>
      <c r="J122" s="82">
        <v>45761</v>
      </c>
      <c r="K122" s="82">
        <v>45762</v>
      </c>
      <c r="L122" s="78">
        <f>IF(ISBLANK(DATA[[#This Row],[DISCHARGE DATE]]), "NO DATE", DATA[[#This Row],[DISCHARGE DATE]]-DATA[[#This Row],[ADMISSION DATE]]+1)</f>
        <v>2</v>
      </c>
      <c r="M122" s="83">
        <v>350</v>
      </c>
      <c r="N122" s="83">
        <v>26</v>
      </c>
      <c r="O122" s="93" t="s">
        <v>547</v>
      </c>
      <c r="P122" s="93" t="s">
        <v>353</v>
      </c>
      <c r="Q122" s="84">
        <f>IF(DATA[[#This Row],[Column1]]="Normal", 13 * DATA[[#This Row],[STORAGE DAYS]], 20 * DATA[[#This Row],[STORAGE DAYS]])</f>
        <v>26</v>
      </c>
      <c r="R122" s="84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 t="shared" si="1"/>
        <v>349</v>
      </c>
      <c r="U122" s="112">
        <v>2025</v>
      </c>
      <c r="V122" s="112" t="s">
        <v>1873</v>
      </c>
      <c r="W122" s="112">
        <v>2025</v>
      </c>
      <c r="X122" s="112" t="s">
        <v>1873</v>
      </c>
    </row>
    <row r="123" spans="1:24" s="37" customFormat="1" ht="21" hidden="1" x14ac:dyDescent="0.25">
      <c r="A123" s="77" t="s">
        <v>548</v>
      </c>
      <c r="B123" s="78" t="s">
        <v>549</v>
      </c>
      <c r="C123" s="78">
        <v>74</v>
      </c>
      <c r="D123" s="79" t="s">
        <v>5</v>
      </c>
      <c r="E123" s="79" t="s">
        <v>550</v>
      </c>
      <c r="F123" s="79" t="s">
        <v>1675</v>
      </c>
      <c r="G123" s="79" t="s">
        <v>26</v>
      </c>
      <c r="H123" s="81">
        <v>0.66666666666666663</v>
      </c>
      <c r="I123" s="79" t="s">
        <v>10</v>
      </c>
      <c r="J123" s="82">
        <v>45758</v>
      </c>
      <c r="K123" s="82">
        <v>45989</v>
      </c>
      <c r="L123" s="78">
        <f>IF(ISBLANK(DATA[[#This Row],[DISCHARGE DATE]]), "NO DATE", DATA[[#This Row],[DISCHARGE DATE]]-DATA[[#This Row],[ADMISSION DATE]]+1)</f>
        <v>232</v>
      </c>
      <c r="M123" s="83">
        <v>350</v>
      </c>
      <c r="N123" s="83">
        <v>3016</v>
      </c>
      <c r="O123" s="93" t="s">
        <v>551</v>
      </c>
      <c r="P123" s="93" t="s">
        <v>1199</v>
      </c>
      <c r="Q123" s="84">
        <f>IF(DATA[[#This Row],[Column1]]="Normal", 13 * DATA[[#This Row],[STORAGE DAYS]], 20 * DATA[[#This Row],[STORAGE DAYS]])</f>
        <v>3016</v>
      </c>
      <c r="R123" s="84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 t="shared" si="1"/>
        <v>349</v>
      </c>
      <c r="U123" s="112">
        <v>2025</v>
      </c>
      <c r="V123" s="112" t="s">
        <v>1873</v>
      </c>
      <c r="W123" s="112">
        <v>2025</v>
      </c>
      <c r="X123" s="112" t="s">
        <v>1910</v>
      </c>
    </row>
    <row r="124" spans="1:24" s="37" customFormat="1" ht="21" hidden="1" x14ac:dyDescent="0.25">
      <c r="A124" s="77" t="s">
        <v>552</v>
      </c>
      <c r="B124" s="78" t="s">
        <v>553</v>
      </c>
      <c r="C124" s="78">
        <v>62</v>
      </c>
      <c r="D124" s="79" t="s">
        <v>5</v>
      </c>
      <c r="E124" s="79" t="s">
        <v>554</v>
      </c>
      <c r="F124" s="79" t="s">
        <v>1676</v>
      </c>
      <c r="G124" s="79" t="s">
        <v>27</v>
      </c>
      <c r="H124" s="81">
        <v>0.79166666666666663</v>
      </c>
      <c r="I124" s="79" t="s">
        <v>10</v>
      </c>
      <c r="J124" s="82">
        <v>45760</v>
      </c>
      <c r="K124" s="82">
        <v>45898</v>
      </c>
      <c r="L124" s="78">
        <f>IF(ISBLANK(DATA[[#This Row],[DISCHARGE DATE]]), "NO DATE", DATA[[#This Row],[DISCHARGE DATE]]-DATA[[#This Row],[ADMISSION DATE]]+1)</f>
        <v>139</v>
      </c>
      <c r="M124" s="83">
        <v>350</v>
      </c>
      <c r="N124" s="83">
        <v>1807</v>
      </c>
      <c r="O124" s="93" t="s">
        <v>555</v>
      </c>
      <c r="P124" s="93" t="s">
        <v>556</v>
      </c>
      <c r="Q124" s="84">
        <f>IF(DATA[[#This Row],[Column1]]="Normal", 13 * DATA[[#This Row],[STORAGE DAYS]], 20 * DATA[[#This Row],[STORAGE DAYS]])</f>
        <v>1807</v>
      </c>
      <c r="R124" s="84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 t="shared" si="1"/>
        <v>349</v>
      </c>
      <c r="U124" s="112">
        <v>2025</v>
      </c>
      <c r="V124" s="112" t="s">
        <v>1873</v>
      </c>
      <c r="W124" s="112">
        <v>2025</v>
      </c>
      <c r="X124" s="112" t="s">
        <v>1909</v>
      </c>
    </row>
    <row r="125" spans="1:24" s="37" customFormat="1" ht="21" hidden="1" x14ac:dyDescent="0.25">
      <c r="A125" s="77" t="s">
        <v>557</v>
      </c>
      <c r="B125" s="78" t="s">
        <v>558</v>
      </c>
      <c r="C125" s="78">
        <v>60</v>
      </c>
      <c r="D125" s="79" t="s">
        <v>4</v>
      </c>
      <c r="E125" s="79" t="s">
        <v>559</v>
      </c>
      <c r="F125" s="79" t="s">
        <v>1677</v>
      </c>
      <c r="G125" s="79" t="s">
        <v>27</v>
      </c>
      <c r="H125" s="81">
        <v>0.625</v>
      </c>
      <c r="I125" s="79" t="s">
        <v>12</v>
      </c>
      <c r="J125" s="82">
        <v>45761</v>
      </c>
      <c r="K125" s="82">
        <v>45989</v>
      </c>
      <c r="L125" s="78">
        <f>IF(ISBLANK(DATA[[#This Row],[DISCHARGE DATE]]), "NO DATE", DATA[[#This Row],[DISCHARGE DATE]]-DATA[[#This Row],[ADMISSION DATE]]+1)</f>
        <v>229</v>
      </c>
      <c r="M125" s="83">
        <v>350</v>
      </c>
      <c r="N125" s="83">
        <v>4380</v>
      </c>
      <c r="O125" s="93" t="s">
        <v>560</v>
      </c>
      <c r="P125" s="93" t="s">
        <v>472</v>
      </c>
      <c r="Q125" s="84">
        <f>IF(DATA[[#This Row],[Column1]]="Normal", 13 * DATA[[#This Row],[STORAGE DAYS]], 20 * DATA[[#This Row],[STORAGE DAYS]])</f>
        <v>4580</v>
      </c>
      <c r="R125" s="84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 t="shared" si="1"/>
        <v>349</v>
      </c>
      <c r="U125" s="112">
        <v>2025</v>
      </c>
      <c r="V125" s="112" t="s">
        <v>1873</v>
      </c>
      <c r="W125" s="112">
        <v>2025</v>
      </c>
      <c r="X125" s="112" t="s">
        <v>1910</v>
      </c>
    </row>
    <row r="126" spans="1:24" s="37" customFormat="1" ht="21" hidden="1" x14ac:dyDescent="0.25">
      <c r="A126" s="77" t="s">
        <v>561</v>
      </c>
      <c r="B126" s="78" t="s">
        <v>562</v>
      </c>
      <c r="C126" s="78">
        <v>46</v>
      </c>
      <c r="D126" s="79" t="s">
        <v>4</v>
      </c>
      <c r="E126" s="79" t="s">
        <v>563</v>
      </c>
      <c r="F126" s="79" t="s">
        <v>1678</v>
      </c>
      <c r="G126" s="79" t="s">
        <v>21</v>
      </c>
      <c r="H126" s="81">
        <v>0.66666666666666663</v>
      </c>
      <c r="I126" s="79" t="s">
        <v>12</v>
      </c>
      <c r="J126" s="82">
        <v>45761</v>
      </c>
      <c r="K126" s="82">
        <v>45870</v>
      </c>
      <c r="L126" s="78">
        <f>IF(ISBLANK(DATA[[#This Row],[DISCHARGE DATE]]), "NO DATE", DATA[[#This Row],[DISCHARGE DATE]]-DATA[[#This Row],[ADMISSION DATE]]+1)</f>
        <v>110</v>
      </c>
      <c r="M126" s="83">
        <v>350</v>
      </c>
      <c r="N126" s="83">
        <v>2200</v>
      </c>
      <c r="O126" s="93" t="s">
        <v>564</v>
      </c>
      <c r="P126" s="93" t="s">
        <v>565</v>
      </c>
      <c r="Q126" s="84">
        <f>IF(DATA[[#This Row],[Column1]]="Normal", 13 * DATA[[#This Row],[STORAGE DAYS]], 20 * DATA[[#This Row],[STORAGE DAYS]])</f>
        <v>2200</v>
      </c>
      <c r="R126" s="84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 t="shared" si="1"/>
        <v>349</v>
      </c>
      <c r="U126" s="112">
        <v>2025</v>
      </c>
      <c r="V126" s="112" t="s">
        <v>1873</v>
      </c>
      <c r="W126" s="112">
        <v>2025</v>
      </c>
      <c r="X126" s="112" t="s">
        <v>1909</v>
      </c>
    </row>
    <row r="127" spans="1:24" s="37" customFormat="1" ht="21" hidden="1" x14ac:dyDescent="0.25">
      <c r="A127" s="77" t="s">
        <v>566</v>
      </c>
      <c r="B127" s="78" t="s">
        <v>567</v>
      </c>
      <c r="C127" s="78">
        <v>15</v>
      </c>
      <c r="D127" s="79" t="s">
        <v>4</v>
      </c>
      <c r="E127" s="79" t="s">
        <v>568</v>
      </c>
      <c r="F127" s="79" t="s">
        <v>1679</v>
      </c>
      <c r="G127" s="79" t="s">
        <v>27</v>
      </c>
      <c r="H127" s="81">
        <v>0.61458333333333337</v>
      </c>
      <c r="I127" s="79" t="s">
        <v>10</v>
      </c>
      <c r="J127" s="82">
        <v>45762</v>
      </c>
      <c r="K127" s="82">
        <v>45771</v>
      </c>
      <c r="L127" s="78">
        <f>IF(ISBLANK(DATA[[#This Row],[DISCHARGE DATE]]), "NO DATE", DATA[[#This Row],[DISCHARGE DATE]]-DATA[[#This Row],[ADMISSION DATE]]+1)</f>
        <v>10</v>
      </c>
      <c r="M127" s="83">
        <v>350</v>
      </c>
      <c r="N127" s="83">
        <v>130</v>
      </c>
      <c r="O127" s="93" t="s">
        <v>569</v>
      </c>
      <c r="P127" s="93" t="s">
        <v>358</v>
      </c>
      <c r="Q127" s="84">
        <f>IF(DATA[[#This Row],[Column1]]="Normal", 13 * DATA[[#This Row],[STORAGE DAYS]], 20 * DATA[[#This Row],[STORAGE DAYS]])</f>
        <v>130</v>
      </c>
      <c r="R127" s="84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 t="shared" si="1"/>
        <v>349</v>
      </c>
      <c r="U127" s="112">
        <v>2025</v>
      </c>
      <c r="V127" s="112" t="s">
        <v>1873</v>
      </c>
      <c r="W127" s="112">
        <v>2025</v>
      </c>
      <c r="X127" s="112" t="s">
        <v>1873</v>
      </c>
    </row>
    <row r="128" spans="1:24" s="37" customFormat="1" ht="21" hidden="1" x14ac:dyDescent="0.25">
      <c r="A128" s="77" t="s">
        <v>570</v>
      </c>
      <c r="B128" s="78" t="s">
        <v>571</v>
      </c>
      <c r="C128" s="78">
        <v>54</v>
      </c>
      <c r="D128" s="79" t="s">
        <v>4</v>
      </c>
      <c r="E128" s="79" t="s">
        <v>531</v>
      </c>
      <c r="F128" s="79" t="s">
        <v>1672</v>
      </c>
      <c r="G128" s="79" t="s">
        <v>23</v>
      </c>
      <c r="H128" s="81">
        <v>0.4201388888888889</v>
      </c>
      <c r="I128" s="79" t="s">
        <v>12</v>
      </c>
      <c r="J128" s="82">
        <v>45763</v>
      </c>
      <c r="K128" s="82">
        <v>45959</v>
      </c>
      <c r="L128" s="78">
        <f>IF(ISBLANK(DATA[[#This Row],[DISCHARGE DATE]]), "NO DATE", DATA[[#This Row],[DISCHARGE DATE]]-DATA[[#This Row],[ADMISSION DATE]]+1)</f>
        <v>197</v>
      </c>
      <c r="M128" s="83">
        <v>350</v>
      </c>
      <c r="N128" s="83">
        <v>3940</v>
      </c>
      <c r="O128" s="93" t="s">
        <v>572</v>
      </c>
      <c r="P128" s="93" t="s">
        <v>1101</v>
      </c>
      <c r="Q128" s="84">
        <f>IF(DATA[[#This Row],[Column1]]="Normal", 13 * DATA[[#This Row],[STORAGE DAYS]], 20 * DATA[[#This Row],[STORAGE DAYS]])</f>
        <v>3940</v>
      </c>
      <c r="R128" s="84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 t="shared" si="1"/>
        <v>349</v>
      </c>
      <c r="U128" s="112">
        <v>2025</v>
      </c>
      <c r="V128" s="112" t="s">
        <v>1873</v>
      </c>
      <c r="W128" s="112">
        <v>2025</v>
      </c>
      <c r="X128" s="112" t="s">
        <v>1914</v>
      </c>
    </row>
    <row r="129" spans="1:24" s="37" customFormat="1" ht="21" hidden="1" x14ac:dyDescent="0.25">
      <c r="A129" s="77" t="s">
        <v>573</v>
      </c>
      <c r="B129" s="78" t="s">
        <v>574</v>
      </c>
      <c r="C129" s="78">
        <v>28</v>
      </c>
      <c r="D129" s="79" t="s">
        <v>5</v>
      </c>
      <c r="E129" s="79" t="s">
        <v>575</v>
      </c>
      <c r="F129" s="79" t="s">
        <v>1680</v>
      </c>
      <c r="G129" s="79" t="s">
        <v>24</v>
      </c>
      <c r="H129" s="81">
        <v>0.60416666666666663</v>
      </c>
      <c r="I129" s="79" t="s">
        <v>10</v>
      </c>
      <c r="J129" s="82">
        <v>45763</v>
      </c>
      <c r="K129" s="82">
        <v>45807</v>
      </c>
      <c r="L129" s="78">
        <f>IF(ISBLANK(DATA[[#This Row],[DISCHARGE DATE]]), "NO DATE", DATA[[#This Row],[DISCHARGE DATE]]-DATA[[#This Row],[ADMISSION DATE]]+1)</f>
        <v>45</v>
      </c>
      <c r="M129" s="83">
        <v>350</v>
      </c>
      <c r="N129" s="83">
        <v>585</v>
      </c>
      <c r="O129" s="93" t="s">
        <v>576</v>
      </c>
      <c r="P129" s="93" t="s">
        <v>577</v>
      </c>
      <c r="Q129" s="84">
        <f>IF(DATA[[#This Row],[Column1]]="Normal", 13 * DATA[[#This Row],[STORAGE DAYS]], 20 * DATA[[#This Row],[STORAGE DAYS]])</f>
        <v>585</v>
      </c>
      <c r="R129" s="84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 t="shared" si="1"/>
        <v>349</v>
      </c>
      <c r="U129" s="112">
        <v>2025</v>
      </c>
      <c r="V129" s="112" t="s">
        <v>1873</v>
      </c>
      <c r="W129" s="112">
        <v>2025</v>
      </c>
      <c r="X129" s="112" t="s">
        <v>1913</v>
      </c>
    </row>
    <row r="130" spans="1:24" s="37" customFormat="1" ht="21" hidden="1" x14ac:dyDescent="0.25">
      <c r="A130" s="77" t="s">
        <v>578</v>
      </c>
      <c r="B130" s="78" t="s">
        <v>579</v>
      </c>
      <c r="C130" s="78">
        <v>75</v>
      </c>
      <c r="D130" s="79" t="s">
        <v>4</v>
      </c>
      <c r="E130" s="79" t="s">
        <v>580</v>
      </c>
      <c r="F130" s="79" t="s">
        <v>1681</v>
      </c>
      <c r="G130" s="79" t="s">
        <v>14</v>
      </c>
      <c r="H130" s="81">
        <v>0.9375</v>
      </c>
      <c r="I130" s="79" t="s">
        <v>10</v>
      </c>
      <c r="J130" s="82">
        <v>45763</v>
      </c>
      <c r="K130" s="82">
        <v>45982</v>
      </c>
      <c r="L130" s="78">
        <f>IF(ISBLANK(DATA[[#This Row],[DISCHARGE DATE]]), "NO DATE", DATA[[#This Row],[DISCHARGE DATE]]-DATA[[#This Row],[ADMISSION DATE]]+1)</f>
        <v>220</v>
      </c>
      <c r="M130" s="83">
        <v>350</v>
      </c>
      <c r="N130" s="83">
        <v>2760</v>
      </c>
      <c r="O130" s="93" t="s">
        <v>581</v>
      </c>
      <c r="P130" s="93" t="s">
        <v>1192</v>
      </c>
      <c r="Q130" s="84">
        <f>IF(DATA[[#This Row],[Column1]]="Normal", 13 * DATA[[#This Row],[STORAGE DAYS]], 20 * DATA[[#This Row],[STORAGE DAYS]])</f>
        <v>2860</v>
      </c>
      <c r="R130" s="84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 t="shared" ref="T130:T193" si="2">COUNTA(A:A)-2</f>
        <v>349</v>
      </c>
      <c r="U130" s="112">
        <v>2025</v>
      </c>
      <c r="V130" s="112" t="s">
        <v>1873</v>
      </c>
      <c r="W130" s="112">
        <v>2025</v>
      </c>
      <c r="X130" s="112" t="s">
        <v>1910</v>
      </c>
    </row>
    <row r="131" spans="1:24" s="37" customFormat="1" ht="21" hidden="1" x14ac:dyDescent="0.25">
      <c r="A131" s="77" t="s">
        <v>582</v>
      </c>
      <c r="B131" s="78" t="s">
        <v>583</v>
      </c>
      <c r="C131" s="78">
        <v>60</v>
      </c>
      <c r="D131" s="79" t="s">
        <v>5</v>
      </c>
      <c r="E131" s="79" t="s">
        <v>584</v>
      </c>
      <c r="F131" s="79" t="s">
        <v>1682</v>
      </c>
      <c r="G131" s="79" t="s">
        <v>27</v>
      </c>
      <c r="H131" s="81">
        <v>0.64583333333333337</v>
      </c>
      <c r="I131" s="79" t="s">
        <v>10</v>
      </c>
      <c r="J131" s="82">
        <v>45765</v>
      </c>
      <c r="K131" s="82">
        <v>45870</v>
      </c>
      <c r="L131" s="78">
        <f>IF(ISBLANK(DATA[[#This Row],[DISCHARGE DATE]]), "NO DATE", DATA[[#This Row],[DISCHARGE DATE]]-DATA[[#This Row],[ADMISSION DATE]]+1)</f>
        <v>106</v>
      </c>
      <c r="M131" s="83">
        <v>350</v>
      </c>
      <c r="N131" s="83">
        <v>1378</v>
      </c>
      <c r="O131" s="93" t="s">
        <v>585</v>
      </c>
      <c r="P131" s="93" t="s">
        <v>586</v>
      </c>
      <c r="Q131" s="84">
        <f>IF(DATA[[#This Row],[Column1]]="Normal", 13 * DATA[[#This Row],[STORAGE DAYS]], 20 * DATA[[#This Row],[STORAGE DAYS]])</f>
        <v>1378</v>
      </c>
      <c r="R131" s="84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 t="shared" si="2"/>
        <v>349</v>
      </c>
      <c r="U131" s="112">
        <v>2025</v>
      </c>
      <c r="V131" s="112" t="s">
        <v>1873</v>
      </c>
      <c r="W131" s="112">
        <v>2025</v>
      </c>
      <c r="X131" s="112" t="s">
        <v>1909</v>
      </c>
    </row>
    <row r="132" spans="1:24" s="37" customFormat="1" ht="21" hidden="1" x14ac:dyDescent="0.25">
      <c r="A132" s="77" t="s">
        <v>587</v>
      </c>
      <c r="B132" s="78" t="s">
        <v>588</v>
      </c>
      <c r="C132" s="78">
        <v>81</v>
      </c>
      <c r="D132" s="79" t="s">
        <v>5</v>
      </c>
      <c r="E132" s="79" t="s">
        <v>589</v>
      </c>
      <c r="F132" s="79" t="s">
        <v>1683</v>
      </c>
      <c r="G132" s="79" t="s">
        <v>9</v>
      </c>
      <c r="H132" s="81">
        <v>0.22916666666666666</v>
      </c>
      <c r="I132" s="79" t="s">
        <v>12</v>
      </c>
      <c r="J132" s="82">
        <v>45766</v>
      </c>
      <c r="K132" s="82">
        <v>45905</v>
      </c>
      <c r="L132" s="78">
        <f>IF(ISBLANK(DATA[[#This Row],[DISCHARGE DATE]]), "NO DATE", DATA[[#This Row],[DISCHARGE DATE]]-DATA[[#This Row],[ADMISSION DATE]]+1)</f>
        <v>140</v>
      </c>
      <c r="M132" s="83">
        <v>350</v>
      </c>
      <c r="N132" s="83">
        <v>2800</v>
      </c>
      <c r="O132" s="93" t="s">
        <v>590</v>
      </c>
      <c r="P132" s="93" t="s">
        <v>591</v>
      </c>
      <c r="Q132" s="84">
        <f>IF(DATA[[#This Row],[Column1]]="Normal", 13 * DATA[[#This Row],[STORAGE DAYS]], 20 * DATA[[#This Row],[STORAGE DAYS]])</f>
        <v>2800</v>
      </c>
      <c r="R132" s="84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 t="shared" si="2"/>
        <v>349</v>
      </c>
      <c r="U132" s="112">
        <v>2025</v>
      </c>
      <c r="V132" s="112" t="s">
        <v>1873</v>
      </c>
      <c r="W132" s="112">
        <v>2025</v>
      </c>
      <c r="X132" s="112" t="s">
        <v>1911</v>
      </c>
    </row>
    <row r="133" spans="1:24" s="37" customFormat="1" ht="21" hidden="1" x14ac:dyDescent="0.25">
      <c r="A133" s="77" t="s">
        <v>592</v>
      </c>
      <c r="B133" s="78" t="s">
        <v>593</v>
      </c>
      <c r="C133" s="78">
        <v>50</v>
      </c>
      <c r="D133" s="79" t="s">
        <v>5</v>
      </c>
      <c r="E133" s="79" t="s">
        <v>594</v>
      </c>
      <c r="F133" s="79" t="s">
        <v>1684</v>
      </c>
      <c r="G133" s="79" t="s">
        <v>26</v>
      </c>
      <c r="H133" s="81">
        <v>0.5625</v>
      </c>
      <c r="I133" s="79" t="s">
        <v>10</v>
      </c>
      <c r="J133" s="82">
        <v>45777</v>
      </c>
      <c r="K133" s="82">
        <v>45961</v>
      </c>
      <c r="L133" s="78">
        <f>IF(ISBLANK(DATA[[#This Row],[DISCHARGE DATE]]), "NO DATE", DATA[[#This Row],[DISCHARGE DATE]]-DATA[[#This Row],[ADMISSION DATE]]+1)</f>
        <v>185</v>
      </c>
      <c r="M133" s="83">
        <v>350</v>
      </c>
      <c r="N133" s="83">
        <v>2405</v>
      </c>
      <c r="O133" s="93" t="s">
        <v>595</v>
      </c>
      <c r="P133" s="93" t="s">
        <v>1158</v>
      </c>
      <c r="Q133" s="84">
        <f>IF(DATA[[#This Row],[Column1]]="Normal", 13 * DATA[[#This Row],[STORAGE DAYS]], 20 * DATA[[#This Row],[STORAGE DAYS]])</f>
        <v>2405</v>
      </c>
      <c r="R133" s="84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 t="shared" si="2"/>
        <v>349</v>
      </c>
      <c r="U133" s="112">
        <v>2025</v>
      </c>
      <c r="V133" s="112" t="s">
        <v>1873</v>
      </c>
      <c r="W133" s="112">
        <v>2025</v>
      </c>
      <c r="X133" s="112" t="s">
        <v>1914</v>
      </c>
    </row>
    <row r="134" spans="1:24" s="37" customFormat="1" ht="21" hidden="1" x14ac:dyDescent="0.25">
      <c r="A134" s="77" t="s">
        <v>596</v>
      </c>
      <c r="B134" s="78" t="s">
        <v>597</v>
      </c>
      <c r="C134" s="78">
        <v>45</v>
      </c>
      <c r="D134" s="79" t="s">
        <v>5</v>
      </c>
      <c r="E134" s="79" t="s">
        <v>598</v>
      </c>
      <c r="F134" s="79" t="s">
        <v>1602</v>
      </c>
      <c r="G134" s="79" t="s">
        <v>27</v>
      </c>
      <c r="H134" s="81">
        <v>0.40277777777777779</v>
      </c>
      <c r="I134" s="79" t="s">
        <v>10</v>
      </c>
      <c r="J134" s="82">
        <v>45778</v>
      </c>
      <c r="K134" s="82">
        <v>45849</v>
      </c>
      <c r="L134" s="78">
        <f>IF(ISBLANK(DATA[[#This Row],[DISCHARGE DATE]]), "NO DATE", DATA[[#This Row],[DISCHARGE DATE]]-DATA[[#This Row],[ADMISSION DATE]]+1)</f>
        <v>72</v>
      </c>
      <c r="M134" s="83">
        <v>350</v>
      </c>
      <c r="N134" s="83">
        <v>936</v>
      </c>
      <c r="O134" s="93" t="s">
        <v>599</v>
      </c>
      <c r="P134" s="93" t="s">
        <v>600</v>
      </c>
      <c r="Q134" s="84">
        <f>IF(DATA[[#This Row],[Column1]]="Normal", 13 * DATA[[#This Row],[STORAGE DAYS]], 20 * DATA[[#This Row],[STORAGE DAYS]])</f>
        <v>936</v>
      </c>
      <c r="R134" s="84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 t="shared" si="2"/>
        <v>349</v>
      </c>
      <c r="U134" s="112">
        <v>2025</v>
      </c>
      <c r="V134" s="112" t="s">
        <v>1913</v>
      </c>
      <c r="W134" s="112">
        <v>2025</v>
      </c>
      <c r="X134" s="112" t="s">
        <v>1908</v>
      </c>
    </row>
    <row r="135" spans="1:24" s="37" customFormat="1" ht="21" hidden="1" x14ac:dyDescent="0.25">
      <c r="A135" s="77" t="s">
        <v>601</v>
      </c>
      <c r="B135" s="78" t="s">
        <v>602</v>
      </c>
      <c r="C135" s="78">
        <v>78</v>
      </c>
      <c r="D135" s="79" t="s">
        <v>4</v>
      </c>
      <c r="E135" s="79" t="s">
        <v>603</v>
      </c>
      <c r="F135" s="79" t="s">
        <v>1685</v>
      </c>
      <c r="G135" s="79" t="s">
        <v>27</v>
      </c>
      <c r="H135" s="81">
        <v>0.91666666666666663</v>
      </c>
      <c r="I135" s="79" t="s">
        <v>12</v>
      </c>
      <c r="J135" s="82">
        <v>45779</v>
      </c>
      <c r="K135" s="82">
        <v>45933</v>
      </c>
      <c r="L135" s="78">
        <f>IF(ISBLANK(DATA[[#This Row],[DISCHARGE DATE]]), "NO DATE", DATA[[#This Row],[DISCHARGE DATE]]-DATA[[#This Row],[ADMISSION DATE]]+1)</f>
        <v>155</v>
      </c>
      <c r="M135" s="83">
        <v>350</v>
      </c>
      <c r="N135" s="83">
        <v>3100</v>
      </c>
      <c r="O135" s="93" t="s">
        <v>604</v>
      </c>
      <c r="P135" s="93" t="s">
        <v>822</v>
      </c>
      <c r="Q135" s="84">
        <f>IF(DATA[[#This Row],[Column1]]="Normal", 13 * DATA[[#This Row],[STORAGE DAYS]], 20 * DATA[[#This Row],[STORAGE DAYS]])</f>
        <v>3100</v>
      </c>
      <c r="R135" s="84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 t="shared" si="2"/>
        <v>349</v>
      </c>
      <c r="U135" s="112">
        <v>2025</v>
      </c>
      <c r="V135" s="112" t="s">
        <v>1913</v>
      </c>
      <c r="W135" s="112">
        <v>2025</v>
      </c>
      <c r="X135" s="112" t="s">
        <v>1914</v>
      </c>
    </row>
    <row r="136" spans="1:24" s="37" customFormat="1" ht="21" hidden="1" x14ac:dyDescent="0.25">
      <c r="A136" s="77" t="s">
        <v>605</v>
      </c>
      <c r="B136" s="78" t="s">
        <v>606</v>
      </c>
      <c r="C136" s="78">
        <v>81</v>
      </c>
      <c r="D136" s="79" t="s">
        <v>5</v>
      </c>
      <c r="E136" s="79" t="s">
        <v>607</v>
      </c>
      <c r="F136" s="79" t="s">
        <v>1686</v>
      </c>
      <c r="G136" s="79" t="s">
        <v>18</v>
      </c>
      <c r="H136" s="81">
        <v>0.83333333333333337</v>
      </c>
      <c r="I136" s="79" t="s">
        <v>12</v>
      </c>
      <c r="J136" s="82">
        <v>45781</v>
      </c>
      <c r="K136" s="82">
        <v>45961</v>
      </c>
      <c r="L136" s="78">
        <f>IF(ISBLANK(DATA[[#This Row],[DISCHARGE DATE]]), "NO DATE", DATA[[#This Row],[DISCHARGE DATE]]-DATA[[#This Row],[ADMISSION DATE]]+1)</f>
        <v>181</v>
      </c>
      <c r="M136" s="83">
        <v>350</v>
      </c>
      <c r="N136" s="83">
        <v>3620</v>
      </c>
      <c r="O136" s="93" t="s">
        <v>608</v>
      </c>
      <c r="P136" s="93" t="s">
        <v>1119</v>
      </c>
      <c r="Q136" s="84">
        <f>IF(DATA[[#This Row],[Column1]]="Normal", 13 * DATA[[#This Row],[STORAGE DAYS]], 20 * DATA[[#This Row],[STORAGE DAYS]])</f>
        <v>3620</v>
      </c>
      <c r="R136" s="84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 t="shared" si="2"/>
        <v>349</v>
      </c>
      <c r="U136" s="112">
        <v>2025</v>
      </c>
      <c r="V136" s="112" t="s">
        <v>1913</v>
      </c>
      <c r="W136" s="112">
        <v>2025</v>
      </c>
      <c r="X136" s="112" t="s">
        <v>1914</v>
      </c>
    </row>
    <row r="137" spans="1:24" s="37" customFormat="1" ht="21" hidden="1" x14ac:dyDescent="0.25">
      <c r="A137" s="77" t="s">
        <v>609</v>
      </c>
      <c r="B137" s="78" t="s">
        <v>610</v>
      </c>
      <c r="C137" s="78">
        <v>63</v>
      </c>
      <c r="D137" s="79" t="s">
        <v>4</v>
      </c>
      <c r="E137" s="79" t="s">
        <v>611</v>
      </c>
      <c r="F137" s="79" t="s">
        <v>1687</v>
      </c>
      <c r="G137" s="79" t="s">
        <v>27</v>
      </c>
      <c r="H137" s="81">
        <v>0.46180555555555558</v>
      </c>
      <c r="I137" s="79" t="s">
        <v>12</v>
      </c>
      <c r="J137" s="82">
        <v>45786</v>
      </c>
      <c r="K137" s="82">
        <v>45898</v>
      </c>
      <c r="L137" s="78">
        <f>IF(ISBLANK(DATA[[#This Row],[DISCHARGE DATE]]), "NO DATE", DATA[[#This Row],[DISCHARGE DATE]]-DATA[[#This Row],[ADMISSION DATE]]+1)</f>
        <v>113</v>
      </c>
      <c r="M137" s="83">
        <v>350</v>
      </c>
      <c r="N137" s="83">
        <v>2260</v>
      </c>
      <c r="O137" s="93" t="s">
        <v>612</v>
      </c>
      <c r="P137" s="93" t="s">
        <v>613</v>
      </c>
      <c r="Q137" s="84">
        <f>IF(DATA[[#This Row],[Column1]]="Normal", 13 * DATA[[#This Row],[STORAGE DAYS]], 20 * DATA[[#This Row],[STORAGE DAYS]])</f>
        <v>2260</v>
      </c>
      <c r="R137" s="84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 t="shared" si="2"/>
        <v>349</v>
      </c>
      <c r="U137" s="112">
        <v>2025</v>
      </c>
      <c r="V137" s="112" t="s">
        <v>1913</v>
      </c>
      <c r="W137" s="112">
        <v>2025</v>
      </c>
      <c r="X137" s="112" t="s">
        <v>1909</v>
      </c>
    </row>
    <row r="138" spans="1:24" s="37" customFormat="1" ht="21" hidden="1" x14ac:dyDescent="0.25">
      <c r="A138" s="77" t="s">
        <v>614</v>
      </c>
      <c r="B138" s="78" t="s">
        <v>615</v>
      </c>
      <c r="C138" s="78">
        <v>54</v>
      </c>
      <c r="D138" s="79" t="s">
        <v>4</v>
      </c>
      <c r="E138" s="79" t="s">
        <v>616</v>
      </c>
      <c r="F138" s="79" t="s">
        <v>1688</v>
      </c>
      <c r="G138" s="79" t="s">
        <v>23</v>
      </c>
      <c r="H138" s="81">
        <v>0.65277777777777779</v>
      </c>
      <c r="I138" s="79" t="s">
        <v>10</v>
      </c>
      <c r="J138" s="82">
        <v>45788</v>
      </c>
      <c r="K138" s="82">
        <v>45898</v>
      </c>
      <c r="L138" s="78">
        <f>IF(ISBLANK(DATA[[#This Row],[DISCHARGE DATE]]), "NO DATE", DATA[[#This Row],[DISCHARGE DATE]]-DATA[[#This Row],[ADMISSION DATE]]+1)</f>
        <v>111</v>
      </c>
      <c r="M138" s="83">
        <v>350</v>
      </c>
      <c r="N138" s="83">
        <v>1443</v>
      </c>
      <c r="O138" s="93" t="s">
        <v>617</v>
      </c>
      <c r="P138" s="93" t="s">
        <v>618</v>
      </c>
      <c r="Q138" s="84">
        <f>IF(DATA[[#This Row],[Column1]]="Normal", 13 * DATA[[#This Row],[STORAGE DAYS]], 20 * DATA[[#This Row],[STORAGE DAYS]])</f>
        <v>1443</v>
      </c>
      <c r="R138" s="84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 t="shared" si="2"/>
        <v>349</v>
      </c>
      <c r="U138" s="112">
        <v>2025</v>
      </c>
      <c r="V138" s="112" t="s">
        <v>1913</v>
      </c>
      <c r="W138" s="112">
        <v>2025</v>
      </c>
      <c r="X138" s="112" t="s">
        <v>1909</v>
      </c>
    </row>
    <row r="139" spans="1:24" s="37" customFormat="1" ht="21" hidden="1" x14ac:dyDescent="0.25">
      <c r="A139" s="77" t="s">
        <v>619</v>
      </c>
      <c r="B139" s="78" t="s">
        <v>620</v>
      </c>
      <c r="C139" s="78">
        <v>62</v>
      </c>
      <c r="D139" s="79" t="s">
        <v>5</v>
      </c>
      <c r="E139" s="79" t="s">
        <v>621</v>
      </c>
      <c r="F139" s="79" t="s">
        <v>1689</v>
      </c>
      <c r="G139" s="79" t="s">
        <v>20</v>
      </c>
      <c r="H139" s="81">
        <v>0.47916666666666669</v>
      </c>
      <c r="I139" s="79" t="s">
        <v>10</v>
      </c>
      <c r="J139" s="82">
        <v>45792</v>
      </c>
      <c r="K139" s="82">
        <v>45891</v>
      </c>
      <c r="L139" s="78">
        <f>IF(ISBLANK(DATA[[#This Row],[DISCHARGE DATE]]), "NO DATE", DATA[[#This Row],[DISCHARGE DATE]]-DATA[[#This Row],[ADMISSION DATE]]+1)</f>
        <v>100</v>
      </c>
      <c r="M139" s="83">
        <v>350</v>
      </c>
      <c r="N139" s="83">
        <v>1300</v>
      </c>
      <c r="O139" s="93" t="s">
        <v>622</v>
      </c>
      <c r="P139" s="93" t="s">
        <v>623</v>
      </c>
      <c r="Q139" s="84">
        <f>IF(DATA[[#This Row],[Column1]]="Normal", 13 * DATA[[#This Row],[STORAGE DAYS]], 20 * DATA[[#This Row],[STORAGE DAYS]])</f>
        <v>1300</v>
      </c>
      <c r="R139" s="84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 t="shared" si="2"/>
        <v>349</v>
      </c>
      <c r="U139" s="112">
        <v>2025</v>
      </c>
      <c r="V139" s="112" t="s">
        <v>1913</v>
      </c>
      <c r="W139" s="112">
        <v>2025</v>
      </c>
      <c r="X139" s="112" t="s">
        <v>1909</v>
      </c>
    </row>
    <row r="140" spans="1:24" s="37" customFormat="1" ht="21" hidden="1" x14ac:dyDescent="0.25">
      <c r="A140" s="77" t="s">
        <v>624</v>
      </c>
      <c r="B140" s="78" t="s">
        <v>625</v>
      </c>
      <c r="C140" s="78">
        <v>42</v>
      </c>
      <c r="D140" s="79" t="s">
        <v>5</v>
      </c>
      <c r="E140" s="79" t="s">
        <v>626</v>
      </c>
      <c r="F140" s="79" t="s">
        <v>1690</v>
      </c>
      <c r="G140" s="79" t="s">
        <v>27</v>
      </c>
      <c r="H140" s="81">
        <v>0.625</v>
      </c>
      <c r="I140" s="79" t="s">
        <v>10</v>
      </c>
      <c r="J140" s="82">
        <v>45797</v>
      </c>
      <c r="K140" s="82">
        <v>45870</v>
      </c>
      <c r="L140" s="78">
        <f>IF(ISBLANK(DATA[[#This Row],[DISCHARGE DATE]]), "NO DATE", DATA[[#This Row],[DISCHARGE DATE]]-DATA[[#This Row],[ADMISSION DATE]]+1)</f>
        <v>74</v>
      </c>
      <c r="M140" s="83">
        <v>350</v>
      </c>
      <c r="N140" s="83">
        <v>962</v>
      </c>
      <c r="O140" s="93" t="s">
        <v>627</v>
      </c>
      <c r="P140" s="93" t="s">
        <v>628</v>
      </c>
      <c r="Q140" s="84">
        <f>IF(DATA[[#This Row],[Column1]]="Normal", 13 * DATA[[#This Row],[STORAGE DAYS]], 20 * DATA[[#This Row],[STORAGE DAYS]])</f>
        <v>962</v>
      </c>
      <c r="R140" s="84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 t="shared" si="2"/>
        <v>349</v>
      </c>
      <c r="U140" s="112">
        <v>2025</v>
      </c>
      <c r="V140" s="112" t="s">
        <v>1913</v>
      </c>
      <c r="W140" s="112">
        <v>2025</v>
      </c>
      <c r="X140" s="112" t="s">
        <v>1909</v>
      </c>
    </row>
    <row r="141" spans="1:24" s="37" customFormat="1" ht="21" hidden="1" x14ac:dyDescent="0.25">
      <c r="A141" s="77" t="s">
        <v>629</v>
      </c>
      <c r="B141" s="78" t="s">
        <v>630</v>
      </c>
      <c r="C141" s="78">
        <v>59</v>
      </c>
      <c r="D141" s="79" t="s">
        <v>4</v>
      </c>
      <c r="E141" s="79" t="s">
        <v>594</v>
      </c>
      <c r="F141" s="79" t="s">
        <v>1691</v>
      </c>
      <c r="G141" s="79" t="s">
        <v>27</v>
      </c>
      <c r="H141" s="81">
        <v>0.5</v>
      </c>
      <c r="I141" s="79" t="s">
        <v>10</v>
      </c>
      <c r="J141" s="82">
        <v>45798</v>
      </c>
      <c r="K141" s="82">
        <v>45961</v>
      </c>
      <c r="L141" s="78">
        <f>IF(ISBLANK(DATA[[#This Row],[DISCHARGE DATE]]), "NO DATE", DATA[[#This Row],[DISCHARGE DATE]]-DATA[[#This Row],[ADMISSION DATE]]+1)</f>
        <v>164</v>
      </c>
      <c r="M141" s="83">
        <v>350</v>
      </c>
      <c r="N141" s="83">
        <v>2132</v>
      </c>
      <c r="O141" s="93" t="s">
        <v>631</v>
      </c>
      <c r="P141" s="93" t="s">
        <v>1120</v>
      </c>
      <c r="Q141" s="84">
        <f>IF(DATA[[#This Row],[Column1]]="Normal", 13 * DATA[[#This Row],[STORAGE DAYS]], 20 * DATA[[#This Row],[STORAGE DAYS]])</f>
        <v>2132</v>
      </c>
      <c r="R141" s="84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 t="shared" si="2"/>
        <v>349</v>
      </c>
      <c r="U141" s="112">
        <v>2025</v>
      </c>
      <c r="V141" s="112" t="s">
        <v>1913</v>
      </c>
      <c r="W141" s="112">
        <v>2025</v>
      </c>
      <c r="X141" s="112" t="s">
        <v>1914</v>
      </c>
    </row>
    <row r="142" spans="1:24" s="37" customFormat="1" ht="21" hidden="1" x14ac:dyDescent="0.25">
      <c r="A142" s="77" t="s">
        <v>632</v>
      </c>
      <c r="B142" s="78" t="s">
        <v>633</v>
      </c>
      <c r="C142" s="78">
        <v>60</v>
      </c>
      <c r="D142" s="79" t="s">
        <v>4</v>
      </c>
      <c r="E142" s="79" t="s">
        <v>634</v>
      </c>
      <c r="F142" s="79" t="s">
        <v>1057</v>
      </c>
      <c r="G142" s="79" t="s">
        <v>7</v>
      </c>
      <c r="H142" s="81">
        <v>0.58333333333333337</v>
      </c>
      <c r="I142" s="79" t="s">
        <v>10</v>
      </c>
      <c r="J142" s="82">
        <v>45799</v>
      </c>
      <c r="K142" s="82">
        <v>45961</v>
      </c>
      <c r="L142" s="78">
        <f>IF(ISBLANK(DATA[[#This Row],[DISCHARGE DATE]]), "NO DATE", DATA[[#This Row],[DISCHARGE DATE]]-DATA[[#This Row],[ADMISSION DATE]]+1)</f>
        <v>163</v>
      </c>
      <c r="M142" s="83">
        <v>350</v>
      </c>
      <c r="N142" s="83">
        <v>2002</v>
      </c>
      <c r="O142" s="93" t="s">
        <v>635</v>
      </c>
      <c r="P142" s="93" t="s">
        <v>1103</v>
      </c>
      <c r="Q142" s="84">
        <f>IF(DATA[[#This Row],[Column1]]="Normal", 13 * DATA[[#This Row],[STORAGE DAYS]], 20 * DATA[[#This Row],[STORAGE DAYS]])</f>
        <v>2119</v>
      </c>
      <c r="R142" s="84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 t="shared" si="2"/>
        <v>349</v>
      </c>
      <c r="U142" s="112">
        <v>2025</v>
      </c>
      <c r="V142" s="112" t="s">
        <v>1913</v>
      </c>
      <c r="W142" s="112">
        <v>2025</v>
      </c>
      <c r="X142" s="112" t="s">
        <v>1914</v>
      </c>
    </row>
    <row r="143" spans="1:24" s="37" customFormat="1" ht="21" hidden="1" x14ac:dyDescent="0.25">
      <c r="A143" s="77" t="s">
        <v>636</v>
      </c>
      <c r="B143" s="78" t="s">
        <v>637</v>
      </c>
      <c r="C143" s="78">
        <v>61</v>
      </c>
      <c r="D143" s="79" t="s">
        <v>5</v>
      </c>
      <c r="E143" s="79" t="s">
        <v>638</v>
      </c>
      <c r="F143" s="79" t="s">
        <v>1692</v>
      </c>
      <c r="G143" s="79" t="s">
        <v>27</v>
      </c>
      <c r="H143" s="81">
        <v>0.3125</v>
      </c>
      <c r="I143" s="79" t="s">
        <v>10</v>
      </c>
      <c r="J143" s="82">
        <v>45800</v>
      </c>
      <c r="K143" s="82">
        <v>45849</v>
      </c>
      <c r="L143" s="78">
        <f>IF(ISBLANK(DATA[[#This Row],[DISCHARGE DATE]]), "NO DATE", DATA[[#This Row],[DISCHARGE DATE]]-DATA[[#This Row],[ADMISSION DATE]]+1)</f>
        <v>50</v>
      </c>
      <c r="M143" s="83">
        <v>350</v>
      </c>
      <c r="N143" s="83">
        <v>650</v>
      </c>
      <c r="O143" s="93" t="s">
        <v>639</v>
      </c>
      <c r="P143" s="93" t="s">
        <v>640</v>
      </c>
      <c r="Q143" s="84">
        <f>IF(DATA[[#This Row],[Column1]]="Normal", 13 * DATA[[#This Row],[STORAGE DAYS]], 20 * DATA[[#This Row],[STORAGE DAYS]])</f>
        <v>650</v>
      </c>
      <c r="R143" s="84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 t="shared" si="2"/>
        <v>349</v>
      </c>
      <c r="U143" s="112">
        <v>2025</v>
      </c>
      <c r="V143" s="112" t="s">
        <v>1913</v>
      </c>
      <c r="W143" s="112">
        <v>2025</v>
      </c>
      <c r="X143" s="112" t="s">
        <v>1908</v>
      </c>
    </row>
    <row r="144" spans="1:24" s="37" customFormat="1" ht="21" hidden="1" x14ac:dyDescent="0.25">
      <c r="A144" s="77" t="s">
        <v>641</v>
      </c>
      <c r="B144" s="78" t="s">
        <v>642</v>
      </c>
      <c r="C144" s="78">
        <v>65</v>
      </c>
      <c r="D144" s="79" t="s">
        <v>5</v>
      </c>
      <c r="E144" s="79" t="s">
        <v>643</v>
      </c>
      <c r="F144" s="79" t="s">
        <v>1693</v>
      </c>
      <c r="G144" s="79" t="s">
        <v>27</v>
      </c>
      <c r="H144" s="81">
        <v>0.33333333333333331</v>
      </c>
      <c r="I144" s="79" t="s">
        <v>12</v>
      </c>
      <c r="J144" s="82">
        <v>45802</v>
      </c>
      <c r="K144" s="82">
        <v>45989</v>
      </c>
      <c r="L144" s="78">
        <f>IF(ISBLANK(DATA[[#This Row],[DISCHARGE DATE]]), "NO DATE", DATA[[#This Row],[DISCHARGE DATE]]-DATA[[#This Row],[ADMISSION DATE]]+1)</f>
        <v>188</v>
      </c>
      <c r="M144" s="83">
        <v>350</v>
      </c>
      <c r="N144" s="83">
        <v>3560</v>
      </c>
      <c r="O144" s="93" t="s">
        <v>644</v>
      </c>
      <c r="P144" s="93" t="s">
        <v>504</v>
      </c>
      <c r="Q144" s="84">
        <f>IF(DATA[[#This Row],[Column1]]="Normal", 13 * DATA[[#This Row],[STORAGE DAYS]], 20 * DATA[[#This Row],[STORAGE DAYS]])</f>
        <v>3760</v>
      </c>
      <c r="R144" s="84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 t="shared" si="2"/>
        <v>349</v>
      </c>
      <c r="U144" s="112">
        <v>2025</v>
      </c>
      <c r="V144" s="112" t="s">
        <v>1913</v>
      </c>
      <c r="W144" s="112">
        <v>2025</v>
      </c>
      <c r="X144" s="112" t="s">
        <v>1910</v>
      </c>
    </row>
    <row r="145" spans="1:24" s="37" customFormat="1" ht="21" hidden="1" x14ac:dyDescent="0.25">
      <c r="A145" s="77" t="s">
        <v>645</v>
      </c>
      <c r="B145" s="78" t="s">
        <v>646</v>
      </c>
      <c r="C145" s="78">
        <v>66</v>
      </c>
      <c r="D145" s="79" t="s">
        <v>4</v>
      </c>
      <c r="E145" s="79" t="s">
        <v>647</v>
      </c>
      <c r="F145" s="79" t="s">
        <v>1694</v>
      </c>
      <c r="G145" s="79" t="s">
        <v>27</v>
      </c>
      <c r="H145" s="81">
        <v>0.29166666666666669</v>
      </c>
      <c r="I145" s="79" t="s">
        <v>12</v>
      </c>
      <c r="J145" s="82">
        <v>45805</v>
      </c>
      <c r="K145" s="82">
        <v>45898</v>
      </c>
      <c r="L145" s="78">
        <f>IF(ISBLANK(DATA[[#This Row],[DISCHARGE DATE]]), "NO DATE", DATA[[#This Row],[DISCHARGE DATE]]-DATA[[#This Row],[ADMISSION DATE]]+1)</f>
        <v>94</v>
      </c>
      <c r="M145" s="83">
        <v>350</v>
      </c>
      <c r="N145" s="83">
        <v>1380</v>
      </c>
      <c r="O145" s="93" t="s">
        <v>648</v>
      </c>
      <c r="P145" s="93" t="s">
        <v>649</v>
      </c>
      <c r="Q145" s="84">
        <f>IF(DATA[[#This Row],[Column1]]="Normal", 13 * DATA[[#This Row],[STORAGE DAYS]], 20 * DATA[[#This Row],[STORAGE DAYS]])</f>
        <v>1880</v>
      </c>
      <c r="R145" s="84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 t="shared" si="2"/>
        <v>349</v>
      </c>
      <c r="U145" s="112">
        <v>2025</v>
      </c>
      <c r="V145" s="112" t="s">
        <v>1913</v>
      </c>
      <c r="W145" s="112">
        <v>2025</v>
      </c>
      <c r="X145" s="112" t="s">
        <v>1909</v>
      </c>
    </row>
    <row r="146" spans="1:24" s="37" customFormat="1" ht="21" hidden="1" x14ac:dyDescent="0.25">
      <c r="A146" s="77" t="s">
        <v>650</v>
      </c>
      <c r="B146" s="78" t="s">
        <v>651</v>
      </c>
      <c r="C146" s="78">
        <v>65</v>
      </c>
      <c r="D146" s="79" t="s">
        <v>5</v>
      </c>
      <c r="E146" s="79" t="s">
        <v>652</v>
      </c>
      <c r="F146" s="79" t="s">
        <v>1695</v>
      </c>
      <c r="G146" s="79" t="s">
        <v>16</v>
      </c>
      <c r="H146" s="81">
        <v>0.72916666666666663</v>
      </c>
      <c r="I146" s="79" t="s">
        <v>10</v>
      </c>
      <c r="J146" s="82">
        <v>45806</v>
      </c>
      <c r="K146" s="82">
        <v>45891</v>
      </c>
      <c r="L146" s="78">
        <f>IF(ISBLANK(DATA[[#This Row],[DISCHARGE DATE]]), "NO DATE", DATA[[#This Row],[DISCHARGE DATE]]-DATA[[#This Row],[ADMISSION DATE]]+1)</f>
        <v>86</v>
      </c>
      <c r="M146" s="83">
        <v>350</v>
      </c>
      <c r="N146" s="83">
        <v>1118</v>
      </c>
      <c r="O146" s="93" t="s">
        <v>653</v>
      </c>
      <c r="P146" s="93" t="s">
        <v>654</v>
      </c>
      <c r="Q146" s="84">
        <f>IF(DATA[[#This Row],[Column1]]="Normal", 13 * DATA[[#This Row],[STORAGE DAYS]], 20 * DATA[[#This Row],[STORAGE DAYS]])</f>
        <v>1118</v>
      </c>
      <c r="R146" s="84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 t="shared" si="2"/>
        <v>349</v>
      </c>
      <c r="U146" s="112">
        <v>2025</v>
      </c>
      <c r="V146" s="112" t="s">
        <v>1913</v>
      </c>
      <c r="W146" s="112">
        <v>2025</v>
      </c>
      <c r="X146" s="112" t="s">
        <v>1909</v>
      </c>
    </row>
    <row r="147" spans="1:24" s="37" customFormat="1" ht="21" hidden="1" x14ac:dyDescent="0.25">
      <c r="A147" s="77" t="s">
        <v>655</v>
      </c>
      <c r="B147" s="78" t="s">
        <v>656</v>
      </c>
      <c r="C147" s="78">
        <v>63</v>
      </c>
      <c r="D147" s="79" t="s">
        <v>5</v>
      </c>
      <c r="E147" s="79" t="s">
        <v>657</v>
      </c>
      <c r="F147" s="79" t="s">
        <v>1696</v>
      </c>
      <c r="G147" s="79" t="s">
        <v>27</v>
      </c>
      <c r="H147" s="81">
        <v>0.89583333333333337</v>
      </c>
      <c r="I147" s="79" t="s">
        <v>10</v>
      </c>
      <c r="J147" s="82">
        <v>45809</v>
      </c>
      <c r="K147" s="82">
        <v>45849</v>
      </c>
      <c r="L147" s="78">
        <f>IF(ISBLANK(DATA[[#This Row],[DISCHARGE DATE]]), "NO DATE", DATA[[#This Row],[DISCHARGE DATE]]-DATA[[#This Row],[ADMISSION DATE]]+1)</f>
        <v>41</v>
      </c>
      <c r="M147" s="83">
        <v>350</v>
      </c>
      <c r="N147" s="83">
        <v>533</v>
      </c>
      <c r="O147" s="93" t="s">
        <v>658</v>
      </c>
      <c r="P147" s="93" t="s">
        <v>659</v>
      </c>
      <c r="Q147" s="84">
        <f>IF(DATA[[#This Row],[Column1]]="Normal", 13 * DATA[[#This Row],[STORAGE DAYS]], 20 * DATA[[#This Row],[STORAGE DAYS]])</f>
        <v>533</v>
      </c>
      <c r="R147" s="84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 t="shared" si="2"/>
        <v>349</v>
      </c>
      <c r="U147" s="112">
        <v>2025</v>
      </c>
      <c r="V147" s="112" t="s">
        <v>1917</v>
      </c>
      <c r="W147" s="112">
        <v>2025</v>
      </c>
      <c r="X147" s="112" t="s">
        <v>1908</v>
      </c>
    </row>
    <row r="148" spans="1:24" s="37" customFormat="1" ht="21" hidden="1" x14ac:dyDescent="0.25">
      <c r="A148" s="77" t="s">
        <v>660</v>
      </c>
      <c r="B148" s="78" t="s">
        <v>661</v>
      </c>
      <c r="C148" s="78">
        <v>80</v>
      </c>
      <c r="D148" s="79" t="s">
        <v>4</v>
      </c>
      <c r="E148" s="79" t="s">
        <v>662</v>
      </c>
      <c r="F148" s="79" t="s">
        <v>1697</v>
      </c>
      <c r="G148" s="79" t="s">
        <v>25</v>
      </c>
      <c r="H148" s="81">
        <v>0.5625</v>
      </c>
      <c r="I148" s="79" t="s">
        <v>12</v>
      </c>
      <c r="J148" s="82">
        <v>45808</v>
      </c>
      <c r="K148" s="82">
        <v>45961</v>
      </c>
      <c r="L148" s="78">
        <f>IF(ISBLANK(DATA[[#This Row],[DISCHARGE DATE]]), "NO DATE", DATA[[#This Row],[DISCHARGE DATE]]-DATA[[#This Row],[ADMISSION DATE]]+1)</f>
        <v>154</v>
      </c>
      <c r="M148" s="83">
        <v>350</v>
      </c>
      <c r="N148" s="83">
        <v>3080</v>
      </c>
      <c r="O148" s="93" t="s">
        <v>441</v>
      </c>
      <c r="P148" s="93" t="s">
        <v>1149</v>
      </c>
      <c r="Q148" s="84">
        <f>IF(DATA[[#This Row],[Column1]]="Normal", 13 * DATA[[#This Row],[STORAGE DAYS]], 20 * DATA[[#This Row],[STORAGE DAYS]])</f>
        <v>3080</v>
      </c>
      <c r="R148" s="84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 t="shared" si="2"/>
        <v>349</v>
      </c>
      <c r="U148" s="112">
        <v>2025</v>
      </c>
      <c r="V148" s="112" t="s">
        <v>1913</v>
      </c>
      <c r="W148" s="112">
        <v>2025</v>
      </c>
      <c r="X148" s="112" t="s">
        <v>1914</v>
      </c>
    </row>
    <row r="149" spans="1:24" s="37" customFormat="1" ht="21" hidden="1" x14ac:dyDescent="0.25">
      <c r="A149" s="77" t="s">
        <v>663</v>
      </c>
      <c r="B149" s="78" t="s">
        <v>138</v>
      </c>
      <c r="C149" s="78">
        <v>70</v>
      </c>
      <c r="D149" s="79" t="s">
        <v>5</v>
      </c>
      <c r="E149" s="79" t="s">
        <v>664</v>
      </c>
      <c r="F149" s="79" t="s">
        <v>1651</v>
      </c>
      <c r="G149" s="79" t="s">
        <v>27</v>
      </c>
      <c r="H149" s="81">
        <v>0.33333333333333331</v>
      </c>
      <c r="I149" s="79" t="s">
        <v>10</v>
      </c>
      <c r="J149" s="82">
        <v>45811</v>
      </c>
      <c r="K149" s="82">
        <v>45933</v>
      </c>
      <c r="L149" s="78">
        <f>IF(ISBLANK(DATA[[#This Row],[DISCHARGE DATE]]), "NO DATE", DATA[[#This Row],[DISCHARGE DATE]]-DATA[[#This Row],[ADMISSION DATE]]+1)</f>
        <v>123</v>
      </c>
      <c r="M149" s="83">
        <v>350</v>
      </c>
      <c r="N149" s="83">
        <v>1599</v>
      </c>
      <c r="O149" s="93" t="s">
        <v>523</v>
      </c>
      <c r="P149" s="93" t="s">
        <v>978</v>
      </c>
      <c r="Q149" s="84">
        <f>IF(DATA[[#This Row],[Column1]]="Normal", 13 * DATA[[#This Row],[STORAGE DAYS]], 20 * DATA[[#This Row],[STORAGE DAYS]])</f>
        <v>1599</v>
      </c>
      <c r="R149" s="84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 t="shared" si="2"/>
        <v>349</v>
      </c>
      <c r="U149" s="112">
        <v>2025</v>
      </c>
      <c r="V149" s="112" t="s">
        <v>1917</v>
      </c>
      <c r="W149" s="112">
        <v>2025</v>
      </c>
      <c r="X149" s="112" t="s">
        <v>1914</v>
      </c>
    </row>
    <row r="150" spans="1:24" s="37" customFormat="1" ht="21" hidden="1" x14ac:dyDescent="0.25">
      <c r="A150" s="77" t="s">
        <v>665</v>
      </c>
      <c r="B150" s="78" t="s">
        <v>666</v>
      </c>
      <c r="C150" s="78">
        <v>100</v>
      </c>
      <c r="D150" s="79" t="s">
        <v>4</v>
      </c>
      <c r="E150" s="79" t="s">
        <v>667</v>
      </c>
      <c r="F150" s="79" t="s">
        <v>1698</v>
      </c>
      <c r="G150" s="79" t="s">
        <v>27</v>
      </c>
      <c r="H150" s="81">
        <v>0.35416666666666669</v>
      </c>
      <c r="I150" s="79" t="s">
        <v>10</v>
      </c>
      <c r="J150" s="82">
        <v>45812</v>
      </c>
      <c r="K150" s="82">
        <v>45933</v>
      </c>
      <c r="L150" s="78">
        <f>IF(ISBLANK(DATA[[#This Row],[DISCHARGE DATE]]), "NO DATE", DATA[[#This Row],[DISCHARGE DATE]]-DATA[[#This Row],[ADMISSION DATE]]+1)</f>
        <v>122</v>
      </c>
      <c r="M150" s="83">
        <v>350</v>
      </c>
      <c r="N150" s="83">
        <v>1200</v>
      </c>
      <c r="O150" s="93" t="s">
        <v>436</v>
      </c>
      <c r="P150" s="93" t="s">
        <v>971</v>
      </c>
      <c r="Q150" s="84">
        <f>IF(DATA[[#This Row],[Column1]]="Normal", 13 * DATA[[#This Row],[STORAGE DAYS]], 20 * DATA[[#This Row],[STORAGE DAYS]])</f>
        <v>1586</v>
      </c>
      <c r="R150" s="84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 t="shared" si="2"/>
        <v>349</v>
      </c>
      <c r="U150" s="112">
        <v>2025</v>
      </c>
      <c r="V150" s="112" t="s">
        <v>1917</v>
      </c>
      <c r="W150" s="112">
        <v>2025</v>
      </c>
      <c r="X150" s="112" t="s">
        <v>1914</v>
      </c>
    </row>
    <row r="151" spans="1:24" s="37" customFormat="1" ht="21" hidden="1" x14ac:dyDescent="0.25">
      <c r="A151" s="77" t="s">
        <v>668</v>
      </c>
      <c r="B151" s="78" t="s">
        <v>669</v>
      </c>
      <c r="C151" s="78">
        <v>69</v>
      </c>
      <c r="D151" s="79" t="s">
        <v>4</v>
      </c>
      <c r="E151" s="79" t="s">
        <v>101</v>
      </c>
      <c r="F151" s="79" t="s">
        <v>1569</v>
      </c>
      <c r="G151" s="79" t="s">
        <v>27</v>
      </c>
      <c r="H151" s="81">
        <v>0.70833333333333337</v>
      </c>
      <c r="I151" s="79" t="s">
        <v>10</v>
      </c>
      <c r="J151" s="82">
        <v>45811</v>
      </c>
      <c r="K151" s="82">
        <v>46108</v>
      </c>
      <c r="L151" s="78">
        <f>IF(ISBLANK(DATA[[#This Row],[DISCHARGE DATE]]), "NO DATE", DATA[[#This Row],[DISCHARGE DATE]]-DATA[[#This Row],[ADMISSION DATE]]+1)</f>
        <v>298</v>
      </c>
      <c r="M151" s="83">
        <v>350</v>
      </c>
      <c r="N151" s="83">
        <v>3874</v>
      </c>
      <c r="O151" s="93" t="s">
        <v>577</v>
      </c>
      <c r="P151" s="93">
        <v>257</v>
      </c>
      <c r="Q151" s="84">
        <f>IF(DATA[[#This Row],[Column1]]="Normal", 13 * DATA[[#This Row],[STORAGE DAYS]], 20 * DATA[[#This Row],[STORAGE DAYS]])</f>
        <v>3874</v>
      </c>
      <c r="R151" s="84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 t="shared" si="2"/>
        <v>349</v>
      </c>
      <c r="U151" s="112">
        <v>2025</v>
      </c>
      <c r="V151" s="112" t="s">
        <v>1917</v>
      </c>
      <c r="W151" s="112">
        <v>2026</v>
      </c>
      <c r="X151" s="112" t="s">
        <v>1912</v>
      </c>
    </row>
    <row r="152" spans="1:24" s="37" customFormat="1" ht="21" hidden="1" x14ac:dyDescent="0.25">
      <c r="A152" s="77" t="s">
        <v>670</v>
      </c>
      <c r="B152" s="78" t="s">
        <v>671</v>
      </c>
      <c r="C152" s="78">
        <v>58</v>
      </c>
      <c r="D152" s="79" t="s">
        <v>5</v>
      </c>
      <c r="E152" s="79" t="s">
        <v>672</v>
      </c>
      <c r="F152" s="79" t="s">
        <v>1699</v>
      </c>
      <c r="G152" s="79" t="s">
        <v>23</v>
      </c>
      <c r="H152" s="81">
        <v>0.66666666666666663</v>
      </c>
      <c r="I152" s="79" t="s">
        <v>12</v>
      </c>
      <c r="J152" s="82">
        <v>45811</v>
      </c>
      <c r="K152" s="82">
        <v>45919</v>
      </c>
      <c r="L152" s="78">
        <f>IF(ISBLANK(DATA[[#This Row],[DISCHARGE DATE]]), "NO DATE", DATA[[#This Row],[DISCHARGE DATE]]-DATA[[#This Row],[ADMISSION DATE]]+1)</f>
        <v>109</v>
      </c>
      <c r="M152" s="83">
        <v>350</v>
      </c>
      <c r="N152" s="83">
        <v>2180</v>
      </c>
      <c r="O152" s="93" t="s">
        <v>140</v>
      </c>
      <c r="P152" s="93" t="s">
        <v>818</v>
      </c>
      <c r="Q152" s="84">
        <f>IF(DATA[[#This Row],[Column1]]="Normal", 13 * DATA[[#This Row],[STORAGE DAYS]], 20 * DATA[[#This Row],[STORAGE DAYS]])</f>
        <v>2180</v>
      </c>
      <c r="R152" s="84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 t="shared" si="2"/>
        <v>349</v>
      </c>
      <c r="U152" s="112">
        <v>2025</v>
      </c>
      <c r="V152" s="112" t="s">
        <v>1917</v>
      </c>
      <c r="W152" s="112">
        <v>2025</v>
      </c>
      <c r="X152" s="112" t="s">
        <v>1911</v>
      </c>
    </row>
    <row r="153" spans="1:24" s="37" customFormat="1" ht="21" hidden="1" x14ac:dyDescent="0.25">
      <c r="A153" s="77" t="s">
        <v>673</v>
      </c>
      <c r="B153" s="78" t="s">
        <v>674</v>
      </c>
      <c r="C153" s="78">
        <v>80</v>
      </c>
      <c r="D153" s="79" t="s">
        <v>5</v>
      </c>
      <c r="E153" s="79" t="s">
        <v>675</v>
      </c>
      <c r="F153" s="79" t="s">
        <v>1700</v>
      </c>
      <c r="G153" s="79" t="s">
        <v>27</v>
      </c>
      <c r="H153" s="81">
        <v>0.55069444444444449</v>
      </c>
      <c r="I153" s="79" t="s">
        <v>12</v>
      </c>
      <c r="J153" s="82">
        <v>45813</v>
      </c>
      <c r="K153" s="82">
        <v>45989</v>
      </c>
      <c r="L153" s="78">
        <f>IF(ISBLANK(DATA[[#This Row],[DISCHARGE DATE]]), "NO DATE", DATA[[#This Row],[DISCHARGE DATE]]-DATA[[#This Row],[ADMISSION DATE]]+1)</f>
        <v>177</v>
      </c>
      <c r="M153" s="83">
        <v>350</v>
      </c>
      <c r="N153" s="83">
        <v>3340</v>
      </c>
      <c r="O153" s="93" t="s">
        <v>393</v>
      </c>
      <c r="P153" s="93" t="s">
        <v>1282</v>
      </c>
      <c r="Q153" s="84">
        <f>IF(DATA[[#This Row],[Column1]]="Normal", 13 * DATA[[#This Row],[STORAGE DAYS]], 20 * DATA[[#This Row],[STORAGE DAYS]])</f>
        <v>3540</v>
      </c>
      <c r="R153" s="84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 t="shared" si="2"/>
        <v>349</v>
      </c>
      <c r="U153" s="112">
        <v>2025</v>
      </c>
      <c r="V153" s="112" t="s">
        <v>1917</v>
      </c>
      <c r="W153" s="112">
        <v>2025</v>
      </c>
      <c r="X153" s="112" t="s">
        <v>1910</v>
      </c>
    </row>
    <row r="154" spans="1:24" s="37" customFormat="1" ht="21" hidden="1" x14ac:dyDescent="0.25">
      <c r="A154" s="77" t="s">
        <v>676</v>
      </c>
      <c r="B154" s="78" t="s">
        <v>677</v>
      </c>
      <c r="C154" s="78">
        <v>90</v>
      </c>
      <c r="D154" s="79" t="s">
        <v>5</v>
      </c>
      <c r="E154" s="79" t="s">
        <v>678</v>
      </c>
      <c r="F154" s="79" t="s">
        <v>1701</v>
      </c>
      <c r="G154" s="79" t="s">
        <v>27</v>
      </c>
      <c r="H154" s="81">
        <v>0.4375</v>
      </c>
      <c r="I154" s="79" t="s">
        <v>10</v>
      </c>
      <c r="J154" s="82">
        <v>45814</v>
      </c>
      <c r="K154" s="82">
        <v>45933</v>
      </c>
      <c r="L154" s="78">
        <f>IF(ISBLANK(DATA[[#This Row],[DISCHARGE DATE]]), "NO DATE", DATA[[#This Row],[DISCHARGE DATE]]-DATA[[#This Row],[ADMISSION DATE]]+1)</f>
        <v>120</v>
      </c>
      <c r="M154" s="83">
        <v>350</v>
      </c>
      <c r="N154" s="83">
        <v>1560</v>
      </c>
      <c r="O154" s="93" t="s">
        <v>337</v>
      </c>
      <c r="P154" s="93" t="s">
        <v>959</v>
      </c>
      <c r="Q154" s="84">
        <f>IF(DATA[[#This Row],[Column1]]="Normal", 13 * DATA[[#This Row],[STORAGE DAYS]], 20 * DATA[[#This Row],[STORAGE DAYS]])</f>
        <v>1560</v>
      </c>
      <c r="R154" s="84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 t="shared" si="2"/>
        <v>349</v>
      </c>
      <c r="U154" s="112">
        <v>2025</v>
      </c>
      <c r="V154" s="112" t="s">
        <v>1917</v>
      </c>
      <c r="W154" s="112">
        <v>2025</v>
      </c>
      <c r="X154" s="112" t="s">
        <v>1914</v>
      </c>
    </row>
    <row r="155" spans="1:24" s="37" customFormat="1" ht="21" hidden="1" x14ac:dyDescent="0.25">
      <c r="A155" s="77" t="s">
        <v>679</v>
      </c>
      <c r="B155" s="78" t="s">
        <v>680</v>
      </c>
      <c r="C155" s="78">
        <v>80</v>
      </c>
      <c r="D155" s="79" t="s">
        <v>5</v>
      </c>
      <c r="E155" s="79" t="s">
        <v>681</v>
      </c>
      <c r="F155" s="79" t="s">
        <v>1702</v>
      </c>
      <c r="G155" s="79" t="s">
        <v>27</v>
      </c>
      <c r="H155" s="81">
        <v>0.29166666666666669</v>
      </c>
      <c r="I155" s="79" t="s">
        <v>10</v>
      </c>
      <c r="J155" s="82">
        <v>45815</v>
      </c>
      <c r="K155" s="82">
        <v>45959</v>
      </c>
      <c r="L155" s="78">
        <f>IF(ISBLANK(DATA[[#This Row],[DISCHARGE DATE]]), "NO DATE", DATA[[#This Row],[DISCHARGE DATE]]-DATA[[#This Row],[ADMISSION DATE]]+1)</f>
        <v>145</v>
      </c>
      <c r="M155" s="83">
        <v>350</v>
      </c>
      <c r="N155" s="83">
        <v>1885</v>
      </c>
      <c r="O155" s="93" t="s">
        <v>543</v>
      </c>
      <c r="P155" s="93" t="s">
        <v>1076</v>
      </c>
      <c r="Q155" s="84">
        <f>IF(DATA[[#This Row],[Column1]]="Normal", 13 * DATA[[#This Row],[STORAGE DAYS]], 20 * DATA[[#This Row],[STORAGE DAYS]])</f>
        <v>1885</v>
      </c>
      <c r="R155" s="84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 t="shared" si="2"/>
        <v>349</v>
      </c>
      <c r="U155" s="112">
        <v>2025</v>
      </c>
      <c r="V155" s="112" t="s">
        <v>1917</v>
      </c>
      <c r="W155" s="112">
        <v>2025</v>
      </c>
      <c r="X155" s="112" t="s">
        <v>1914</v>
      </c>
    </row>
    <row r="156" spans="1:24" s="37" customFormat="1" ht="21" hidden="1" x14ac:dyDescent="0.25">
      <c r="A156" s="77" t="s">
        <v>682</v>
      </c>
      <c r="B156" s="78" t="s">
        <v>683</v>
      </c>
      <c r="C156" s="78">
        <v>41</v>
      </c>
      <c r="D156" s="79" t="s">
        <v>4</v>
      </c>
      <c r="E156" s="79" t="s">
        <v>684</v>
      </c>
      <c r="F156" s="79" t="s">
        <v>1703</v>
      </c>
      <c r="G156" s="79" t="s">
        <v>25</v>
      </c>
      <c r="H156" s="81">
        <v>0.72916666666666663</v>
      </c>
      <c r="I156" s="79" t="s">
        <v>10</v>
      </c>
      <c r="J156" s="82">
        <v>45817</v>
      </c>
      <c r="K156" s="82">
        <v>45898</v>
      </c>
      <c r="L156" s="78">
        <f>IF(ISBLANK(DATA[[#This Row],[DISCHARGE DATE]]), "NO DATE", DATA[[#This Row],[DISCHARGE DATE]]-DATA[[#This Row],[ADMISSION DATE]]+1)</f>
        <v>82</v>
      </c>
      <c r="M156" s="83">
        <v>350</v>
      </c>
      <c r="N156" s="83">
        <v>1066</v>
      </c>
      <c r="O156" s="93" t="s">
        <v>685</v>
      </c>
      <c r="P156" s="93" t="s">
        <v>686</v>
      </c>
      <c r="Q156" s="84">
        <f>IF(DATA[[#This Row],[Column1]]="Normal", 13 * DATA[[#This Row],[STORAGE DAYS]], 20 * DATA[[#This Row],[STORAGE DAYS]])</f>
        <v>1066</v>
      </c>
      <c r="R156" s="84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 t="shared" si="2"/>
        <v>349</v>
      </c>
      <c r="U156" s="112">
        <v>2025</v>
      </c>
      <c r="V156" s="112" t="s">
        <v>1917</v>
      </c>
      <c r="W156" s="112">
        <v>2025</v>
      </c>
      <c r="X156" s="112" t="s">
        <v>1909</v>
      </c>
    </row>
    <row r="157" spans="1:24" s="37" customFormat="1" ht="21" hidden="1" x14ac:dyDescent="0.25">
      <c r="A157" s="77" t="s">
        <v>687</v>
      </c>
      <c r="B157" s="78" t="s">
        <v>688</v>
      </c>
      <c r="C157" s="78">
        <v>70</v>
      </c>
      <c r="D157" s="79" t="s">
        <v>5</v>
      </c>
      <c r="E157" s="79" t="s">
        <v>689</v>
      </c>
      <c r="F157" s="79" t="s">
        <v>1704</v>
      </c>
      <c r="G157" s="79" t="s">
        <v>24</v>
      </c>
      <c r="H157" s="81"/>
      <c r="I157" s="79" t="s">
        <v>10</v>
      </c>
      <c r="J157" s="82">
        <v>45818</v>
      </c>
      <c r="K157" s="82">
        <v>45954</v>
      </c>
      <c r="L157" s="78">
        <f>IF(ISBLANK(DATA[[#This Row],[DISCHARGE DATE]]), "NO DATE", DATA[[#This Row],[DISCHARGE DATE]]-DATA[[#This Row],[ADMISSION DATE]]+1)</f>
        <v>137</v>
      </c>
      <c r="M157" s="83">
        <v>350</v>
      </c>
      <c r="N157" s="83">
        <v>1781</v>
      </c>
      <c r="O157" s="93" t="s">
        <v>690</v>
      </c>
      <c r="P157" s="93" t="s">
        <v>1070</v>
      </c>
      <c r="Q157" s="84">
        <f>IF(DATA[[#This Row],[Column1]]="Normal", 13 * DATA[[#This Row],[STORAGE DAYS]], 20 * DATA[[#This Row],[STORAGE DAYS]])</f>
        <v>1781</v>
      </c>
      <c r="R157" s="84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 t="shared" si="2"/>
        <v>349</v>
      </c>
      <c r="U157" s="112">
        <v>2025</v>
      </c>
      <c r="V157" s="112" t="s">
        <v>1917</v>
      </c>
      <c r="W157" s="112">
        <v>2025</v>
      </c>
      <c r="X157" s="112" t="s">
        <v>1914</v>
      </c>
    </row>
    <row r="158" spans="1:24" s="37" customFormat="1" ht="21" hidden="1" x14ac:dyDescent="0.25">
      <c r="A158" s="77" t="s">
        <v>1</v>
      </c>
      <c r="B158" s="78" t="s">
        <v>29</v>
      </c>
      <c r="C158" s="78">
        <v>90</v>
      </c>
      <c r="D158" s="79" t="s">
        <v>5</v>
      </c>
      <c r="E158" s="79" t="s">
        <v>30</v>
      </c>
      <c r="F158" s="79" t="s">
        <v>1705</v>
      </c>
      <c r="G158" s="79" t="s">
        <v>27</v>
      </c>
      <c r="H158" s="81">
        <v>0.53125</v>
      </c>
      <c r="I158" s="79" t="s">
        <v>10</v>
      </c>
      <c r="J158" s="82">
        <v>45818</v>
      </c>
      <c r="K158" s="82">
        <v>45898</v>
      </c>
      <c r="L158" s="78">
        <f>IF(ISBLANK(DATA[[#This Row],[DISCHARGE DATE]]), "NO DATE", DATA[[#This Row],[DISCHARGE DATE]]-DATA[[#This Row],[ADMISSION DATE]]+1)</f>
        <v>81</v>
      </c>
      <c r="M158" s="83">
        <v>350</v>
      </c>
      <c r="N158" s="83">
        <v>1053</v>
      </c>
      <c r="O158" s="93" t="s">
        <v>538</v>
      </c>
      <c r="P158" s="93" t="s">
        <v>33</v>
      </c>
      <c r="Q158" s="84">
        <f>IF(DATA[[#This Row],[Column1]]="Normal", 13 * DATA[[#This Row],[STORAGE DAYS]], 20 * DATA[[#This Row],[STORAGE DAYS]])</f>
        <v>1053</v>
      </c>
      <c r="R158" s="84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 t="shared" si="2"/>
        <v>349</v>
      </c>
      <c r="U158" s="112">
        <v>2025</v>
      </c>
      <c r="V158" s="112" t="s">
        <v>1917</v>
      </c>
      <c r="W158" s="112">
        <v>2025</v>
      </c>
      <c r="X158" s="112" t="s">
        <v>1909</v>
      </c>
    </row>
    <row r="159" spans="1:24" s="37" customFormat="1" ht="21" hidden="1" x14ac:dyDescent="0.25">
      <c r="A159" s="77" t="s">
        <v>691</v>
      </c>
      <c r="B159" s="78" t="s">
        <v>692</v>
      </c>
      <c r="C159" s="78">
        <v>55</v>
      </c>
      <c r="D159" s="79" t="s">
        <v>4</v>
      </c>
      <c r="E159" s="79" t="s">
        <v>693</v>
      </c>
      <c r="F159" s="79" t="s">
        <v>1706</v>
      </c>
      <c r="G159" s="79" t="s">
        <v>27</v>
      </c>
      <c r="H159" s="81">
        <v>0.80208333333333337</v>
      </c>
      <c r="I159" s="79" t="s">
        <v>10</v>
      </c>
      <c r="J159" s="82">
        <v>45820</v>
      </c>
      <c r="K159" s="82">
        <v>45961</v>
      </c>
      <c r="L159" s="78">
        <f>IF(ISBLANK(DATA[[#This Row],[DISCHARGE DATE]]), "NO DATE", DATA[[#This Row],[DISCHARGE DATE]]-DATA[[#This Row],[ADMISSION DATE]]+1)</f>
        <v>142</v>
      </c>
      <c r="M159" s="83">
        <v>350</v>
      </c>
      <c r="N159" s="83">
        <v>1846</v>
      </c>
      <c r="O159" s="93" t="s">
        <v>482</v>
      </c>
      <c r="P159" s="93" t="s">
        <v>1165</v>
      </c>
      <c r="Q159" s="84">
        <f>IF(DATA[[#This Row],[Column1]]="Normal", 13 * DATA[[#This Row],[STORAGE DAYS]], 20 * DATA[[#This Row],[STORAGE DAYS]])</f>
        <v>1846</v>
      </c>
      <c r="R159" s="84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 t="shared" si="2"/>
        <v>349</v>
      </c>
      <c r="U159" s="112">
        <v>2025</v>
      </c>
      <c r="V159" s="112" t="s">
        <v>1917</v>
      </c>
      <c r="W159" s="112">
        <v>2025</v>
      </c>
      <c r="X159" s="112" t="s">
        <v>1914</v>
      </c>
    </row>
    <row r="160" spans="1:24" s="37" customFormat="1" ht="21" hidden="1" x14ac:dyDescent="0.25">
      <c r="A160" s="77" t="s">
        <v>1277</v>
      </c>
      <c r="B160" s="78" t="s">
        <v>1278</v>
      </c>
      <c r="C160" s="78">
        <v>52</v>
      </c>
      <c r="D160" s="79" t="s">
        <v>5</v>
      </c>
      <c r="E160" s="79" t="s">
        <v>1279</v>
      </c>
      <c r="F160" s="77" t="s">
        <v>1280</v>
      </c>
      <c r="G160" s="79" t="s">
        <v>26</v>
      </c>
      <c r="H160" s="81" t="s">
        <v>1281</v>
      </c>
      <c r="I160" s="79" t="s">
        <v>10</v>
      </c>
      <c r="J160" s="82">
        <v>45987</v>
      </c>
      <c r="K160" s="82">
        <v>46142</v>
      </c>
      <c r="L160" s="78">
        <f>IF(ISBLANK(DATA[[#This Row],[DISCHARGE DATE]]), "NO DATE", DATA[[#This Row],[DISCHARGE DATE]]-DATA[[#This Row],[ADMISSION DATE]]+1)</f>
        <v>156</v>
      </c>
      <c r="M160" s="83">
        <v>350</v>
      </c>
      <c r="N160" s="83">
        <v>2028</v>
      </c>
      <c r="O160" s="93" t="s">
        <v>1328</v>
      </c>
      <c r="P160" s="93">
        <v>281</v>
      </c>
      <c r="Q160" s="84">
        <f>IF(DATA[[#This Row],[Column1]]="Normal", 13 * DATA[[#This Row],[STORAGE DAYS]], 20 * DATA[[#This Row],[STORAGE DAYS]])</f>
        <v>2028</v>
      </c>
      <c r="R160" s="84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 t="shared" si="2"/>
        <v>349</v>
      </c>
      <c r="U160" s="112">
        <v>2025</v>
      </c>
      <c r="V160" s="112" t="s">
        <v>1917</v>
      </c>
      <c r="W160" s="112">
        <v>2026</v>
      </c>
      <c r="X160" s="112" t="s">
        <v>1913</v>
      </c>
    </row>
    <row r="161" spans="1:24" s="37" customFormat="1" ht="21" hidden="1" x14ac:dyDescent="0.25">
      <c r="A161" s="77" t="s">
        <v>697</v>
      </c>
      <c r="B161" s="78" t="s">
        <v>698</v>
      </c>
      <c r="C161" s="78">
        <v>50</v>
      </c>
      <c r="D161" s="79" t="s">
        <v>4</v>
      </c>
      <c r="E161" s="79" t="s">
        <v>699</v>
      </c>
      <c r="F161" s="79" t="s">
        <v>1707</v>
      </c>
      <c r="G161" s="79" t="s">
        <v>27</v>
      </c>
      <c r="H161" s="81">
        <v>0.45833333333333331</v>
      </c>
      <c r="I161" s="79" t="s">
        <v>12</v>
      </c>
      <c r="J161" s="82">
        <v>45824</v>
      </c>
      <c r="K161" s="82">
        <v>45898</v>
      </c>
      <c r="L161" s="78">
        <f>IF(ISBLANK(DATA[[#This Row],[DISCHARGE DATE]]), "NO DATE", DATA[[#This Row],[DISCHARGE DATE]]-DATA[[#This Row],[ADMISSION DATE]]+1)</f>
        <v>75</v>
      </c>
      <c r="M161" s="83">
        <v>350</v>
      </c>
      <c r="N161" s="83">
        <v>1500</v>
      </c>
      <c r="O161" s="93" t="s">
        <v>505</v>
      </c>
      <c r="P161" s="93" t="s">
        <v>700</v>
      </c>
      <c r="Q161" s="84">
        <f>IF(DATA[[#This Row],[Column1]]="Normal", 13 * DATA[[#This Row],[STORAGE DAYS]], 20 * DATA[[#This Row],[STORAGE DAYS]])</f>
        <v>1500</v>
      </c>
      <c r="R161" s="84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 t="shared" si="2"/>
        <v>349</v>
      </c>
      <c r="U161" s="112">
        <v>2025</v>
      </c>
      <c r="V161" s="112" t="s">
        <v>1917</v>
      </c>
      <c r="W161" s="112">
        <v>2025</v>
      </c>
      <c r="X161" s="112" t="s">
        <v>1909</v>
      </c>
    </row>
    <row r="162" spans="1:24" s="37" customFormat="1" ht="21" hidden="1" x14ac:dyDescent="0.25">
      <c r="A162" s="77" t="s">
        <v>701</v>
      </c>
      <c r="B162" s="78" t="s">
        <v>702</v>
      </c>
      <c r="C162" s="78">
        <v>74</v>
      </c>
      <c r="D162" s="79" t="s">
        <v>5</v>
      </c>
      <c r="E162" s="79" t="s">
        <v>703</v>
      </c>
      <c r="F162" s="79" t="s">
        <v>1708</v>
      </c>
      <c r="G162" s="79" t="s">
        <v>26</v>
      </c>
      <c r="H162" s="81">
        <v>0.35416666666666669</v>
      </c>
      <c r="I162" s="79" t="s">
        <v>10</v>
      </c>
      <c r="J162" s="82">
        <v>45827</v>
      </c>
      <c r="K162" s="82">
        <v>45864</v>
      </c>
      <c r="L162" s="78">
        <f>IF(ISBLANK(DATA[[#This Row],[DISCHARGE DATE]]), "NO DATE", DATA[[#This Row],[DISCHARGE DATE]]-DATA[[#This Row],[ADMISSION DATE]]+1)</f>
        <v>38</v>
      </c>
      <c r="M162" s="83">
        <v>350</v>
      </c>
      <c r="N162" s="83">
        <v>494</v>
      </c>
      <c r="O162" s="93" t="s">
        <v>600</v>
      </c>
      <c r="P162" s="93" t="s">
        <v>704</v>
      </c>
      <c r="Q162" s="84">
        <f>IF(DATA[[#This Row],[Column1]]="Normal", 13 * DATA[[#This Row],[STORAGE DAYS]], 20 * DATA[[#This Row],[STORAGE DAYS]])</f>
        <v>494</v>
      </c>
      <c r="R162" s="84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 t="shared" si="2"/>
        <v>349</v>
      </c>
      <c r="U162" s="112">
        <v>2025</v>
      </c>
      <c r="V162" s="112" t="s">
        <v>1917</v>
      </c>
      <c r="W162" s="112">
        <v>2025</v>
      </c>
      <c r="X162" s="112" t="s">
        <v>1908</v>
      </c>
    </row>
    <row r="163" spans="1:24" s="37" customFormat="1" ht="21" hidden="1" x14ac:dyDescent="0.25">
      <c r="A163" s="77" t="s">
        <v>705</v>
      </c>
      <c r="B163" s="78" t="s">
        <v>706</v>
      </c>
      <c r="C163" s="78">
        <v>60</v>
      </c>
      <c r="D163" s="79" t="s">
        <v>4</v>
      </c>
      <c r="E163" s="79" t="s">
        <v>707</v>
      </c>
      <c r="F163" s="79" t="s">
        <v>1709</v>
      </c>
      <c r="G163" s="79" t="s">
        <v>27</v>
      </c>
      <c r="H163" s="81">
        <v>0.4375</v>
      </c>
      <c r="I163" s="79" t="s">
        <v>10</v>
      </c>
      <c r="J163" s="82">
        <v>45827</v>
      </c>
      <c r="K163" s="82">
        <v>45933</v>
      </c>
      <c r="L163" s="78">
        <f>IF(ISBLANK(DATA[[#This Row],[DISCHARGE DATE]]), "NO DATE", DATA[[#This Row],[DISCHARGE DATE]]-DATA[[#This Row],[ADMISSION DATE]]+1)</f>
        <v>107</v>
      </c>
      <c r="M163" s="83">
        <v>350</v>
      </c>
      <c r="N163" s="83">
        <v>1391</v>
      </c>
      <c r="O163" s="93" t="s">
        <v>659</v>
      </c>
      <c r="P163" s="93" t="s">
        <v>826</v>
      </c>
      <c r="Q163" s="84">
        <f>IF(DATA[[#This Row],[Column1]]="Normal", 13 * DATA[[#This Row],[STORAGE DAYS]], 20 * DATA[[#This Row],[STORAGE DAYS]])</f>
        <v>1391</v>
      </c>
      <c r="R163" s="84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 t="shared" si="2"/>
        <v>349</v>
      </c>
      <c r="U163" s="112">
        <v>2025</v>
      </c>
      <c r="V163" s="112" t="s">
        <v>1917</v>
      </c>
      <c r="W163" s="112">
        <v>2025</v>
      </c>
      <c r="X163" s="112" t="s">
        <v>1914</v>
      </c>
    </row>
    <row r="164" spans="1:24" s="37" customFormat="1" ht="21" hidden="1" x14ac:dyDescent="0.25">
      <c r="A164" s="77" t="s">
        <v>708</v>
      </c>
      <c r="B164" s="78" t="s">
        <v>709</v>
      </c>
      <c r="C164" s="78">
        <v>55</v>
      </c>
      <c r="D164" s="79" t="s">
        <v>5</v>
      </c>
      <c r="E164" s="79" t="s">
        <v>710</v>
      </c>
      <c r="F164" s="79" t="s">
        <v>1710</v>
      </c>
      <c r="G164" s="79" t="s">
        <v>27</v>
      </c>
      <c r="H164" s="81">
        <v>0.52777777777777779</v>
      </c>
      <c r="I164" s="79" t="s">
        <v>10</v>
      </c>
      <c r="J164" s="82">
        <v>45827</v>
      </c>
      <c r="K164" s="82">
        <v>45832</v>
      </c>
      <c r="L164" s="78">
        <f>IF(ISBLANK(DATA[[#This Row],[DISCHARGE DATE]]), "NO DATE", DATA[[#This Row],[DISCHARGE DATE]]-DATA[[#This Row],[ADMISSION DATE]]+1)</f>
        <v>6</v>
      </c>
      <c r="M164" s="83">
        <v>350</v>
      </c>
      <c r="N164" s="83">
        <v>78</v>
      </c>
      <c r="O164" s="93" t="s">
        <v>640</v>
      </c>
      <c r="P164" s="93" t="s">
        <v>690</v>
      </c>
      <c r="Q164" s="84">
        <f>IF(DATA[[#This Row],[Column1]]="Normal", 13 * DATA[[#This Row],[STORAGE DAYS]], 20 * DATA[[#This Row],[STORAGE DAYS]])</f>
        <v>78</v>
      </c>
      <c r="R164" s="84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 t="shared" si="2"/>
        <v>349</v>
      </c>
      <c r="U164" s="112">
        <v>2025</v>
      </c>
      <c r="V164" s="112" t="s">
        <v>1917</v>
      </c>
      <c r="W164" s="112">
        <v>2025</v>
      </c>
      <c r="X164" s="112" t="s">
        <v>1917</v>
      </c>
    </row>
    <row r="165" spans="1:24" s="37" customFormat="1" ht="21" hidden="1" x14ac:dyDescent="0.25">
      <c r="A165" s="77" t="s">
        <v>711</v>
      </c>
      <c r="B165" s="78" t="s">
        <v>712</v>
      </c>
      <c r="C165" s="78">
        <v>42</v>
      </c>
      <c r="D165" s="79" t="s">
        <v>4</v>
      </c>
      <c r="E165" s="79" t="s">
        <v>713</v>
      </c>
      <c r="F165" s="79" t="s">
        <v>1711</v>
      </c>
      <c r="G165" s="79" t="s">
        <v>25</v>
      </c>
      <c r="H165" s="81">
        <v>0.60416666666666663</v>
      </c>
      <c r="I165" s="79" t="s">
        <v>10</v>
      </c>
      <c r="J165" s="82">
        <v>45827</v>
      </c>
      <c r="K165" s="82">
        <v>45842</v>
      </c>
      <c r="L165" s="78">
        <f>IF(ISBLANK(DATA[[#This Row],[DISCHARGE DATE]]), "NO DATE", DATA[[#This Row],[DISCHARGE DATE]]-DATA[[#This Row],[ADMISSION DATE]]+1)</f>
        <v>16</v>
      </c>
      <c r="M165" s="83">
        <v>350</v>
      </c>
      <c r="N165" s="83">
        <v>208</v>
      </c>
      <c r="O165" s="93" t="s">
        <v>477</v>
      </c>
      <c r="P165" s="93" t="s">
        <v>714</v>
      </c>
      <c r="Q165" s="84">
        <f>IF(DATA[[#This Row],[Column1]]="Normal", 13 * DATA[[#This Row],[STORAGE DAYS]], 20 * DATA[[#This Row],[STORAGE DAYS]])</f>
        <v>208</v>
      </c>
      <c r="R165" s="84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 t="shared" si="2"/>
        <v>349</v>
      </c>
      <c r="U165" s="112">
        <v>2025</v>
      </c>
      <c r="V165" s="112" t="s">
        <v>1917</v>
      </c>
      <c r="W165" s="112">
        <v>2025</v>
      </c>
      <c r="X165" s="112" t="s">
        <v>1908</v>
      </c>
    </row>
    <row r="166" spans="1:24" s="37" customFormat="1" ht="21" hidden="1" x14ac:dyDescent="0.25">
      <c r="A166" s="77" t="s">
        <v>715</v>
      </c>
      <c r="B166" s="78" t="s">
        <v>716</v>
      </c>
      <c r="C166" s="78">
        <v>72</v>
      </c>
      <c r="D166" s="79" t="s">
        <v>4</v>
      </c>
      <c r="E166" s="79" t="s">
        <v>717</v>
      </c>
      <c r="F166" s="79" t="s">
        <v>1712</v>
      </c>
      <c r="G166" s="79" t="s">
        <v>13</v>
      </c>
      <c r="H166" s="81">
        <v>0.54166666666666663</v>
      </c>
      <c r="I166" s="79" t="s">
        <v>10</v>
      </c>
      <c r="J166" s="82">
        <v>45830</v>
      </c>
      <c r="K166" s="82">
        <v>45961</v>
      </c>
      <c r="L166" s="78">
        <f>IF(ISBLANK(DATA[[#This Row],[DISCHARGE DATE]]), "NO DATE", DATA[[#This Row],[DISCHARGE DATE]]-DATA[[#This Row],[ADMISSION DATE]]+1)</f>
        <v>132</v>
      </c>
      <c r="M166" s="83">
        <v>350</v>
      </c>
      <c r="N166" s="83">
        <v>1612</v>
      </c>
      <c r="O166" s="93" t="s">
        <v>388</v>
      </c>
      <c r="P166" s="93" t="s">
        <v>1035</v>
      </c>
      <c r="Q166" s="84">
        <f>IF(DATA[[#This Row],[Column1]]="Normal", 13 * DATA[[#This Row],[STORAGE DAYS]], 20 * DATA[[#This Row],[STORAGE DAYS]])</f>
        <v>1716</v>
      </c>
      <c r="R166" s="84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 t="shared" si="2"/>
        <v>349</v>
      </c>
      <c r="U166" s="112">
        <v>2025</v>
      </c>
      <c r="V166" s="112" t="s">
        <v>1917</v>
      </c>
      <c r="W166" s="112">
        <v>2025</v>
      </c>
      <c r="X166" s="112" t="s">
        <v>1914</v>
      </c>
    </row>
    <row r="167" spans="1:24" s="37" customFormat="1" ht="21" hidden="1" x14ac:dyDescent="0.25">
      <c r="A167" s="77" t="s">
        <v>718</v>
      </c>
      <c r="B167" s="78" t="s">
        <v>719</v>
      </c>
      <c r="C167" s="78">
        <v>58</v>
      </c>
      <c r="D167" s="79" t="s">
        <v>4</v>
      </c>
      <c r="E167" s="79" t="s">
        <v>720</v>
      </c>
      <c r="F167" s="79" t="s">
        <v>1534</v>
      </c>
      <c r="G167" s="79" t="s">
        <v>27</v>
      </c>
      <c r="H167" s="81">
        <v>0.72916666666666663</v>
      </c>
      <c r="I167" s="79" t="s">
        <v>12</v>
      </c>
      <c r="J167" s="82">
        <v>45832</v>
      </c>
      <c r="K167" s="82">
        <v>45933</v>
      </c>
      <c r="L167" s="78">
        <f>IF(ISBLANK(DATA[[#This Row],[DISCHARGE DATE]]), "NO DATE", DATA[[#This Row],[DISCHARGE DATE]]-DATA[[#This Row],[ADMISSION DATE]]+1)</f>
        <v>102</v>
      </c>
      <c r="M167" s="83">
        <v>350</v>
      </c>
      <c r="N167" s="83">
        <v>2040</v>
      </c>
      <c r="O167" s="93" t="s">
        <v>496</v>
      </c>
      <c r="P167" s="93" t="s">
        <v>830</v>
      </c>
      <c r="Q167" s="84">
        <f>IF(DATA[[#This Row],[Column1]]="Normal", 13 * DATA[[#This Row],[STORAGE DAYS]], 20 * DATA[[#This Row],[STORAGE DAYS]])</f>
        <v>2040</v>
      </c>
      <c r="R167" s="84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 t="shared" si="2"/>
        <v>349</v>
      </c>
      <c r="U167" s="112">
        <v>2025</v>
      </c>
      <c r="V167" s="112" t="s">
        <v>1917</v>
      </c>
      <c r="W167" s="112">
        <v>2025</v>
      </c>
      <c r="X167" s="112" t="s">
        <v>1914</v>
      </c>
    </row>
    <row r="168" spans="1:24" s="37" customFormat="1" ht="21" hidden="1" x14ac:dyDescent="0.25">
      <c r="A168" s="77" t="s">
        <v>721</v>
      </c>
      <c r="B168" s="78" t="s">
        <v>722</v>
      </c>
      <c r="C168" s="78">
        <v>97</v>
      </c>
      <c r="D168" s="79" t="s">
        <v>4</v>
      </c>
      <c r="E168" s="79" t="s">
        <v>723</v>
      </c>
      <c r="F168" s="79" t="s">
        <v>1534</v>
      </c>
      <c r="G168" s="79" t="s">
        <v>27</v>
      </c>
      <c r="H168" s="81">
        <v>0.47916666666666669</v>
      </c>
      <c r="I168" s="79" t="s">
        <v>10</v>
      </c>
      <c r="J168" s="82">
        <v>45833</v>
      </c>
      <c r="K168" s="82">
        <v>45961</v>
      </c>
      <c r="L168" s="78">
        <f>IF(ISBLANK(DATA[[#This Row],[DISCHARGE DATE]]), "NO DATE", DATA[[#This Row],[DISCHARGE DATE]]-DATA[[#This Row],[ADMISSION DATE]]+1)</f>
        <v>129</v>
      </c>
      <c r="M168" s="83">
        <v>350</v>
      </c>
      <c r="N168" s="83">
        <v>1677</v>
      </c>
      <c r="O168" s="93" t="s">
        <v>329</v>
      </c>
      <c r="P168" s="93" t="s">
        <v>1155</v>
      </c>
      <c r="Q168" s="84">
        <f>IF(DATA[[#This Row],[Column1]]="Normal", 13 * DATA[[#This Row],[STORAGE DAYS]], 20 * DATA[[#This Row],[STORAGE DAYS]])</f>
        <v>1677</v>
      </c>
      <c r="R168" s="84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 t="shared" si="2"/>
        <v>349</v>
      </c>
      <c r="U168" s="112">
        <v>2025</v>
      </c>
      <c r="V168" s="112" t="s">
        <v>1917</v>
      </c>
      <c r="W168" s="112">
        <v>2025</v>
      </c>
      <c r="X168" s="112" t="s">
        <v>1914</v>
      </c>
    </row>
    <row r="169" spans="1:24" s="37" customFormat="1" ht="21" hidden="1" x14ac:dyDescent="0.25">
      <c r="A169" s="77" t="s">
        <v>724</v>
      </c>
      <c r="B169" s="78" t="s">
        <v>725</v>
      </c>
      <c r="C169" s="78">
        <v>82</v>
      </c>
      <c r="D169" s="79" t="s">
        <v>5</v>
      </c>
      <c r="E169" s="79" t="s">
        <v>726</v>
      </c>
      <c r="F169" s="79" t="s">
        <v>1713</v>
      </c>
      <c r="G169" s="79" t="s">
        <v>26</v>
      </c>
      <c r="H169" s="81">
        <v>0.79166666666666663</v>
      </c>
      <c r="I169" s="79" t="s">
        <v>10</v>
      </c>
      <c r="J169" s="82">
        <v>45833</v>
      </c>
      <c r="K169" s="82">
        <v>45960</v>
      </c>
      <c r="L169" s="78">
        <f>IF(ISBLANK(DATA[[#This Row],[DISCHARGE DATE]]), "NO DATE", DATA[[#This Row],[DISCHARGE DATE]]-DATA[[#This Row],[ADMISSION DATE]]+1)</f>
        <v>128</v>
      </c>
      <c r="M169" s="83">
        <v>350</v>
      </c>
      <c r="N169" s="83">
        <v>1664</v>
      </c>
      <c r="O169" s="93" t="s">
        <v>409</v>
      </c>
      <c r="P169" s="93" t="s">
        <v>1024</v>
      </c>
      <c r="Q169" s="84">
        <f>IF(DATA[[#This Row],[Column1]]="Normal", 13 * DATA[[#This Row],[STORAGE DAYS]], 20 * DATA[[#This Row],[STORAGE DAYS]])</f>
        <v>1664</v>
      </c>
      <c r="R169" s="84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 t="shared" si="2"/>
        <v>349</v>
      </c>
      <c r="U169" s="112">
        <v>2025</v>
      </c>
      <c r="V169" s="112" t="s">
        <v>1917</v>
      </c>
      <c r="W169" s="112">
        <v>2025</v>
      </c>
      <c r="X169" s="112" t="s">
        <v>1914</v>
      </c>
    </row>
    <row r="170" spans="1:24" s="37" customFormat="1" ht="21" hidden="1" x14ac:dyDescent="0.25">
      <c r="A170" s="77" t="s">
        <v>727</v>
      </c>
      <c r="B170" s="78" t="s">
        <v>728</v>
      </c>
      <c r="C170" s="78">
        <v>50</v>
      </c>
      <c r="D170" s="79" t="s">
        <v>5</v>
      </c>
      <c r="E170" s="79" t="s">
        <v>729</v>
      </c>
      <c r="F170" s="79" t="s">
        <v>1714</v>
      </c>
      <c r="G170" s="79" t="s">
        <v>25</v>
      </c>
      <c r="H170" s="81">
        <v>0.66666666666666663</v>
      </c>
      <c r="I170" s="79" t="s">
        <v>10</v>
      </c>
      <c r="J170" s="82">
        <v>45837</v>
      </c>
      <c r="K170" s="82">
        <v>45933</v>
      </c>
      <c r="L170" s="78">
        <f>IF(ISBLANK(DATA[[#This Row],[DISCHARGE DATE]]), "NO DATE", DATA[[#This Row],[DISCHARGE DATE]]-DATA[[#This Row],[ADMISSION DATE]]+1)</f>
        <v>97</v>
      </c>
      <c r="M170" s="83">
        <v>350</v>
      </c>
      <c r="N170" s="83">
        <v>1261</v>
      </c>
      <c r="O170" s="93" t="s">
        <v>704</v>
      </c>
      <c r="P170" s="93" t="s">
        <v>984</v>
      </c>
      <c r="Q170" s="84">
        <f>IF(DATA[[#This Row],[Column1]]="Normal", 13 * DATA[[#This Row],[STORAGE DAYS]], 20 * DATA[[#This Row],[STORAGE DAYS]])</f>
        <v>1261</v>
      </c>
      <c r="R170" s="84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 t="shared" si="2"/>
        <v>349</v>
      </c>
      <c r="U170" s="112">
        <v>2025</v>
      </c>
      <c r="V170" s="112" t="s">
        <v>1917</v>
      </c>
      <c r="W170" s="112">
        <v>2025</v>
      </c>
      <c r="X170" s="112" t="s">
        <v>1914</v>
      </c>
    </row>
    <row r="171" spans="1:24" s="37" customFormat="1" ht="21" hidden="1" x14ac:dyDescent="0.25">
      <c r="A171" s="77" t="s">
        <v>730</v>
      </c>
      <c r="B171" s="78" t="s">
        <v>731</v>
      </c>
      <c r="C171" s="78">
        <v>70</v>
      </c>
      <c r="D171" s="79" t="s">
        <v>4</v>
      </c>
      <c r="E171" s="79" t="s">
        <v>161</v>
      </c>
      <c r="F171" s="79" t="s">
        <v>1715</v>
      </c>
      <c r="G171" s="79" t="s">
        <v>26</v>
      </c>
      <c r="H171" s="81">
        <v>0.79166666666666663</v>
      </c>
      <c r="I171" s="79" t="s">
        <v>10</v>
      </c>
      <c r="J171" s="82">
        <v>45836</v>
      </c>
      <c r="K171" s="82">
        <v>45961</v>
      </c>
      <c r="L171" s="78">
        <f>IF(ISBLANK(DATA[[#This Row],[DISCHARGE DATE]]), "NO DATE", DATA[[#This Row],[DISCHARGE DATE]]-DATA[[#This Row],[ADMISSION DATE]]+1)</f>
        <v>126</v>
      </c>
      <c r="M171" s="83">
        <v>350</v>
      </c>
      <c r="N171" s="83">
        <v>1638</v>
      </c>
      <c r="O171" s="93" t="s">
        <v>714</v>
      </c>
      <c r="P171" s="93" t="s">
        <v>1121</v>
      </c>
      <c r="Q171" s="84">
        <f>IF(DATA[[#This Row],[Column1]]="Normal", 13 * DATA[[#This Row],[STORAGE DAYS]], 20 * DATA[[#This Row],[STORAGE DAYS]])</f>
        <v>1638</v>
      </c>
      <c r="R171" s="84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 t="shared" si="2"/>
        <v>349</v>
      </c>
      <c r="U171" s="112">
        <v>2025</v>
      </c>
      <c r="V171" s="112" t="s">
        <v>1917</v>
      </c>
      <c r="W171" s="112">
        <v>2025</v>
      </c>
      <c r="X171" s="112" t="s">
        <v>1914</v>
      </c>
    </row>
    <row r="172" spans="1:24" s="37" customFormat="1" ht="21" hidden="1" x14ac:dyDescent="0.25">
      <c r="A172" s="77" t="s">
        <v>732</v>
      </c>
      <c r="B172" s="78" t="s">
        <v>733</v>
      </c>
      <c r="C172" s="78">
        <v>70</v>
      </c>
      <c r="D172" s="79" t="s">
        <v>4</v>
      </c>
      <c r="E172" s="79" t="s">
        <v>734</v>
      </c>
      <c r="F172" s="79" t="s">
        <v>1716</v>
      </c>
      <c r="G172" s="79" t="s">
        <v>26</v>
      </c>
      <c r="H172" s="81">
        <v>0.6875</v>
      </c>
      <c r="I172" s="79" t="s">
        <v>12</v>
      </c>
      <c r="J172" s="82">
        <v>45838</v>
      </c>
      <c r="K172" s="82">
        <v>45961</v>
      </c>
      <c r="L172" s="78">
        <f>IF(ISBLANK(DATA[[#This Row],[DISCHARGE DATE]]), "NO DATE", DATA[[#This Row],[DISCHARGE DATE]]-DATA[[#This Row],[ADMISSION DATE]]+1)</f>
        <v>124</v>
      </c>
      <c r="M172" s="83">
        <v>350</v>
      </c>
      <c r="N172" s="83">
        <v>2480</v>
      </c>
      <c r="O172" s="93" t="s">
        <v>565</v>
      </c>
      <c r="P172" s="93" t="s">
        <v>1127</v>
      </c>
      <c r="Q172" s="84">
        <f>IF(DATA[[#This Row],[Column1]]="Normal", 13 * DATA[[#This Row],[STORAGE DAYS]], 20 * DATA[[#This Row],[STORAGE DAYS]])</f>
        <v>2480</v>
      </c>
      <c r="R172" s="84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 t="shared" si="2"/>
        <v>349</v>
      </c>
      <c r="U172" s="112">
        <v>2025</v>
      </c>
      <c r="V172" s="112" t="s">
        <v>1917</v>
      </c>
      <c r="W172" s="112">
        <v>2025</v>
      </c>
      <c r="X172" s="112" t="s">
        <v>1914</v>
      </c>
    </row>
    <row r="173" spans="1:24" s="37" customFormat="1" ht="21" hidden="1" x14ac:dyDescent="0.25">
      <c r="A173" s="77" t="s">
        <v>735</v>
      </c>
      <c r="B173" s="78" t="s">
        <v>736</v>
      </c>
      <c r="C173" s="78">
        <v>41</v>
      </c>
      <c r="D173" s="79" t="s">
        <v>5</v>
      </c>
      <c r="E173" s="79" t="s">
        <v>307</v>
      </c>
      <c r="F173" s="79" t="s">
        <v>1717</v>
      </c>
      <c r="G173" s="79" t="s">
        <v>27</v>
      </c>
      <c r="H173" s="81">
        <v>0.5</v>
      </c>
      <c r="I173" s="79" t="s">
        <v>10</v>
      </c>
      <c r="J173" s="82">
        <v>45839</v>
      </c>
      <c r="K173" s="82">
        <v>45898</v>
      </c>
      <c r="L173" s="78">
        <f>IF(ISBLANK(DATA[[#This Row],[DISCHARGE DATE]]), "NO DATE", DATA[[#This Row],[DISCHARGE DATE]]-DATA[[#This Row],[ADMISSION DATE]]+1)</f>
        <v>60</v>
      </c>
      <c r="M173" s="83">
        <v>350</v>
      </c>
      <c r="N173" s="83">
        <v>780</v>
      </c>
      <c r="O173" s="93" t="s">
        <v>528</v>
      </c>
      <c r="P173" s="93" t="s">
        <v>737</v>
      </c>
      <c r="Q173" s="84">
        <f>IF(DATA[[#This Row],[Column1]]="Normal", 13 * DATA[[#This Row],[STORAGE DAYS]], 20 * DATA[[#This Row],[STORAGE DAYS]])</f>
        <v>780</v>
      </c>
      <c r="R173" s="84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 t="shared" si="2"/>
        <v>349</v>
      </c>
      <c r="U173" s="112">
        <v>2025</v>
      </c>
      <c r="V173" s="112" t="s">
        <v>1908</v>
      </c>
      <c r="W173" s="112">
        <v>2025</v>
      </c>
      <c r="X173" s="112" t="s">
        <v>1909</v>
      </c>
    </row>
    <row r="174" spans="1:24" s="37" customFormat="1" ht="21" hidden="1" x14ac:dyDescent="0.25">
      <c r="A174" s="77" t="s">
        <v>738</v>
      </c>
      <c r="B174" s="78" t="s">
        <v>739</v>
      </c>
      <c r="C174" s="78">
        <v>90</v>
      </c>
      <c r="D174" s="79" t="s">
        <v>4</v>
      </c>
      <c r="E174" s="79" t="s">
        <v>740</v>
      </c>
      <c r="F174" s="79" t="s">
        <v>1718</v>
      </c>
      <c r="G174" s="79" t="s">
        <v>27</v>
      </c>
      <c r="H174" s="81">
        <v>0.58333333333333337</v>
      </c>
      <c r="I174" s="79" t="s">
        <v>10</v>
      </c>
      <c r="J174" s="82">
        <v>45847</v>
      </c>
      <c r="K174" s="82">
        <v>45989</v>
      </c>
      <c r="L174" s="78">
        <f>IF(ISBLANK(DATA[[#This Row],[DISCHARGE DATE]]), "NO DATE", DATA[[#This Row],[DISCHARGE DATE]]-DATA[[#This Row],[ADMISSION DATE]]+1)</f>
        <v>143</v>
      </c>
      <c r="M174" s="83">
        <v>350</v>
      </c>
      <c r="N174" s="83">
        <v>1859</v>
      </c>
      <c r="O174" s="93" t="s">
        <v>741</v>
      </c>
      <c r="P174" s="93" t="s">
        <v>1191</v>
      </c>
      <c r="Q174" s="84">
        <f>IF(DATA[[#This Row],[Column1]]="Normal", 13 * DATA[[#This Row],[STORAGE DAYS]], 20 * DATA[[#This Row],[STORAGE DAYS]])</f>
        <v>1859</v>
      </c>
      <c r="R174" s="84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 t="shared" si="2"/>
        <v>349</v>
      </c>
      <c r="U174" s="112">
        <v>2025</v>
      </c>
      <c r="V174" s="112" t="s">
        <v>1908</v>
      </c>
      <c r="W174" s="112">
        <v>2025</v>
      </c>
      <c r="X174" s="112" t="s">
        <v>1910</v>
      </c>
    </row>
    <row r="175" spans="1:24" s="37" customFormat="1" ht="21" hidden="1" x14ac:dyDescent="0.25">
      <c r="A175" s="77" t="s">
        <v>694</v>
      </c>
      <c r="B175" s="78" t="s">
        <v>695</v>
      </c>
      <c r="C175" s="78">
        <v>87</v>
      </c>
      <c r="D175" s="79" t="s">
        <v>4</v>
      </c>
      <c r="E175" s="79" t="s">
        <v>494</v>
      </c>
      <c r="F175" s="79" t="s">
        <v>1609</v>
      </c>
      <c r="G175" s="79" t="s">
        <v>27</v>
      </c>
      <c r="H175" s="81">
        <v>0.56944444444444442</v>
      </c>
      <c r="I175" s="79" t="s">
        <v>10</v>
      </c>
      <c r="J175" s="82">
        <v>45822</v>
      </c>
      <c r="K175" s="82">
        <v>46143</v>
      </c>
      <c r="L175" s="78">
        <f>IF(ISBLANK(DATA[[#This Row],[DISCHARGE DATE]]), "NO DATE", DATA[[#This Row],[DISCHARGE DATE]]-DATA[[#This Row],[ADMISSION DATE]]+1)</f>
        <v>322</v>
      </c>
      <c r="M175" s="83">
        <v>350</v>
      </c>
      <c r="N175" s="83">
        <v>4186</v>
      </c>
      <c r="O175" s="93" t="s">
        <v>696</v>
      </c>
      <c r="P175" s="93">
        <v>294</v>
      </c>
      <c r="Q175" s="84">
        <f>IF(DATA[[#This Row],[Column1]]="Normal", 13 * DATA[[#This Row],[STORAGE DAYS]], 20 * DATA[[#This Row],[STORAGE DAYS]])</f>
        <v>4186</v>
      </c>
      <c r="R175" s="84">
        <f>DATA[[#This Row],[COLDROOM FEE]]-DATA[[#This Row],[STORAGE FEE]]</f>
        <v>0</v>
      </c>
      <c r="S175" s="149" t="str">
        <f>IF(ISBLANK(DATA[[#This Row],[COLDROOM RECEIPT]]), "IN CUSTODY", "DISCHARGED")</f>
        <v>DISCHARGED</v>
      </c>
      <c r="T175" s="36">
        <f t="shared" si="2"/>
        <v>349</v>
      </c>
      <c r="U175" s="112">
        <v>2025</v>
      </c>
      <c r="V175" s="112" t="s">
        <v>1908</v>
      </c>
      <c r="W175" s="112">
        <v>2026</v>
      </c>
      <c r="X175" s="112" t="s">
        <v>1913</v>
      </c>
    </row>
    <row r="176" spans="1:24" s="37" customFormat="1" ht="21" hidden="1" x14ac:dyDescent="0.25">
      <c r="A176" s="77" t="s">
        <v>744</v>
      </c>
      <c r="B176" s="78" t="s">
        <v>745</v>
      </c>
      <c r="C176" s="78">
        <v>53</v>
      </c>
      <c r="D176" s="79" t="s">
        <v>4</v>
      </c>
      <c r="E176" s="79" t="s">
        <v>746</v>
      </c>
      <c r="F176" s="79" t="s">
        <v>1719</v>
      </c>
      <c r="G176" s="79" t="s">
        <v>25</v>
      </c>
      <c r="H176" s="81">
        <v>0.58333333333333337</v>
      </c>
      <c r="I176" s="79" t="s">
        <v>10</v>
      </c>
      <c r="J176" s="82">
        <v>45851</v>
      </c>
      <c r="K176" s="82">
        <v>45933</v>
      </c>
      <c r="L176" s="78">
        <f>IF(ISBLANK(DATA[[#This Row],[DISCHARGE DATE]]), "NO DATE", DATA[[#This Row],[DISCHARGE DATE]]-DATA[[#This Row],[ADMISSION DATE]]+1)</f>
        <v>83</v>
      </c>
      <c r="M176" s="83">
        <v>350</v>
      </c>
      <c r="N176" s="83">
        <v>1079</v>
      </c>
      <c r="O176" s="93" t="s">
        <v>427</v>
      </c>
      <c r="P176" s="93" t="s">
        <v>989</v>
      </c>
      <c r="Q176" s="84">
        <f>IF(DATA[[#This Row],[Column1]]="Normal", 13 * DATA[[#This Row],[STORAGE DAYS]], 20 * DATA[[#This Row],[STORAGE DAYS]])</f>
        <v>1079</v>
      </c>
      <c r="R176" s="84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 t="shared" si="2"/>
        <v>349</v>
      </c>
      <c r="U176" s="112">
        <v>2025</v>
      </c>
      <c r="V176" s="112" t="s">
        <v>1908</v>
      </c>
      <c r="W176" s="112">
        <v>2025</v>
      </c>
      <c r="X176" s="112" t="s">
        <v>1914</v>
      </c>
    </row>
    <row r="177" spans="1:24" s="37" customFormat="1" ht="21" hidden="1" x14ac:dyDescent="0.25">
      <c r="A177" s="77" t="s">
        <v>747</v>
      </c>
      <c r="B177" s="78" t="s">
        <v>748</v>
      </c>
      <c r="C177" s="78">
        <v>60</v>
      </c>
      <c r="D177" s="79" t="s">
        <v>5</v>
      </c>
      <c r="E177" s="79" t="s">
        <v>749</v>
      </c>
      <c r="F177" s="79" t="s">
        <v>1720</v>
      </c>
      <c r="G177" s="79" t="s">
        <v>25</v>
      </c>
      <c r="H177" s="81">
        <v>0.71944444444444444</v>
      </c>
      <c r="I177" s="79" t="s">
        <v>10</v>
      </c>
      <c r="J177" s="82">
        <v>45855</v>
      </c>
      <c r="K177" s="82">
        <v>45933</v>
      </c>
      <c r="L177" s="78">
        <f>IF(ISBLANK(DATA[[#This Row],[DISCHARGE DATE]]), "NO DATE", DATA[[#This Row],[DISCHARGE DATE]]-DATA[[#This Row],[ADMISSION DATE]]+1)</f>
        <v>79</v>
      </c>
      <c r="M177" s="83">
        <v>350</v>
      </c>
      <c r="N177" s="83">
        <v>1027</v>
      </c>
      <c r="O177" s="93" t="s">
        <v>628</v>
      </c>
      <c r="P177" s="93" t="s">
        <v>1009</v>
      </c>
      <c r="Q177" s="84">
        <f>IF(DATA[[#This Row],[Column1]]="Normal", 13 * DATA[[#This Row],[STORAGE DAYS]], 20 * DATA[[#This Row],[STORAGE DAYS]])</f>
        <v>1027</v>
      </c>
      <c r="R177" s="84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 t="shared" si="2"/>
        <v>349</v>
      </c>
      <c r="U177" s="112">
        <v>2025</v>
      </c>
      <c r="V177" s="112" t="s">
        <v>1908</v>
      </c>
      <c r="W177" s="112">
        <v>2025</v>
      </c>
      <c r="X177" s="112" t="s">
        <v>1914</v>
      </c>
    </row>
    <row r="178" spans="1:24" s="37" customFormat="1" ht="21" hidden="1" x14ac:dyDescent="0.25">
      <c r="A178" s="77" t="s">
        <v>750</v>
      </c>
      <c r="B178" s="78" t="s">
        <v>1017</v>
      </c>
      <c r="C178" s="78">
        <v>47</v>
      </c>
      <c r="D178" s="79" t="s">
        <v>4</v>
      </c>
      <c r="E178" s="79" t="s">
        <v>751</v>
      </c>
      <c r="F178" s="79" t="s">
        <v>1721</v>
      </c>
      <c r="G178" s="79" t="s">
        <v>27</v>
      </c>
      <c r="H178" s="81">
        <v>0.33333333333333331</v>
      </c>
      <c r="I178" s="79" t="s">
        <v>12</v>
      </c>
      <c r="J178" s="82">
        <v>45857</v>
      </c>
      <c r="K178" s="82">
        <v>45933</v>
      </c>
      <c r="L178" s="78">
        <f>IF(ISBLANK(DATA[[#This Row],[DISCHARGE DATE]]), "NO DATE", DATA[[#This Row],[DISCHARGE DATE]]-DATA[[#This Row],[ADMISSION DATE]]+1)</f>
        <v>77</v>
      </c>
      <c r="M178" s="83">
        <v>350</v>
      </c>
      <c r="N178" s="83">
        <v>1540</v>
      </c>
      <c r="O178" s="93" t="s">
        <v>752</v>
      </c>
      <c r="P178" s="93" t="s">
        <v>1003</v>
      </c>
      <c r="Q178" s="84">
        <f>IF(DATA[[#This Row],[Column1]]="Normal", 13 * DATA[[#This Row],[STORAGE DAYS]], 20 * DATA[[#This Row],[STORAGE DAYS]])</f>
        <v>1540</v>
      </c>
      <c r="R178" s="84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 t="shared" si="2"/>
        <v>349</v>
      </c>
      <c r="U178" s="112">
        <v>2025</v>
      </c>
      <c r="V178" s="112" t="s">
        <v>1908</v>
      </c>
      <c r="W178" s="112">
        <v>2025</v>
      </c>
      <c r="X178" s="112" t="s">
        <v>1914</v>
      </c>
    </row>
    <row r="179" spans="1:24" s="37" customFormat="1" ht="21" hidden="1" x14ac:dyDescent="0.25">
      <c r="A179" s="77" t="s">
        <v>753</v>
      </c>
      <c r="B179" s="78" t="s">
        <v>754</v>
      </c>
      <c r="C179" s="78">
        <v>42</v>
      </c>
      <c r="D179" s="79" t="s">
        <v>5</v>
      </c>
      <c r="E179" s="79" t="s">
        <v>755</v>
      </c>
      <c r="F179" s="79" t="s">
        <v>1722</v>
      </c>
      <c r="G179" s="79" t="s">
        <v>26</v>
      </c>
      <c r="H179" s="81">
        <v>0.97222222222222221</v>
      </c>
      <c r="I179" s="79" t="s">
        <v>12</v>
      </c>
      <c r="J179" s="82">
        <v>45856</v>
      </c>
      <c r="K179" s="82">
        <v>45919</v>
      </c>
      <c r="L179" s="78">
        <f>IF(ISBLANK(DATA[[#This Row],[DISCHARGE DATE]]), "NO DATE", DATA[[#This Row],[DISCHARGE DATE]]-DATA[[#This Row],[ADMISSION DATE]]+1)</f>
        <v>64</v>
      </c>
      <c r="M179" s="83">
        <v>350</v>
      </c>
      <c r="N179" s="83">
        <v>1280</v>
      </c>
      <c r="O179" s="93" t="s">
        <v>469</v>
      </c>
      <c r="P179" s="93" t="s">
        <v>810</v>
      </c>
      <c r="Q179" s="84">
        <f>IF(DATA[[#This Row],[Column1]]="Normal", 13 * DATA[[#This Row],[STORAGE DAYS]], 20 * DATA[[#This Row],[STORAGE DAYS]])</f>
        <v>1280</v>
      </c>
      <c r="R179" s="84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 t="shared" si="2"/>
        <v>349</v>
      </c>
      <c r="U179" s="112">
        <v>2025</v>
      </c>
      <c r="V179" s="112" t="s">
        <v>1908</v>
      </c>
      <c r="W179" s="112">
        <v>2025</v>
      </c>
      <c r="X179" s="112" t="s">
        <v>1911</v>
      </c>
    </row>
    <row r="180" spans="1:24" s="37" customFormat="1" ht="21" hidden="1" x14ac:dyDescent="0.25">
      <c r="A180" s="77" t="s">
        <v>756</v>
      </c>
      <c r="B180" s="78" t="s">
        <v>757</v>
      </c>
      <c r="C180" s="78">
        <v>31</v>
      </c>
      <c r="D180" s="79" t="s">
        <v>5</v>
      </c>
      <c r="E180" s="79" t="s">
        <v>758</v>
      </c>
      <c r="F180" s="79" t="s">
        <v>1723</v>
      </c>
      <c r="G180" s="79" t="s">
        <v>15</v>
      </c>
      <c r="H180" s="81">
        <v>0.41388888888888886</v>
      </c>
      <c r="I180" s="79" t="s">
        <v>10</v>
      </c>
      <c r="J180" s="82">
        <v>45858</v>
      </c>
      <c r="K180" s="82">
        <v>45870</v>
      </c>
      <c r="L180" s="78">
        <f>IF(ISBLANK(DATA[[#This Row],[DISCHARGE DATE]]), "NO DATE", DATA[[#This Row],[DISCHARGE DATE]]-DATA[[#This Row],[ADMISSION DATE]]+1)</f>
        <v>13</v>
      </c>
      <c r="M180" s="83">
        <v>350</v>
      </c>
      <c r="N180" s="83">
        <v>169</v>
      </c>
      <c r="O180" s="93" t="s">
        <v>556</v>
      </c>
      <c r="P180" s="93" t="s">
        <v>741</v>
      </c>
      <c r="Q180" s="84">
        <f>IF(DATA[[#This Row],[Column1]]="Normal", 13 * DATA[[#This Row],[STORAGE DAYS]], 20 * DATA[[#This Row],[STORAGE DAYS]])</f>
        <v>169</v>
      </c>
      <c r="R180" s="84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 t="shared" si="2"/>
        <v>349</v>
      </c>
      <c r="U180" s="112">
        <v>2025</v>
      </c>
      <c r="V180" s="112" t="s">
        <v>1908</v>
      </c>
      <c r="W180" s="112">
        <v>2025</v>
      </c>
      <c r="X180" s="112" t="s">
        <v>1909</v>
      </c>
    </row>
    <row r="181" spans="1:24" s="37" customFormat="1" ht="21" hidden="1" x14ac:dyDescent="0.25">
      <c r="A181" s="77" t="s">
        <v>759</v>
      </c>
      <c r="B181" s="78" t="s">
        <v>760</v>
      </c>
      <c r="C181" s="78">
        <v>46</v>
      </c>
      <c r="D181" s="79" t="s">
        <v>4</v>
      </c>
      <c r="E181" s="79" t="s">
        <v>761</v>
      </c>
      <c r="F181" s="79" t="s">
        <v>1724</v>
      </c>
      <c r="G181" s="79" t="s">
        <v>27</v>
      </c>
      <c r="H181" s="81">
        <v>0.75</v>
      </c>
      <c r="I181" s="79" t="s">
        <v>10</v>
      </c>
      <c r="J181" s="82">
        <v>45857</v>
      </c>
      <c r="K181" s="82">
        <v>45961</v>
      </c>
      <c r="L181" s="78">
        <f>IF(ISBLANK(DATA[[#This Row],[DISCHARGE DATE]]), "NO DATE", DATA[[#This Row],[DISCHARGE DATE]]-DATA[[#This Row],[ADMISSION DATE]]+1)</f>
        <v>105</v>
      </c>
      <c r="M181" s="83">
        <v>350</v>
      </c>
      <c r="N181" s="83">
        <v>1365</v>
      </c>
      <c r="O181" s="93" t="s">
        <v>623</v>
      </c>
      <c r="P181" s="93" t="s">
        <v>1102</v>
      </c>
      <c r="Q181" s="84">
        <f>IF(DATA[[#This Row],[Column1]]="Normal", 13 * DATA[[#This Row],[STORAGE DAYS]], 20 * DATA[[#This Row],[STORAGE DAYS]])</f>
        <v>1365</v>
      </c>
      <c r="R181" s="84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 t="shared" si="2"/>
        <v>349</v>
      </c>
      <c r="U181" s="112">
        <v>2025</v>
      </c>
      <c r="V181" s="112" t="s">
        <v>1908</v>
      </c>
      <c r="W181" s="112">
        <v>2025</v>
      </c>
      <c r="X181" s="112" t="s">
        <v>1914</v>
      </c>
    </row>
    <row r="182" spans="1:24" s="37" customFormat="1" ht="21" hidden="1" x14ac:dyDescent="0.25">
      <c r="A182" s="77" t="s">
        <v>762</v>
      </c>
      <c r="B182" s="78" t="s">
        <v>1016</v>
      </c>
      <c r="C182" s="78">
        <v>45</v>
      </c>
      <c r="D182" s="79" t="s">
        <v>5</v>
      </c>
      <c r="E182" s="79" t="s">
        <v>763</v>
      </c>
      <c r="F182" s="79" t="s">
        <v>1725</v>
      </c>
      <c r="G182" s="79" t="s">
        <v>26</v>
      </c>
      <c r="H182" s="81">
        <v>0.34513888888888888</v>
      </c>
      <c r="I182" s="79" t="s">
        <v>12</v>
      </c>
      <c r="J182" s="82">
        <v>45860</v>
      </c>
      <c r="K182" s="82">
        <v>45954</v>
      </c>
      <c r="L182" s="78">
        <f>IF(ISBLANK(DATA[[#This Row],[DISCHARGE DATE]]), "NO DATE", DATA[[#This Row],[DISCHARGE DATE]]-DATA[[#This Row],[ADMISSION DATE]]+1)</f>
        <v>95</v>
      </c>
      <c r="M182" s="83">
        <v>350</v>
      </c>
      <c r="N182" s="83">
        <v>1900</v>
      </c>
      <c r="O182" s="93" t="s">
        <v>654</v>
      </c>
      <c r="P182" s="93" t="s">
        <v>1047</v>
      </c>
      <c r="Q182" s="84">
        <f>IF(DATA[[#This Row],[Column1]]="Normal", 13 * DATA[[#This Row],[STORAGE DAYS]], 20 * DATA[[#This Row],[STORAGE DAYS]])</f>
        <v>1900</v>
      </c>
      <c r="R182" s="84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 t="shared" si="2"/>
        <v>349</v>
      </c>
      <c r="U182" s="112">
        <v>2025</v>
      </c>
      <c r="V182" s="112" t="s">
        <v>1908</v>
      </c>
      <c r="W182" s="112">
        <v>2025</v>
      </c>
      <c r="X182" s="112" t="s">
        <v>1914</v>
      </c>
    </row>
    <row r="183" spans="1:24" s="37" customFormat="1" ht="21" hidden="1" x14ac:dyDescent="0.25">
      <c r="A183" s="77" t="s">
        <v>764</v>
      </c>
      <c r="B183" s="78" t="s">
        <v>765</v>
      </c>
      <c r="C183" s="78">
        <v>35</v>
      </c>
      <c r="D183" s="79" t="s">
        <v>4</v>
      </c>
      <c r="E183" s="79" t="s">
        <v>766</v>
      </c>
      <c r="F183" s="79" t="s">
        <v>1726</v>
      </c>
      <c r="G183" s="79" t="s">
        <v>23</v>
      </c>
      <c r="H183" s="81">
        <v>0.6958333333333333</v>
      </c>
      <c r="I183" s="79" t="s">
        <v>12</v>
      </c>
      <c r="J183" s="82">
        <v>45861</v>
      </c>
      <c r="K183" s="82">
        <v>45898</v>
      </c>
      <c r="L183" s="78">
        <f>IF(ISBLANK(DATA[[#This Row],[DISCHARGE DATE]]), "NO DATE", DATA[[#This Row],[DISCHARGE DATE]]-DATA[[#This Row],[ADMISSION DATE]]+1)</f>
        <v>38</v>
      </c>
      <c r="M183" s="83">
        <v>350</v>
      </c>
      <c r="N183" s="83">
        <v>760</v>
      </c>
      <c r="O183" s="93" t="s">
        <v>422</v>
      </c>
      <c r="P183" s="93" t="s">
        <v>767</v>
      </c>
      <c r="Q183" s="84">
        <f>IF(DATA[[#This Row],[Column1]]="Normal", 13 * DATA[[#This Row],[STORAGE DAYS]], 20 * DATA[[#This Row],[STORAGE DAYS]])</f>
        <v>760</v>
      </c>
      <c r="R183" s="84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 t="shared" si="2"/>
        <v>349</v>
      </c>
      <c r="U183" s="112">
        <v>2025</v>
      </c>
      <c r="V183" s="112" t="s">
        <v>1908</v>
      </c>
      <c r="W183" s="112">
        <v>2025</v>
      </c>
      <c r="X183" s="112" t="s">
        <v>1909</v>
      </c>
    </row>
    <row r="184" spans="1:24" s="37" customFormat="1" ht="18" hidden="1" customHeight="1" x14ac:dyDescent="0.25">
      <c r="A184" s="77" t="s">
        <v>768</v>
      </c>
      <c r="B184" s="78" t="s">
        <v>769</v>
      </c>
      <c r="C184" s="78">
        <v>54</v>
      </c>
      <c r="D184" s="79" t="s">
        <v>5</v>
      </c>
      <c r="E184" s="79" t="s">
        <v>770</v>
      </c>
      <c r="F184" s="79" t="s">
        <v>1727</v>
      </c>
      <c r="G184" s="79" t="s">
        <v>26</v>
      </c>
      <c r="H184" s="81">
        <v>0.40486111111111112</v>
      </c>
      <c r="I184" s="79" t="s">
        <v>12</v>
      </c>
      <c r="J184" s="82">
        <v>45867</v>
      </c>
      <c r="K184" s="82">
        <v>45954</v>
      </c>
      <c r="L184" s="78">
        <f>IF(ISBLANK(DATA[[#This Row],[DISCHARGE DATE]]), "NO DATE", DATA[[#This Row],[DISCHARGE DATE]]-DATA[[#This Row],[ADMISSION DATE]]+1)</f>
        <v>88</v>
      </c>
      <c r="M184" s="83">
        <v>350</v>
      </c>
      <c r="N184" s="83">
        <v>1760</v>
      </c>
      <c r="O184" s="93" t="s">
        <v>491</v>
      </c>
      <c r="P184" s="93" t="s">
        <v>1100</v>
      </c>
      <c r="Q184" s="84">
        <f>IF(DATA[[#This Row],[Column1]]="Normal", 13 * DATA[[#This Row],[STORAGE DAYS]], 20 * DATA[[#This Row],[STORAGE DAYS]])</f>
        <v>1760</v>
      </c>
      <c r="R184" s="84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 t="shared" si="2"/>
        <v>349</v>
      </c>
      <c r="U184" s="112">
        <v>2025</v>
      </c>
      <c r="V184" s="112" t="s">
        <v>1908</v>
      </c>
      <c r="W184" s="112">
        <v>2025</v>
      </c>
      <c r="X184" s="112" t="s">
        <v>1914</v>
      </c>
    </row>
    <row r="185" spans="1:24" s="37" customFormat="1" ht="18.75" hidden="1" customHeight="1" x14ac:dyDescent="0.25">
      <c r="A185" s="77" t="s">
        <v>771</v>
      </c>
      <c r="B185" s="78" t="s">
        <v>772</v>
      </c>
      <c r="C185" s="78">
        <v>90</v>
      </c>
      <c r="D185" s="79" t="s">
        <v>4</v>
      </c>
      <c r="E185" s="79" t="s">
        <v>773</v>
      </c>
      <c r="F185" s="79" t="s">
        <v>1728</v>
      </c>
      <c r="G185" s="79" t="s">
        <v>8</v>
      </c>
      <c r="H185" s="81">
        <v>0.9375</v>
      </c>
      <c r="I185" s="79" t="s">
        <v>10</v>
      </c>
      <c r="J185" s="82">
        <v>45868</v>
      </c>
      <c r="K185" s="82">
        <v>46129</v>
      </c>
      <c r="L185" s="78">
        <f>IF(ISBLANK(DATA[[#This Row],[DISCHARGE DATE]]), "NO DATE", DATA[[#This Row],[DISCHARGE DATE]]-DATA[[#This Row],[ADMISSION DATE]]+1)</f>
        <v>262</v>
      </c>
      <c r="M185" s="83">
        <v>350</v>
      </c>
      <c r="N185" s="83">
        <v>3406</v>
      </c>
      <c r="O185" s="93" t="s">
        <v>767</v>
      </c>
      <c r="P185" s="93">
        <v>276</v>
      </c>
      <c r="Q185" s="84">
        <f>IF(DATA[[#This Row],[Column1]]="Normal", 13 * DATA[[#This Row],[STORAGE DAYS]], 20 * DATA[[#This Row],[STORAGE DAYS]])</f>
        <v>3406</v>
      </c>
      <c r="R185" s="84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 t="shared" si="2"/>
        <v>349</v>
      </c>
      <c r="U185" s="112">
        <v>2025</v>
      </c>
      <c r="V185" s="112" t="s">
        <v>1908</v>
      </c>
      <c r="W185" s="112">
        <v>2026</v>
      </c>
      <c r="X185" s="112" t="s">
        <v>1873</v>
      </c>
    </row>
    <row r="186" spans="1:24" s="37" customFormat="1" ht="16.5" hidden="1" customHeight="1" x14ac:dyDescent="0.25">
      <c r="A186" s="77" t="s">
        <v>774</v>
      </c>
      <c r="B186" s="78" t="s">
        <v>775</v>
      </c>
      <c r="C186" s="78">
        <v>25</v>
      </c>
      <c r="D186" s="79" t="s">
        <v>5</v>
      </c>
      <c r="E186" s="79" t="s">
        <v>594</v>
      </c>
      <c r="F186" s="79" t="s">
        <v>1691</v>
      </c>
      <c r="G186" s="79" t="s">
        <v>27</v>
      </c>
      <c r="H186" s="81">
        <v>0.84722222222222221</v>
      </c>
      <c r="I186" s="79" t="s">
        <v>10</v>
      </c>
      <c r="J186" s="82">
        <v>45873</v>
      </c>
      <c r="K186" s="82">
        <v>45912</v>
      </c>
      <c r="L186" s="78">
        <f>IF(ISBLANK(DATA[[#This Row],[DISCHARGE DATE]]), "NO DATE", DATA[[#This Row],[DISCHARGE DATE]]-DATA[[#This Row],[ADMISSION DATE]]+1)</f>
        <v>40</v>
      </c>
      <c r="M186" s="83">
        <v>350</v>
      </c>
      <c r="N186" s="83">
        <v>520</v>
      </c>
      <c r="O186" s="93" t="s">
        <v>618</v>
      </c>
      <c r="P186" s="93" t="s">
        <v>806</v>
      </c>
      <c r="Q186" s="84">
        <f>IF(DATA[[#This Row],[Column1]]="Normal", 13 * DATA[[#This Row],[STORAGE DAYS]], 20 * DATA[[#This Row],[STORAGE DAYS]])</f>
        <v>520</v>
      </c>
      <c r="R186" s="84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 t="shared" si="2"/>
        <v>349</v>
      </c>
      <c r="U186" s="112">
        <v>2025</v>
      </c>
      <c r="V186" s="112" t="s">
        <v>1909</v>
      </c>
      <c r="W186" s="112">
        <v>2025</v>
      </c>
      <c r="X186" s="112" t="s">
        <v>1911</v>
      </c>
    </row>
    <row r="187" spans="1:24" s="37" customFormat="1" ht="16.5" hidden="1" customHeight="1" x14ac:dyDescent="0.25">
      <c r="A187" s="77" t="s">
        <v>776</v>
      </c>
      <c r="B187" s="78" t="s">
        <v>777</v>
      </c>
      <c r="C187" s="78">
        <v>51</v>
      </c>
      <c r="D187" s="79" t="s">
        <v>5</v>
      </c>
      <c r="E187" s="79" t="s">
        <v>778</v>
      </c>
      <c r="F187" s="79" t="s">
        <v>1729</v>
      </c>
      <c r="G187" s="79" t="s">
        <v>27</v>
      </c>
      <c r="H187" s="81">
        <v>0.89583333333333337</v>
      </c>
      <c r="I187" s="79" t="s">
        <v>12</v>
      </c>
      <c r="J187" s="82">
        <v>45874</v>
      </c>
      <c r="K187" s="82">
        <v>45989</v>
      </c>
      <c r="L187" s="78">
        <f>IF(ISBLANK(DATA[[#This Row],[DISCHARGE DATE]]), "NO DATE", DATA[[#This Row],[DISCHARGE DATE]]-DATA[[#This Row],[ADMISSION DATE]]+1)</f>
        <v>116</v>
      </c>
      <c r="M187" s="83">
        <v>350</v>
      </c>
      <c r="N187" s="83">
        <v>2120</v>
      </c>
      <c r="O187" s="93" t="s">
        <v>518</v>
      </c>
      <c r="P187" s="93" t="s">
        <v>517</v>
      </c>
      <c r="Q187" s="84">
        <f>IF(DATA[[#This Row],[Column1]]="Normal", 13 * DATA[[#This Row],[STORAGE DAYS]], 20 * DATA[[#This Row],[STORAGE DAYS]])</f>
        <v>2320</v>
      </c>
      <c r="R187" s="84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 t="shared" si="2"/>
        <v>349</v>
      </c>
      <c r="U187" s="112">
        <v>2025</v>
      </c>
      <c r="V187" s="112" t="s">
        <v>1909</v>
      </c>
      <c r="W187" s="112">
        <v>2025</v>
      </c>
      <c r="X187" s="112" t="s">
        <v>1910</v>
      </c>
    </row>
    <row r="188" spans="1:24" s="37" customFormat="1" ht="16.5" hidden="1" customHeight="1" x14ac:dyDescent="0.25">
      <c r="A188" s="77" t="s">
        <v>779</v>
      </c>
      <c r="B188" s="78" t="s">
        <v>780</v>
      </c>
      <c r="C188" s="78">
        <v>69</v>
      </c>
      <c r="D188" s="79" t="s">
        <v>5</v>
      </c>
      <c r="E188" s="79" t="s">
        <v>781</v>
      </c>
      <c r="F188" s="79" t="s">
        <v>1730</v>
      </c>
      <c r="G188" s="79" t="s">
        <v>27</v>
      </c>
      <c r="H188" s="81">
        <v>0.59722222222222221</v>
      </c>
      <c r="I188" s="79" t="s">
        <v>10</v>
      </c>
      <c r="J188" s="82">
        <v>45875</v>
      </c>
      <c r="K188" s="82">
        <v>45989</v>
      </c>
      <c r="L188" s="78">
        <f>IF(ISBLANK(DATA[[#This Row],[DISCHARGE DATE]]), "NO DATE", DATA[[#This Row],[DISCHARGE DATE]]-DATA[[#This Row],[ADMISSION DATE]]+1)</f>
        <v>115</v>
      </c>
      <c r="M188" s="83">
        <v>350</v>
      </c>
      <c r="N188" s="83">
        <v>1395</v>
      </c>
      <c r="O188" s="93" t="s">
        <v>533</v>
      </c>
      <c r="P188" s="93" t="s">
        <v>509</v>
      </c>
      <c r="Q188" s="84">
        <f>IF(DATA[[#This Row],[Column1]]="Normal", 13 * DATA[[#This Row],[STORAGE DAYS]], 20 * DATA[[#This Row],[STORAGE DAYS]])</f>
        <v>1495</v>
      </c>
      <c r="R188" s="84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 t="shared" si="2"/>
        <v>349</v>
      </c>
      <c r="U188" s="112">
        <v>2025</v>
      </c>
      <c r="V188" s="112" t="s">
        <v>1909</v>
      </c>
      <c r="W188" s="112">
        <v>2025</v>
      </c>
      <c r="X188" s="112" t="s">
        <v>1910</v>
      </c>
    </row>
    <row r="189" spans="1:24" s="37" customFormat="1" ht="16.5" hidden="1" customHeight="1" x14ac:dyDescent="0.25">
      <c r="A189" s="77" t="s">
        <v>782</v>
      </c>
      <c r="B189" s="78" t="s">
        <v>783</v>
      </c>
      <c r="C189" s="78">
        <v>78</v>
      </c>
      <c r="D189" s="79" t="s">
        <v>5</v>
      </c>
      <c r="E189" s="79" t="s">
        <v>784</v>
      </c>
      <c r="F189" s="79" t="s">
        <v>1731</v>
      </c>
      <c r="G189" s="79" t="s">
        <v>27</v>
      </c>
      <c r="H189" s="81">
        <v>0.5</v>
      </c>
      <c r="I189" s="79" t="s">
        <v>10</v>
      </c>
      <c r="J189" s="82">
        <v>45877</v>
      </c>
      <c r="K189" s="82">
        <v>45933</v>
      </c>
      <c r="L189" s="78">
        <f>IF(ISBLANK(DATA[[#This Row],[DISCHARGE DATE]]), "NO DATE", DATA[[#This Row],[DISCHARGE DATE]]-DATA[[#This Row],[ADMISSION DATE]]+1)</f>
        <v>57</v>
      </c>
      <c r="M189" s="83">
        <v>350</v>
      </c>
      <c r="N189" s="83">
        <v>741</v>
      </c>
      <c r="O189" s="93" t="s">
        <v>686</v>
      </c>
      <c r="P189" s="93" t="s">
        <v>1012</v>
      </c>
      <c r="Q189" s="84">
        <f>IF(DATA[[#This Row],[Column1]]="Normal", 13 * DATA[[#This Row],[STORAGE DAYS]], 20 * DATA[[#This Row],[STORAGE DAYS]])</f>
        <v>741</v>
      </c>
      <c r="R189" s="84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 t="shared" si="2"/>
        <v>349</v>
      </c>
      <c r="U189" s="112">
        <v>2025</v>
      </c>
      <c r="V189" s="112" t="s">
        <v>1909</v>
      </c>
      <c r="W189" s="112">
        <v>2025</v>
      </c>
      <c r="X189" s="112" t="s">
        <v>1914</v>
      </c>
    </row>
    <row r="190" spans="1:24" s="37" customFormat="1" ht="16.5" hidden="1" customHeight="1" x14ac:dyDescent="0.25">
      <c r="A190" s="77" t="s">
        <v>785</v>
      </c>
      <c r="B190" s="78" t="s">
        <v>786</v>
      </c>
      <c r="C190" s="78">
        <v>46</v>
      </c>
      <c r="D190" s="79" t="s">
        <v>4</v>
      </c>
      <c r="E190" s="79" t="s">
        <v>787</v>
      </c>
      <c r="F190" s="77" t="s">
        <v>1116</v>
      </c>
      <c r="G190" s="79" t="s">
        <v>27</v>
      </c>
      <c r="H190" s="81">
        <v>0.6875</v>
      </c>
      <c r="I190" s="79" t="s">
        <v>12</v>
      </c>
      <c r="J190" s="82">
        <v>45878</v>
      </c>
      <c r="K190" s="82">
        <v>45961</v>
      </c>
      <c r="L190" s="78">
        <f>IF(ISBLANK(DATA[[#This Row],[DISCHARGE DATE]]), "NO DATE", DATA[[#This Row],[DISCHARGE DATE]]-DATA[[#This Row],[ADMISSION DATE]]+1)</f>
        <v>84</v>
      </c>
      <c r="M190" s="83">
        <v>350</v>
      </c>
      <c r="N190" s="83">
        <v>840</v>
      </c>
      <c r="O190" s="93" t="s">
        <v>700</v>
      </c>
      <c r="P190" s="93" t="s">
        <v>1081</v>
      </c>
      <c r="Q190" s="84">
        <f>IF(DATA[[#This Row],[Column1]]="Normal", 13 * DATA[[#This Row],[STORAGE DAYS]], 20 * DATA[[#This Row],[STORAGE DAYS]])</f>
        <v>1680</v>
      </c>
      <c r="R190" s="84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 t="shared" si="2"/>
        <v>349</v>
      </c>
      <c r="U190" s="112">
        <v>2025</v>
      </c>
      <c r="V190" s="112" t="s">
        <v>1909</v>
      </c>
      <c r="W190" s="112">
        <v>2025</v>
      </c>
      <c r="X190" s="112" t="s">
        <v>1914</v>
      </c>
    </row>
    <row r="191" spans="1:24" s="37" customFormat="1" ht="16.5" hidden="1" customHeight="1" x14ac:dyDescent="0.25">
      <c r="A191" s="77" t="s">
        <v>788</v>
      </c>
      <c r="B191" s="78" t="s">
        <v>789</v>
      </c>
      <c r="C191" s="78">
        <v>98</v>
      </c>
      <c r="D191" s="79" t="s">
        <v>5</v>
      </c>
      <c r="E191" s="79" t="s">
        <v>790</v>
      </c>
      <c r="F191" s="79" t="s">
        <v>1732</v>
      </c>
      <c r="G191" s="79" t="s">
        <v>26</v>
      </c>
      <c r="H191" s="81">
        <v>0.34027777777777779</v>
      </c>
      <c r="I191" s="79" t="s">
        <v>10</v>
      </c>
      <c r="J191" s="82">
        <v>45882</v>
      </c>
      <c r="K191" s="82">
        <v>45919</v>
      </c>
      <c r="L191" s="78">
        <f>IF(ISBLANK(DATA[[#This Row],[DISCHARGE DATE]]), "NO DATE", DATA[[#This Row],[DISCHARGE DATE]]-DATA[[#This Row],[ADMISSION DATE]]+1)</f>
        <v>38</v>
      </c>
      <c r="M191" s="83">
        <v>350</v>
      </c>
      <c r="N191" s="83">
        <v>494</v>
      </c>
      <c r="O191" s="93" t="s">
        <v>613</v>
      </c>
      <c r="P191" s="93" t="s">
        <v>814</v>
      </c>
      <c r="Q191" s="84">
        <f>IF(DATA[[#This Row],[Column1]]="Normal", 13 * DATA[[#This Row],[STORAGE DAYS]], 20 * DATA[[#This Row],[STORAGE DAYS]])</f>
        <v>494</v>
      </c>
      <c r="R191" s="84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 t="shared" si="2"/>
        <v>349</v>
      </c>
      <c r="U191" s="112">
        <v>2025</v>
      </c>
      <c r="V191" s="112" t="s">
        <v>1909</v>
      </c>
      <c r="W191" s="112">
        <v>2025</v>
      </c>
      <c r="X191" s="112" t="s">
        <v>1911</v>
      </c>
    </row>
    <row r="192" spans="1:24" s="37" customFormat="1" ht="16.5" hidden="1" customHeight="1" x14ac:dyDescent="0.25">
      <c r="A192" s="77" t="s">
        <v>791</v>
      </c>
      <c r="B192" s="78" t="s">
        <v>792</v>
      </c>
      <c r="C192" s="78">
        <v>65</v>
      </c>
      <c r="D192" s="79" t="s">
        <v>4</v>
      </c>
      <c r="E192" s="79" t="s">
        <v>793</v>
      </c>
      <c r="F192" s="79" t="s">
        <v>1733</v>
      </c>
      <c r="G192" s="79" t="s">
        <v>26</v>
      </c>
      <c r="H192" s="81">
        <v>0.91666666666666663</v>
      </c>
      <c r="I192" s="79" t="s">
        <v>10</v>
      </c>
      <c r="J192" s="82">
        <v>45882</v>
      </c>
      <c r="K192" s="82">
        <v>46073</v>
      </c>
      <c r="L192" s="78">
        <f>IF(ISBLANK(DATA[[#This Row],[DISCHARGE DATE]]), "NO DATE", DATA[[#This Row],[DISCHARGE DATE]]-DATA[[#This Row],[ADMISSION DATE]]+1)</f>
        <v>192</v>
      </c>
      <c r="M192" s="83">
        <v>350</v>
      </c>
      <c r="N192" s="83">
        <v>2496</v>
      </c>
      <c r="O192" s="93" t="s">
        <v>737</v>
      </c>
      <c r="P192" s="93">
        <v>141</v>
      </c>
      <c r="Q192" s="84">
        <f>IF(DATA[[#This Row],[Column1]]="Normal", 13 * DATA[[#This Row],[STORAGE DAYS]], 20 * DATA[[#This Row],[STORAGE DAYS]])</f>
        <v>2496</v>
      </c>
      <c r="R192" s="84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 t="shared" si="2"/>
        <v>349</v>
      </c>
      <c r="U192" s="112">
        <v>2025</v>
      </c>
      <c r="V192" s="112" t="s">
        <v>1909</v>
      </c>
      <c r="W192" s="112">
        <v>2026</v>
      </c>
      <c r="X192" s="112" t="s">
        <v>1915</v>
      </c>
    </row>
    <row r="193" spans="1:24" s="37" customFormat="1" ht="16.5" hidden="1" customHeight="1" x14ac:dyDescent="0.25">
      <c r="A193" s="77" t="s">
        <v>794</v>
      </c>
      <c r="B193" s="78" t="s">
        <v>795</v>
      </c>
      <c r="C193" s="78">
        <v>69</v>
      </c>
      <c r="D193" s="79" t="s">
        <v>5</v>
      </c>
      <c r="E193" s="79" t="s">
        <v>796</v>
      </c>
      <c r="F193" s="79" t="s">
        <v>1734</v>
      </c>
      <c r="G193" s="79" t="s">
        <v>27</v>
      </c>
      <c r="H193" s="81">
        <v>6.25E-2</v>
      </c>
      <c r="I193" s="79" t="s">
        <v>12</v>
      </c>
      <c r="J193" s="82">
        <v>45883</v>
      </c>
      <c r="K193" s="82">
        <v>45989</v>
      </c>
      <c r="L193" s="78">
        <f>IF(ISBLANK(DATA[[#This Row],[DISCHARGE DATE]]), "NO DATE", DATA[[#This Row],[DISCHARGE DATE]]-DATA[[#This Row],[ADMISSION DATE]]+1)</f>
        <v>107</v>
      </c>
      <c r="M193" s="83">
        <v>350</v>
      </c>
      <c r="N193" s="83">
        <v>2040</v>
      </c>
      <c r="O193" s="93" t="s">
        <v>649</v>
      </c>
      <c r="P193" s="93" t="s">
        <v>458</v>
      </c>
      <c r="Q193" s="84">
        <f>IF(DATA[[#This Row],[Column1]]="Normal", 13 * DATA[[#This Row],[STORAGE DAYS]], 20 * DATA[[#This Row],[STORAGE DAYS]])</f>
        <v>2140</v>
      </c>
      <c r="R193" s="84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 t="shared" si="2"/>
        <v>349</v>
      </c>
      <c r="U193" s="112">
        <v>2025</v>
      </c>
      <c r="V193" s="112" t="s">
        <v>1909</v>
      </c>
      <c r="W193" s="112">
        <v>2025</v>
      </c>
      <c r="X193" s="112" t="s">
        <v>1910</v>
      </c>
    </row>
    <row r="194" spans="1:24" s="37" customFormat="1" ht="16.5" hidden="1" customHeight="1" x14ac:dyDescent="0.25">
      <c r="A194" s="77" t="s">
        <v>797</v>
      </c>
      <c r="B194" s="78" t="s">
        <v>798</v>
      </c>
      <c r="C194" s="78">
        <v>58</v>
      </c>
      <c r="D194" s="79" t="s">
        <v>4</v>
      </c>
      <c r="E194" s="79" t="s">
        <v>799</v>
      </c>
      <c r="F194" s="79" t="s">
        <v>1735</v>
      </c>
      <c r="G194" s="79" t="s">
        <v>27</v>
      </c>
      <c r="H194" s="81">
        <v>0.375</v>
      </c>
      <c r="I194" s="79" t="s">
        <v>12</v>
      </c>
      <c r="J194" s="82">
        <v>45884</v>
      </c>
      <c r="K194" s="82">
        <v>46108</v>
      </c>
      <c r="L194" s="78">
        <f>IF(ISBLANK(DATA[[#This Row],[DISCHARGE DATE]]), "NO DATE", DATA[[#This Row],[DISCHARGE DATE]]-DATA[[#This Row],[ADMISSION DATE]]+1)</f>
        <v>225</v>
      </c>
      <c r="M194" s="83">
        <v>350</v>
      </c>
      <c r="N194" s="83">
        <v>4500</v>
      </c>
      <c r="O194" s="93" t="s">
        <v>33</v>
      </c>
      <c r="P194" s="93">
        <v>266</v>
      </c>
      <c r="Q194" s="84">
        <f>IF(DATA[[#This Row],[Column1]]="Normal", 13 * DATA[[#This Row],[STORAGE DAYS]], 20 * DATA[[#This Row],[STORAGE DAYS]])</f>
        <v>4500</v>
      </c>
      <c r="R194" s="84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 t="shared" ref="T194:T257" si="3">COUNTA(A:A)-2</f>
        <v>349</v>
      </c>
      <c r="U194" s="112">
        <v>2025</v>
      </c>
      <c r="V194" s="112" t="s">
        <v>1909</v>
      </c>
      <c r="W194" s="112">
        <v>2026</v>
      </c>
      <c r="X194" s="112" t="s">
        <v>1912</v>
      </c>
    </row>
    <row r="195" spans="1:24" s="37" customFormat="1" ht="16.5" hidden="1" customHeight="1" x14ac:dyDescent="0.25">
      <c r="A195" s="77" t="s">
        <v>800</v>
      </c>
      <c r="B195" s="78" t="s">
        <v>801</v>
      </c>
      <c r="C195" s="78">
        <v>80</v>
      </c>
      <c r="D195" s="79" t="s">
        <v>5</v>
      </c>
      <c r="E195" s="79" t="s">
        <v>802</v>
      </c>
      <c r="F195" s="79" t="s">
        <v>1696</v>
      </c>
      <c r="G195" s="79" t="s">
        <v>27</v>
      </c>
      <c r="H195" s="81">
        <v>0.875</v>
      </c>
      <c r="I195" s="79" t="s">
        <v>12</v>
      </c>
      <c r="J195" s="82">
        <v>45887</v>
      </c>
      <c r="K195" s="82">
        <v>45961</v>
      </c>
      <c r="L195" s="78">
        <f>IF(ISBLANK(DATA[[#This Row],[DISCHARGE DATE]]), "NO DATE", DATA[[#This Row],[DISCHARGE DATE]]-DATA[[#This Row],[ADMISSION DATE]]+1)</f>
        <v>75</v>
      </c>
      <c r="M195" s="83">
        <v>350</v>
      </c>
      <c r="N195" s="83">
        <v>1500</v>
      </c>
      <c r="O195" s="93" t="s">
        <v>591</v>
      </c>
      <c r="P195" s="93" t="s">
        <v>1138</v>
      </c>
      <c r="Q195" s="84">
        <f>IF(DATA[[#This Row],[Column1]]="Normal", 13 * DATA[[#This Row],[STORAGE DAYS]], 20 * DATA[[#This Row],[STORAGE DAYS]])</f>
        <v>1500</v>
      </c>
      <c r="R195" s="84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 t="shared" si="3"/>
        <v>349</v>
      </c>
      <c r="U195" s="112">
        <v>2025</v>
      </c>
      <c r="V195" s="112" t="s">
        <v>1909</v>
      </c>
      <c r="W195" s="112">
        <v>2025</v>
      </c>
      <c r="X195" s="112" t="s">
        <v>1914</v>
      </c>
    </row>
    <row r="196" spans="1:24" s="37" customFormat="1" ht="16.5" hidden="1" customHeight="1" x14ac:dyDescent="0.25">
      <c r="A196" s="77" t="s">
        <v>803</v>
      </c>
      <c r="B196" s="78" t="s">
        <v>804</v>
      </c>
      <c r="C196" s="78">
        <v>55</v>
      </c>
      <c r="D196" s="79" t="s">
        <v>5</v>
      </c>
      <c r="E196" s="79" t="s">
        <v>805</v>
      </c>
      <c r="F196" s="79" t="s">
        <v>1534</v>
      </c>
      <c r="G196" s="79" t="s">
        <v>27</v>
      </c>
      <c r="H196" s="81">
        <v>0.60416666666666663</v>
      </c>
      <c r="I196" s="79" t="s">
        <v>10</v>
      </c>
      <c r="J196" s="82">
        <v>45892</v>
      </c>
      <c r="K196" s="82">
        <v>45933</v>
      </c>
      <c r="L196" s="78">
        <f>IF(ISBLANK(DATA[[#This Row],[DISCHARGE DATE]]), "NO DATE", DATA[[#This Row],[DISCHARGE DATE]]-DATA[[#This Row],[ADMISSION DATE]]+1)</f>
        <v>42</v>
      </c>
      <c r="M196" s="83">
        <v>350</v>
      </c>
      <c r="N196" s="83">
        <v>546</v>
      </c>
      <c r="O196" s="93" t="s">
        <v>806</v>
      </c>
      <c r="P196" s="93" t="s">
        <v>1002</v>
      </c>
      <c r="Q196" s="84">
        <f>IF(DATA[[#This Row],[Column1]]="Normal", 13 * DATA[[#This Row],[STORAGE DAYS]], 20 * DATA[[#This Row],[STORAGE DAYS]])</f>
        <v>546</v>
      </c>
      <c r="R196" s="84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 t="shared" si="3"/>
        <v>349</v>
      </c>
      <c r="U196" s="112">
        <v>2025</v>
      </c>
      <c r="V196" s="112" t="s">
        <v>1909</v>
      </c>
      <c r="W196" s="112">
        <v>2025</v>
      </c>
      <c r="X196" s="112" t="s">
        <v>1914</v>
      </c>
    </row>
    <row r="197" spans="1:24" s="37" customFormat="1" ht="16.5" hidden="1" customHeight="1" x14ac:dyDescent="0.25">
      <c r="A197" s="77" t="s">
        <v>807</v>
      </c>
      <c r="B197" s="78" t="s">
        <v>808</v>
      </c>
      <c r="C197" s="78">
        <v>32</v>
      </c>
      <c r="D197" s="79" t="s">
        <v>4</v>
      </c>
      <c r="E197" s="79" t="s">
        <v>809</v>
      </c>
      <c r="F197" s="79" t="s">
        <v>1188</v>
      </c>
      <c r="G197" s="79" t="s">
        <v>18</v>
      </c>
      <c r="H197" s="81">
        <v>0.91666666666666663</v>
      </c>
      <c r="I197" s="79" t="s">
        <v>10</v>
      </c>
      <c r="J197" s="82">
        <v>45893</v>
      </c>
      <c r="K197" s="82">
        <v>45989</v>
      </c>
      <c r="L197" s="78">
        <f>IF(ISBLANK(DATA[[#This Row],[DISCHARGE DATE]]), "NO DATE", DATA[[#This Row],[DISCHARGE DATE]]-DATA[[#This Row],[ADMISSION DATE]]+1)</f>
        <v>97</v>
      </c>
      <c r="M197" s="83">
        <v>350</v>
      </c>
      <c r="N197" s="83">
        <v>1161</v>
      </c>
      <c r="O197" s="93" t="s">
        <v>810</v>
      </c>
      <c r="P197" s="93" t="s">
        <v>481</v>
      </c>
      <c r="Q197" s="84">
        <f>IF(DATA[[#This Row],[Column1]]="Normal", 13 * DATA[[#This Row],[STORAGE DAYS]], 20 * DATA[[#This Row],[STORAGE DAYS]])</f>
        <v>1261</v>
      </c>
      <c r="R197" s="84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 t="shared" si="3"/>
        <v>349</v>
      </c>
      <c r="U197" s="112">
        <v>2025</v>
      </c>
      <c r="V197" s="112" t="s">
        <v>1909</v>
      </c>
      <c r="W197" s="112">
        <v>2025</v>
      </c>
      <c r="X197" s="112" t="s">
        <v>1910</v>
      </c>
    </row>
    <row r="198" spans="1:24" s="37" customFormat="1" ht="16.5" hidden="1" customHeight="1" x14ac:dyDescent="0.25">
      <c r="A198" s="77" t="s">
        <v>811</v>
      </c>
      <c r="B198" s="78" t="s">
        <v>812</v>
      </c>
      <c r="C198" s="78">
        <v>67</v>
      </c>
      <c r="D198" s="79" t="s">
        <v>5</v>
      </c>
      <c r="E198" s="79" t="s">
        <v>813</v>
      </c>
      <c r="F198" s="79" t="s">
        <v>1736</v>
      </c>
      <c r="G198" s="79" t="s">
        <v>25</v>
      </c>
      <c r="H198" s="81">
        <v>0.4513888888888889</v>
      </c>
      <c r="I198" s="79" t="s">
        <v>10</v>
      </c>
      <c r="J198" s="82">
        <v>45895</v>
      </c>
      <c r="K198" s="82">
        <v>46059</v>
      </c>
      <c r="L198" s="78">
        <f>IF(ISBLANK(DATA[[#This Row],[DISCHARGE DATE]]), "NO DATE", DATA[[#This Row],[DISCHARGE DATE]]-DATA[[#This Row],[ADMISSION DATE]]+1)</f>
        <v>165</v>
      </c>
      <c r="M198" s="83">
        <v>350</v>
      </c>
      <c r="N198" s="83">
        <v>2145</v>
      </c>
      <c r="O198" s="93" t="s">
        <v>814</v>
      </c>
      <c r="P198" s="93">
        <v>132</v>
      </c>
      <c r="Q198" s="84">
        <f>IF(DATA[[#This Row],[Column1]]="Normal", 13 * DATA[[#This Row],[STORAGE DAYS]], 20 * DATA[[#This Row],[STORAGE DAYS]])</f>
        <v>2145</v>
      </c>
      <c r="R198" s="84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 t="shared" si="3"/>
        <v>349</v>
      </c>
      <c r="U198" s="112">
        <v>2025</v>
      </c>
      <c r="V198" s="112" t="s">
        <v>1909</v>
      </c>
      <c r="W198" s="112">
        <v>2026</v>
      </c>
      <c r="X198" s="112" t="s">
        <v>1915</v>
      </c>
    </row>
    <row r="199" spans="1:24" s="37" customFormat="1" ht="16.5" hidden="1" customHeight="1" x14ac:dyDescent="0.25">
      <c r="A199" s="77" t="s">
        <v>815</v>
      </c>
      <c r="B199" s="78" t="s">
        <v>816</v>
      </c>
      <c r="C199" s="78">
        <v>73</v>
      </c>
      <c r="D199" s="79" t="s">
        <v>4</v>
      </c>
      <c r="E199" s="79" t="s">
        <v>817</v>
      </c>
      <c r="F199" s="79" t="s">
        <v>1737</v>
      </c>
      <c r="G199" s="79" t="s">
        <v>27</v>
      </c>
      <c r="H199" s="81">
        <v>0.4513888888888889</v>
      </c>
      <c r="I199" s="79" t="s">
        <v>10</v>
      </c>
      <c r="J199" s="82">
        <v>45895</v>
      </c>
      <c r="K199" s="82">
        <v>46073</v>
      </c>
      <c r="L199" s="78">
        <f>IF(ISBLANK(DATA[[#This Row],[DISCHARGE DATE]]), "NO DATE", DATA[[#This Row],[DISCHARGE DATE]]-DATA[[#This Row],[ADMISSION DATE]]+1)</f>
        <v>179</v>
      </c>
      <c r="M199" s="83">
        <v>350</v>
      </c>
      <c r="N199" s="83">
        <v>2327</v>
      </c>
      <c r="O199" s="93" t="s">
        <v>818</v>
      </c>
      <c r="P199" s="93">
        <v>138</v>
      </c>
      <c r="Q199" s="84">
        <f>IF(DATA[[#This Row],[Column1]]="Normal", 13 * DATA[[#This Row],[STORAGE DAYS]], 20 * DATA[[#This Row],[STORAGE DAYS]])</f>
        <v>2327</v>
      </c>
      <c r="R199" s="84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 t="shared" si="3"/>
        <v>349</v>
      </c>
      <c r="U199" s="112">
        <v>2025</v>
      </c>
      <c r="V199" s="112" t="s">
        <v>1909</v>
      </c>
      <c r="W199" s="112">
        <v>2026</v>
      </c>
      <c r="X199" s="112" t="s">
        <v>1915</v>
      </c>
    </row>
    <row r="200" spans="1:24" s="37" customFormat="1" ht="16.5" hidden="1" customHeight="1" x14ac:dyDescent="0.25">
      <c r="A200" s="77" t="s">
        <v>819</v>
      </c>
      <c r="B200" s="78" t="s">
        <v>820</v>
      </c>
      <c r="C200" s="78">
        <v>69</v>
      </c>
      <c r="D200" s="79" t="s">
        <v>5</v>
      </c>
      <c r="E200" s="79" t="s">
        <v>821</v>
      </c>
      <c r="F200" s="79" t="s">
        <v>1738</v>
      </c>
      <c r="G200" s="79" t="s">
        <v>27</v>
      </c>
      <c r="H200" s="81">
        <v>0.85416666666666663</v>
      </c>
      <c r="I200" s="79" t="s">
        <v>10</v>
      </c>
      <c r="J200" s="82">
        <v>45897</v>
      </c>
      <c r="K200" s="82">
        <v>45989</v>
      </c>
      <c r="L200" s="78">
        <f>IF(ISBLANK(DATA[[#This Row],[DISCHARGE DATE]]), "NO DATE", DATA[[#This Row],[DISCHARGE DATE]]-DATA[[#This Row],[ADMISSION DATE]]+1)</f>
        <v>93</v>
      </c>
      <c r="M200" s="83">
        <v>350</v>
      </c>
      <c r="N200" s="83">
        <v>1109</v>
      </c>
      <c r="O200" s="93" t="s">
        <v>822</v>
      </c>
      <c r="P200" s="93" t="s">
        <v>495</v>
      </c>
      <c r="Q200" s="84">
        <f>IF(DATA[[#This Row],[Column1]]="Normal", 13 * DATA[[#This Row],[STORAGE DAYS]], 20 * DATA[[#This Row],[STORAGE DAYS]])</f>
        <v>1209</v>
      </c>
      <c r="R200" s="84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 t="shared" si="3"/>
        <v>349</v>
      </c>
      <c r="U200" s="112">
        <v>2025</v>
      </c>
      <c r="V200" s="112" t="s">
        <v>1909</v>
      </c>
      <c r="W200" s="112">
        <v>2025</v>
      </c>
      <c r="X200" s="112" t="s">
        <v>1910</v>
      </c>
    </row>
    <row r="201" spans="1:24" s="37" customFormat="1" ht="16.5" hidden="1" customHeight="1" x14ac:dyDescent="0.25">
      <c r="A201" s="77" t="s">
        <v>823</v>
      </c>
      <c r="B201" s="78" t="s">
        <v>824</v>
      </c>
      <c r="C201" s="78">
        <v>87</v>
      </c>
      <c r="D201" s="79" t="s">
        <v>4</v>
      </c>
      <c r="E201" s="79" t="s">
        <v>825</v>
      </c>
      <c r="F201" s="79" t="s">
        <v>1739</v>
      </c>
      <c r="G201" s="79" t="s">
        <v>27</v>
      </c>
      <c r="H201" s="81">
        <v>0</v>
      </c>
      <c r="I201" s="79" t="s">
        <v>12</v>
      </c>
      <c r="J201" s="82">
        <v>45899</v>
      </c>
      <c r="K201" s="82">
        <v>46108</v>
      </c>
      <c r="L201" s="78">
        <f>IF(ISBLANK(DATA[[#This Row],[DISCHARGE DATE]]), "NO DATE", DATA[[#This Row],[DISCHARGE DATE]]-DATA[[#This Row],[ADMISSION DATE]]+1)</f>
        <v>210</v>
      </c>
      <c r="M201" s="83">
        <v>350</v>
      </c>
      <c r="N201" s="83">
        <v>4200</v>
      </c>
      <c r="O201" s="93" t="s">
        <v>826</v>
      </c>
      <c r="P201" s="93">
        <v>142</v>
      </c>
      <c r="Q201" s="84">
        <f>IF(DATA[[#This Row],[Column1]]="Normal", 13 * DATA[[#This Row],[STORAGE DAYS]], 20 * DATA[[#This Row],[STORAGE DAYS]])</f>
        <v>4200</v>
      </c>
      <c r="R201" s="84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 t="shared" si="3"/>
        <v>349</v>
      </c>
      <c r="U201" s="112">
        <v>2025</v>
      </c>
      <c r="V201" s="112" t="s">
        <v>1909</v>
      </c>
      <c r="W201" s="112">
        <v>2026</v>
      </c>
      <c r="X201" s="112" t="s">
        <v>1912</v>
      </c>
    </row>
    <row r="202" spans="1:24" s="37" customFormat="1" ht="16.5" hidden="1" customHeight="1" x14ac:dyDescent="0.25">
      <c r="A202" s="77" t="s">
        <v>827</v>
      </c>
      <c r="B202" s="78" t="s">
        <v>828</v>
      </c>
      <c r="C202" s="78">
        <v>78</v>
      </c>
      <c r="D202" s="79" t="s">
        <v>5</v>
      </c>
      <c r="E202" s="79" t="s">
        <v>829</v>
      </c>
      <c r="F202" s="79" t="s">
        <v>1740</v>
      </c>
      <c r="G202" s="79" t="s">
        <v>27</v>
      </c>
      <c r="H202" s="81">
        <v>0.60416666666666663</v>
      </c>
      <c r="I202" s="79" t="s">
        <v>12</v>
      </c>
      <c r="J202" s="82">
        <v>45901</v>
      </c>
      <c r="K202" s="82">
        <v>45989</v>
      </c>
      <c r="L202" s="78">
        <f>IF(ISBLANK(DATA[[#This Row],[DISCHARGE DATE]]), "NO DATE", DATA[[#This Row],[DISCHARGE DATE]]-DATA[[#This Row],[ADMISSION DATE]]+1)</f>
        <v>89</v>
      </c>
      <c r="M202" s="83">
        <v>350</v>
      </c>
      <c r="N202" s="83">
        <v>1680</v>
      </c>
      <c r="O202" s="93" t="s">
        <v>830</v>
      </c>
      <c r="P202" s="93" t="s">
        <v>464</v>
      </c>
      <c r="Q202" s="84">
        <f>IF(DATA[[#This Row],[Column1]]="Normal", 13 * DATA[[#This Row],[STORAGE DAYS]], 20 * DATA[[#This Row],[STORAGE DAYS]])</f>
        <v>1780</v>
      </c>
      <c r="R202" s="84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 t="shared" si="3"/>
        <v>349</v>
      </c>
      <c r="U202" s="112">
        <v>2025</v>
      </c>
      <c r="V202" s="112" t="s">
        <v>1911</v>
      </c>
      <c r="W202" s="112">
        <v>2025</v>
      </c>
      <c r="X202" s="112" t="s">
        <v>1910</v>
      </c>
    </row>
    <row r="203" spans="1:24" s="37" customFormat="1" ht="16.5" hidden="1" customHeight="1" x14ac:dyDescent="0.25">
      <c r="A203" s="77" t="s">
        <v>957</v>
      </c>
      <c r="B203" s="78" t="s">
        <v>958</v>
      </c>
      <c r="C203" s="78">
        <v>57</v>
      </c>
      <c r="D203" s="79" t="s">
        <v>5</v>
      </c>
      <c r="E203" s="79" t="s">
        <v>232</v>
      </c>
      <c r="F203" s="79" t="s">
        <v>960</v>
      </c>
      <c r="G203" s="79" t="s">
        <v>26</v>
      </c>
      <c r="H203" s="81">
        <v>0.44791666666666669</v>
      </c>
      <c r="I203" s="79" t="s">
        <v>10</v>
      </c>
      <c r="J203" s="82">
        <v>45902</v>
      </c>
      <c r="K203" s="82">
        <v>45989</v>
      </c>
      <c r="L203" s="78">
        <f>IF(ISBLANK(DATA[[#This Row],[DISCHARGE DATE]]), "NO DATE", DATA[[#This Row],[DISCHARGE DATE]]-DATA[[#This Row],[ADMISSION DATE]]+1)</f>
        <v>88</v>
      </c>
      <c r="M203" s="83">
        <v>350</v>
      </c>
      <c r="N203" s="83">
        <v>1144</v>
      </c>
      <c r="O203" s="93" t="s">
        <v>959</v>
      </c>
      <c r="P203" s="93" t="s">
        <v>1212</v>
      </c>
      <c r="Q203" s="84">
        <f>IF(DATA[[#This Row],[Column1]]="Normal", 13 * DATA[[#This Row],[STORAGE DAYS]], 20 * DATA[[#This Row],[STORAGE DAYS]])</f>
        <v>1144</v>
      </c>
      <c r="R203" s="84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 t="shared" si="3"/>
        <v>349</v>
      </c>
      <c r="U203" s="112">
        <v>2025</v>
      </c>
      <c r="V203" s="112" t="s">
        <v>1911</v>
      </c>
      <c r="W203" s="112">
        <v>2025</v>
      </c>
      <c r="X203" s="112" t="s">
        <v>1910</v>
      </c>
    </row>
    <row r="204" spans="1:24" s="37" customFormat="1" ht="16.5" hidden="1" customHeight="1" x14ac:dyDescent="0.25">
      <c r="A204" s="77" t="s">
        <v>962</v>
      </c>
      <c r="B204" s="78" t="s">
        <v>991</v>
      </c>
      <c r="C204" s="78">
        <v>60</v>
      </c>
      <c r="D204" s="79" t="s">
        <v>5</v>
      </c>
      <c r="E204" s="79" t="s">
        <v>1558</v>
      </c>
      <c r="F204" s="79" t="s">
        <v>963</v>
      </c>
      <c r="G204" s="79" t="s">
        <v>964</v>
      </c>
      <c r="H204" s="81" t="s">
        <v>965</v>
      </c>
      <c r="I204" s="79" t="s">
        <v>10</v>
      </c>
      <c r="J204" s="82">
        <v>45903</v>
      </c>
      <c r="K204" s="82">
        <v>45954</v>
      </c>
      <c r="L204" s="78">
        <f>IF(ISBLANK(DATA[[#This Row],[DISCHARGE DATE]]), "NO DATE", DATA[[#This Row],[DISCHARGE DATE]]-DATA[[#This Row],[ADMISSION DATE]]+1)</f>
        <v>52</v>
      </c>
      <c r="M204" s="83">
        <v>350</v>
      </c>
      <c r="N204" s="83">
        <v>676</v>
      </c>
      <c r="O204" s="93" t="s">
        <v>971</v>
      </c>
      <c r="P204" s="93" t="s">
        <v>1046</v>
      </c>
      <c r="Q204" s="84">
        <f>IF(DATA[[#This Row],[Column1]]="Normal", 13 * DATA[[#This Row],[STORAGE DAYS]], 20 * DATA[[#This Row],[STORAGE DAYS]])</f>
        <v>676</v>
      </c>
      <c r="R204" s="84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 t="shared" si="3"/>
        <v>349</v>
      </c>
      <c r="U204" s="112">
        <v>2025</v>
      </c>
      <c r="V204" s="112" t="s">
        <v>1911</v>
      </c>
      <c r="W204" s="112">
        <v>2025</v>
      </c>
      <c r="X204" s="112" t="s">
        <v>1914</v>
      </c>
    </row>
    <row r="205" spans="1:24" s="37" customFormat="1" ht="16.5" hidden="1" customHeight="1" x14ac:dyDescent="0.25">
      <c r="A205" s="77" t="s">
        <v>966</v>
      </c>
      <c r="B205" s="78" t="s">
        <v>967</v>
      </c>
      <c r="C205" s="78">
        <v>87</v>
      </c>
      <c r="D205" s="79" t="s">
        <v>5</v>
      </c>
      <c r="E205" s="79" t="s">
        <v>968</v>
      </c>
      <c r="F205" s="79" t="s">
        <v>969</v>
      </c>
      <c r="G205" s="79" t="s">
        <v>17</v>
      </c>
      <c r="H205" s="81" t="s">
        <v>970</v>
      </c>
      <c r="I205" s="79" t="s">
        <v>10</v>
      </c>
      <c r="J205" s="82">
        <v>45905</v>
      </c>
      <c r="K205" s="82">
        <v>46038</v>
      </c>
      <c r="L205" s="78">
        <f>IF(ISBLANK(DATA[[#This Row],[DISCHARGE DATE]]), "NO DATE", DATA[[#This Row],[DISCHARGE DATE]]-DATA[[#This Row],[ADMISSION DATE]]+1)</f>
        <v>134</v>
      </c>
      <c r="M205" s="83">
        <v>350</v>
      </c>
      <c r="N205" s="83">
        <v>1742</v>
      </c>
      <c r="O205" s="93" t="s">
        <v>972</v>
      </c>
      <c r="P205" s="93">
        <v>125</v>
      </c>
      <c r="Q205" s="84">
        <f>IF(DATA[[#This Row],[Column1]]="Normal", 13 * DATA[[#This Row],[STORAGE DAYS]], 20 * DATA[[#This Row],[STORAGE DAYS]])</f>
        <v>1742</v>
      </c>
      <c r="R205" s="84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 t="shared" si="3"/>
        <v>349</v>
      </c>
      <c r="U205" s="112">
        <v>2025</v>
      </c>
      <c r="V205" s="112" t="s">
        <v>1911</v>
      </c>
      <c r="W205" s="112">
        <v>2026</v>
      </c>
      <c r="X205" s="112" t="s">
        <v>1874</v>
      </c>
    </row>
    <row r="206" spans="1:24" s="37" customFormat="1" ht="16.5" hidden="1" customHeight="1" x14ac:dyDescent="0.25">
      <c r="A206" s="77" t="s">
        <v>973</v>
      </c>
      <c r="B206" s="78" t="s">
        <v>974</v>
      </c>
      <c r="C206" s="78">
        <v>87</v>
      </c>
      <c r="D206" s="79" t="s">
        <v>4</v>
      </c>
      <c r="E206" s="79" t="s">
        <v>975</v>
      </c>
      <c r="F206" s="79" t="s">
        <v>976</v>
      </c>
      <c r="G206" s="79" t="s">
        <v>27</v>
      </c>
      <c r="H206" s="81" t="s">
        <v>977</v>
      </c>
      <c r="I206" s="79" t="s">
        <v>12</v>
      </c>
      <c r="J206" s="82">
        <v>45905</v>
      </c>
      <c r="K206" s="82">
        <v>46108</v>
      </c>
      <c r="L206" s="78">
        <f>IF(ISBLANK(DATA[[#This Row],[DISCHARGE DATE]]), "NO DATE", DATA[[#This Row],[DISCHARGE DATE]]-DATA[[#This Row],[ADMISSION DATE]]+1)</f>
        <v>204</v>
      </c>
      <c r="M206" s="83">
        <v>350</v>
      </c>
      <c r="N206" s="83">
        <v>4080</v>
      </c>
      <c r="O206" s="93" t="s">
        <v>978</v>
      </c>
      <c r="P206" s="93">
        <v>146</v>
      </c>
      <c r="Q206" s="84">
        <f>IF(DATA[[#This Row],[Column1]]="Normal", 13 * DATA[[#This Row],[STORAGE DAYS]], 20 * DATA[[#This Row],[STORAGE DAYS]])</f>
        <v>4080</v>
      </c>
      <c r="R206" s="84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 t="shared" si="3"/>
        <v>349</v>
      </c>
      <c r="U206" s="112">
        <v>2025</v>
      </c>
      <c r="V206" s="112" t="s">
        <v>1911</v>
      </c>
      <c r="W206" s="112">
        <v>2026</v>
      </c>
      <c r="X206" s="112" t="s">
        <v>1912</v>
      </c>
    </row>
    <row r="207" spans="1:24" s="37" customFormat="1" ht="16.5" hidden="1" customHeight="1" x14ac:dyDescent="0.25">
      <c r="A207" s="77" t="s">
        <v>980</v>
      </c>
      <c r="B207" s="78" t="s">
        <v>981</v>
      </c>
      <c r="C207" s="78">
        <v>47</v>
      </c>
      <c r="D207" s="79" t="s">
        <v>5</v>
      </c>
      <c r="E207" s="79" t="s">
        <v>982</v>
      </c>
      <c r="F207" s="79" t="s">
        <v>983</v>
      </c>
      <c r="G207" s="79" t="s">
        <v>27</v>
      </c>
      <c r="H207" s="81">
        <v>0.74097222222222225</v>
      </c>
      <c r="I207" s="79" t="s">
        <v>10</v>
      </c>
      <c r="J207" s="82">
        <v>45908</v>
      </c>
      <c r="K207" s="82">
        <v>45933</v>
      </c>
      <c r="L207" s="78">
        <f>IF(ISBLANK(DATA[[#This Row],[DISCHARGE DATE]]), "NO DATE", DATA[[#This Row],[DISCHARGE DATE]]-DATA[[#This Row],[ADMISSION DATE]]+1)</f>
        <v>26</v>
      </c>
      <c r="M207" s="83">
        <v>350</v>
      </c>
      <c r="N207" s="83">
        <v>338</v>
      </c>
      <c r="O207" s="93" t="s">
        <v>984</v>
      </c>
      <c r="P207" s="93">
        <v>209</v>
      </c>
      <c r="Q207" s="84">
        <f>IF(DATA[[#This Row],[Column1]]="Normal", 13 * DATA[[#This Row],[STORAGE DAYS]], 20 * DATA[[#This Row],[STORAGE DAYS]])</f>
        <v>338</v>
      </c>
      <c r="R207" s="84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 t="shared" si="3"/>
        <v>349</v>
      </c>
      <c r="U207" s="112">
        <v>2025</v>
      </c>
      <c r="V207" s="112" t="s">
        <v>1911</v>
      </c>
      <c r="W207" s="112">
        <v>2025</v>
      </c>
      <c r="X207" s="112" t="s">
        <v>1914</v>
      </c>
    </row>
    <row r="208" spans="1:24" s="37" customFormat="1" ht="16.5" hidden="1" customHeight="1" x14ac:dyDescent="0.25">
      <c r="A208" s="77" t="s">
        <v>985</v>
      </c>
      <c r="B208" s="78" t="s">
        <v>986</v>
      </c>
      <c r="C208" s="78">
        <v>64</v>
      </c>
      <c r="D208" s="79" t="s">
        <v>4</v>
      </c>
      <c r="E208" s="79" t="s">
        <v>987</v>
      </c>
      <c r="F208" s="79" t="s">
        <v>990</v>
      </c>
      <c r="G208" s="79" t="s">
        <v>24</v>
      </c>
      <c r="H208" s="81" t="s">
        <v>988</v>
      </c>
      <c r="I208" s="79" t="s">
        <v>10</v>
      </c>
      <c r="J208" s="82">
        <v>45910</v>
      </c>
      <c r="K208" s="82">
        <v>45989</v>
      </c>
      <c r="L208" s="78">
        <f>IF(ISBLANK(DATA[[#This Row],[DISCHARGE DATE]]), "NO DATE", DATA[[#This Row],[DISCHARGE DATE]]-DATA[[#This Row],[ADMISSION DATE]]+1)</f>
        <v>80</v>
      </c>
      <c r="M208" s="83">
        <v>350</v>
      </c>
      <c r="N208" s="83">
        <v>1040</v>
      </c>
      <c r="O208" s="93" t="s">
        <v>989</v>
      </c>
      <c r="P208" s="93" t="s">
        <v>476</v>
      </c>
      <c r="Q208" s="84">
        <f>IF(DATA[[#This Row],[Column1]]="Normal", 13 * DATA[[#This Row],[STORAGE DAYS]], 20 * DATA[[#This Row],[STORAGE DAYS]])</f>
        <v>1040</v>
      </c>
      <c r="R208" s="84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 t="shared" si="3"/>
        <v>349</v>
      </c>
      <c r="U208" s="112">
        <v>2025</v>
      </c>
      <c r="V208" s="112" t="s">
        <v>1911</v>
      </c>
      <c r="W208" s="112">
        <v>2025</v>
      </c>
      <c r="X208" s="112" t="s">
        <v>1910</v>
      </c>
    </row>
    <row r="209" spans="1:24" s="37" customFormat="1" ht="16.5" hidden="1" customHeight="1" x14ac:dyDescent="0.25">
      <c r="A209" s="77" t="s">
        <v>992</v>
      </c>
      <c r="B209" s="78" t="s">
        <v>993</v>
      </c>
      <c r="C209" s="78">
        <v>59</v>
      </c>
      <c r="D209" s="79" t="s">
        <v>5</v>
      </c>
      <c r="E209" s="79" t="s">
        <v>994</v>
      </c>
      <c r="F209" s="79" t="s">
        <v>995</v>
      </c>
      <c r="G209" s="79" t="s">
        <v>27</v>
      </c>
      <c r="H209" s="81" t="s">
        <v>996</v>
      </c>
      <c r="I209" s="79" t="s">
        <v>10</v>
      </c>
      <c r="J209" s="82">
        <v>45911</v>
      </c>
      <c r="K209" s="82">
        <v>45961</v>
      </c>
      <c r="L209" s="78">
        <f>IF(ISBLANK(DATA[[#This Row],[DISCHARGE DATE]]), "NO DATE", DATA[[#This Row],[DISCHARGE DATE]]-DATA[[#This Row],[ADMISSION DATE]]+1)</f>
        <v>51</v>
      </c>
      <c r="M209" s="83">
        <v>350</v>
      </c>
      <c r="N209" s="83">
        <v>663</v>
      </c>
      <c r="O209" s="93" t="s">
        <v>1002</v>
      </c>
      <c r="P209" s="93" t="s">
        <v>1142</v>
      </c>
      <c r="Q209" s="84">
        <f>IF(DATA[[#This Row],[Column1]]="Normal", 13 * DATA[[#This Row],[STORAGE DAYS]], 20 * DATA[[#This Row],[STORAGE DAYS]])</f>
        <v>663</v>
      </c>
      <c r="R209" s="84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 t="shared" si="3"/>
        <v>349</v>
      </c>
      <c r="U209" s="112">
        <v>2025</v>
      </c>
      <c r="V209" s="112" t="s">
        <v>1911</v>
      </c>
      <c r="W209" s="112">
        <v>2025</v>
      </c>
      <c r="X209" s="112" t="s">
        <v>1914</v>
      </c>
    </row>
    <row r="210" spans="1:24" s="37" customFormat="1" ht="16.5" hidden="1" customHeight="1" x14ac:dyDescent="0.25">
      <c r="A210" s="77" t="s">
        <v>997</v>
      </c>
      <c r="B210" s="78" t="s">
        <v>998</v>
      </c>
      <c r="C210" s="78">
        <v>54</v>
      </c>
      <c r="D210" s="79" t="s">
        <v>5</v>
      </c>
      <c r="E210" s="79" t="s">
        <v>999</v>
      </c>
      <c r="F210" s="79" t="s">
        <v>1000</v>
      </c>
      <c r="G210" s="79" t="s">
        <v>27</v>
      </c>
      <c r="H210" s="81" t="s">
        <v>1001</v>
      </c>
      <c r="I210" s="79" t="s">
        <v>10</v>
      </c>
      <c r="J210" s="82">
        <v>45912</v>
      </c>
      <c r="K210" s="82">
        <v>45989</v>
      </c>
      <c r="L210" s="78">
        <f>IF(ISBLANK(DATA[[#This Row],[DISCHARGE DATE]]), "NO DATE", DATA[[#This Row],[DISCHARGE DATE]]-DATA[[#This Row],[ADMISSION DATE]]+1)</f>
        <v>78</v>
      </c>
      <c r="M210" s="83">
        <v>350</v>
      </c>
      <c r="N210" s="83">
        <v>1014</v>
      </c>
      <c r="O210" s="93" t="s">
        <v>1003</v>
      </c>
      <c r="P210" s="93" t="s">
        <v>513</v>
      </c>
      <c r="Q210" s="84">
        <f>IF(DATA[[#This Row],[Column1]]="Normal", 13 * DATA[[#This Row],[STORAGE DAYS]], 20 * DATA[[#This Row],[STORAGE DAYS]])</f>
        <v>1014</v>
      </c>
      <c r="R210" s="84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 t="shared" si="3"/>
        <v>349</v>
      </c>
      <c r="U210" s="112">
        <v>2025</v>
      </c>
      <c r="V210" s="112" t="s">
        <v>1911</v>
      </c>
      <c r="W210" s="112">
        <v>2025</v>
      </c>
      <c r="X210" s="112" t="s">
        <v>1910</v>
      </c>
    </row>
    <row r="211" spans="1:24" s="37" customFormat="1" ht="16.5" hidden="1" customHeight="1" x14ac:dyDescent="0.25">
      <c r="A211" s="77" t="s">
        <v>1004</v>
      </c>
      <c r="B211" s="78" t="s">
        <v>1005</v>
      </c>
      <c r="C211" s="78">
        <v>40</v>
      </c>
      <c r="D211" s="79" t="s">
        <v>5</v>
      </c>
      <c r="E211" s="79" t="s">
        <v>1006</v>
      </c>
      <c r="F211" s="79" t="s">
        <v>1007</v>
      </c>
      <c r="G211" s="79" t="s">
        <v>24</v>
      </c>
      <c r="H211" s="81" t="s">
        <v>1008</v>
      </c>
      <c r="I211" s="79" t="s">
        <v>10</v>
      </c>
      <c r="J211" s="82">
        <v>45914</v>
      </c>
      <c r="K211" s="82">
        <v>45989</v>
      </c>
      <c r="L211" s="78">
        <f>IF(ISBLANK(DATA[[#This Row],[DISCHARGE DATE]]), "NO DATE", DATA[[#This Row],[DISCHARGE DATE]]-DATA[[#This Row],[ADMISSION DATE]]+1)</f>
        <v>76</v>
      </c>
      <c r="M211" s="83">
        <v>350</v>
      </c>
      <c r="N211" s="83">
        <v>988</v>
      </c>
      <c r="O211" s="93" t="s">
        <v>1009</v>
      </c>
      <c r="P211" s="93" t="s">
        <v>1285</v>
      </c>
      <c r="Q211" s="84">
        <f>IF(DATA[[#This Row],[Column1]]="Normal", 13 * DATA[[#This Row],[STORAGE DAYS]], 20 * DATA[[#This Row],[STORAGE DAYS]])</f>
        <v>988</v>
      </c>
      <c r="R211" s="84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 t="shared" si="3"/>
        <v>349</v>
      </c>
      <c r="U211" s="112">
        <v>2025</v>
      </c>
      <c r="V211" s="112" t="s">
        <v>1911</v>
      </c>
      <c r="W211" s="112">
        <v>2025</v>
      </c>
      <c r="X211" s="112" t="s">
        <v>1910</v>
      </c>
    </row>
    <row r="212" spans="1:24" s="37" customFormat="1" ht="16.5" hidden="1" customHeight="1" x14ac:dyDescent="0.25">
      <c r="A212" s="77" t="s">
        <v>1010</v>
      </c>
      <c r="B212" s="78" t="s">
        <v>1011</v>
      </c>
      <c r="C212" s="78">
        <v>27</v>
      </c>
      <c r="D212" s="79" t="s">
        <v>5</v>
      </c>
      <c r="E212" s="79" t="s">
        <v>1014</v>
      </c>
      <c r="F212" s="79" t="s">
        <v>1015</v>
      </c>
      <c r="G212" s="79" t="s">
        <v>18</v>
      </c>
      <c r="H212" s="81">
        <v>0.43055555555555558</v>
      </c>
      <c r="I212" s="79" t="s">
        <v>12</v>
      </c>
      <c r="J212" s="82">
        <v>45915</v>
      </c>
      <c r="K212" s="82">
        <v>45920</v>
      </c>
      <c r="L212" s="78">
        <f>IF(ISBLANK(DATA[[#This Row],[DISCHARGE DATE]]), "NO DATE", DATA[[#This Row],[DISCHARGE DATE]]-DATA[[#This Row],[ADMISSION DATE]]+1)</f>
        <v>6</v>
      </c>
      <c r="M212" s="83">
        <v>350</v>
      </c>
      <c r="N212" s="83">
        <v>120</v>
      </c>
      <c r="O212" s="93" t="s">
        <v>1012</v>
      </c>
      <c r="P212" s="93" t="s">
        <v>1018</v>
      </c>
      <c r="Q212" s="84">
        <f>IF(DATA[[#This Row],[Column1]]="Normal", 13 * DATA[[#This Row],[STORAGE DAYS]], 20 * DATA[[#This Row],[STORAGE DAYS]])</f>
        <v>120</v>
      </c>
      <c r="R212" s="84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 t="shared" si="3"/>
        <v>349</v>
      </c>
      <c r="U212" s="112">
        <v>2025</v>
      </c>
      <c r="V212" s="112" t="s">
        <v>1911</v>
      </c>
      <c r="W212" s="112">
        <v>2025</v>
      </c>
      <c r="X212" s="112" t="s">
        <v>1911</v>
      </c>
    </row>
    <row r="213" spans="1:24" s="37" customFormat="1" ht="16.5" hidden="1" customHeight="1" x14ac:dyDescent="0.25">
      <c r="A213" s="77" t="s">
        <v>1019</v>
      </c>
      <c r="B213" s="78" t="s">
        <v>1020</v>
      </c>
      <c r="C213" s="78">
        <v>93</v>
      </c>
      <c r="D213" s="79" t="s">
        <v>5</v>
      </c>
      <c r="E213" s="79" t="s">
        <v>1021</v>
      </c>
      <c r="F213" s="79" t="s">
        <v>1022</v>
      </c>
      <c r="G213" s="79" t="s">
        <v>26</v>
      </c>
      <c r="H213" s="81" t="s">
        <v>1023</v>
      </c>
      <c r="I213" s="79" t="s">
        <v>10</v>
      </c>
      <c r="J213" s="82">
        <v>45923</v>
      </c>
      <c r="K213" s="82">
        <v>46129</v>
      </c>
      <c r="L213" s="78">
        <f>IF(ISBLANK(DATA[[#This Row],[DISCHARGE DATE]]), "NO DATE", DATA[[#This Row],[DISCHARGE DATE]]-DATA[[#This Row],[ADMISSION DATE]]+1)</f>
        <v>207</v>
      </c>
      <c r="M213" s="83">
        <v>350</v>
      </c>
      <c r="N213" s="83">
        <v>2691</v>
      </c>
      <c r="O213" s="93" t="s">
        <v>1024</v>
      </c>
      <c r="P213" s="93">
        <v>217</v>
      </c>
      <c r="Q213" s="84">
        <f>IF(DATA[[#This Row],[Column1]]="Normal", 13 * DATA[[#This Row],[STORAGE DAYS]], 20 * DATA[[#This Row],[STORAGE DAYS]])</f>
        <v>2691</v>
      </c>
      <c r="R213" s="84">
        <f>DATA[[#This Row],[COLDROOM FEE]]-DATA[[#This Row],[STORAGE FEE]]</f>
        <v>0</v>
      </c>
      <c r="S213" s="149" t="str">
        <f>IF(ISBLANK(DATA[[#This Row],[COLDROOM RECEIPT]]), "IN CUSTODY", "DISCHARGED")</f>
        <v>DISCHARGED</v>
      </c>
      <c r="T213" s="36">
        <f t="shared" si="3"/>
        <v>349</v>
      </c>
      <c r="U213" s="112">
        <v>2025</v>
      </c>
      <c r="V213" s="112" t="s">
        <v>1911</v>
      </c>
      <c r="W213" s="112">
        <v>2026</v>
      </c>
      <c r="X213" s="112" t="s">
        <v>1873</v>
      </c>
    </row>
    <row r="214" spans="1:24" s="37" customFormat="1" ht="16.5" hidden="1" customHeight="1" x14ac:dyDescent="0.25">
      <c r="A214" s="77" t="s">
        <v>1025</v>
      </c>
      <c r="B214" s="78" t="s">
        <v>1026</v>
      </c>
      <c r="C214" s="78">
        <v>43</v>
      </c>
      <c r="D214" s="79" t="s">
        <v>5</v>
      </c>
      <c r="E214" s="79" t="s">
        <v>1027</v>
      </c>
      <c r="F214" s="79" t="s">
        <v>1028</v>
      </c>
      <c r="G214" s="79" t="s">
        <v>25</v>
      </c>
      <c r="H214" s="81" t="s">
        <v>1001</v>
      </c>
      <c r="I214" s="79" t="s">
        <v>10</v>
      </c>
      <c r="J214" s="82">
        <v>45925</v>
      </c>
      <c r="K214" s="82">
        <v>45961</v>
      </c>
      <c r="L214" s="78">
        <f>IF(ISBLANK(DATA[[#This Row],[DISCHARGE DATE]]), "NO DATE", DATA[[#This Row],[DISCHARGE DATE]]-DATA[[#This Row],[ADMISSION DATE]]+1)</f>
        <v>37</v>
      </c>
      <c r="M214" s="83">
        <v>350</v>
      </c>
      <c r="N214" s="83">
        <v>481</v>
      </c>
      <c r="O214" s="93" t="s">
        <v>1034</v>
      </c>
      <c r="P214" s="93" t="s">
        <v>1167</v>
      </c>
      <c r="Q214" s="84">
        <f>IF(DATA[[#This Row],[Column1]]="Normal", 13 * DATA[[#This Row],[STORAGE DAYS]], 20 * DATA[[#This Row],[STORAGE DAYS]])</f>
        <v>481</v>
      </c>
      <c r="R214" s="84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 t="shared" si="3"/>
        <v>349</v>
      </c>
      <c r="U214" s="112">
        <v>2025</v>
      </c>
      <c r="V214" s="112" t="s">
        <v>1911</v>
      </c>
      <c r="W214" s="112">
        <v>2025</v>
      </c>
      <c r="X214" s="112" t="s">
        <v>1914</v>
      </c>
    </row>
    <row r="215" spans="1:24" s="37" customFormat="1" ht="16.5" hidden="1" customHeight="1" x14ac:dyDescent="0.25">
      <c r="A215" s="77" t="s">
        <v>1029</v>
      </c>
      <c r="B215" s="78" t="s">
        <v>1030</v>
      </c>
      <c r="C215" s="78">
        <v>38</v>
      </c>
      <c r="D215" s="79" t="s">
        <v>5</v>
      </c>
      <c r="E215" s="79" t="s">
        <v>1031</v>
      </c>
      <c r="F215" s="79" t="s">
        <v>1032</v>
      </c>
      <c r="G215" s="79" t="s">
        <v>27</v>
      </c>
      <c r="H215" s="81" t="s">
        <v>1033</v>
      </c>
      <c r="I215" s="79" t="s">
        <v>10</v>
      </c>
      <c r="J215" s="82">
        <v>45925</v>
      </c>
      <c r="K215" s="82">
        <v>45998</v>
      </c>
      <c r="L215" s="78">
        <f>IF(ISBLANK(DATA[[#This Row],[DISCHARGE DATE]]), "NO DATE", DATA[[#This Row],[DISCHARGE DATE]]-DATA[[#This Row],[ADMISSION DATE]]+1)</f>
        <v>74</v>
      </c>
      <c r="M215" s="83">
        <v>350</v>
      </c>
      <c r="N215" s="83">
        <v>962</v>
      </c>
      <c r="O215" s="93" t="s">
        <v>1035</v>
      </c>
      <c r="P215" s="93" t="s">
        <v>527</v>
      </c>
      <c r="Q215" s="84">
        <f>IF(DATA[[#This Row],[Column1]]="Normal", 13 * DATA[[#This Row],[STORAGE DAYS]], 20 * DATA[[#This Row],[STORAGE DAYS]])</f>
        <v>962</v>
      </c>
      <c r="R215" s="84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 t="shared" si="3"/>
        <v>349</v>
      </c>
      <c r="U215" s="112">
        <v>2025</v>
      </c>
      <c r="V215" s="112" t="s">
        <v>1911</v>
      </c>
      <c r="W215" s="112">
        <v>2025</v>
      </c>
      <c r="X215" s="112" t="s">
        <v>1916</v>
      </c>
    </row>
    <row r="216" spans="1:24" s="37" customFormat="1" ht="16.5" hidden="1" customHeight="1" x14ac:dyDescent="0.25">
      <c r="A216" s="77" t="s">
        <v>1036</v>
      </c>
      <c r="B216" s="78" t="s">
        <v>1037</v>
      </c>
      <c r="C216" s="78">
        <v>75</v>
      </c>
      <c r="D216" s="79" t="s">
        <v>5</v>
      </c>
      <c r="E216" s="79" t="s">
        <v>1038</v>
      </c>
      <c r="F216" s="79" t="s">
        <v>1039</v>
      </c>
      <c r="G216" s="79" t="s">
        <v>27</v>
      </c>
      <c r="H216" s="81" t="s">
        <v>1040</v>
      </c>
      <c r="I216" s="79" t="s">
        <v>10</v>
      </c>
      <c r="J216" s="82">
        <v>45927</v>
      </c>
      <c r="K216" s="82">
        <v>46108</v>
      </c>
      <c r="L216" s="78">
        <f>IF(ISBLANK(DATA[[#This Row],[DISCHARGE DATE]]), "NO DATE", DATA[[#This Row],[DISCHARGE DATE]]-DATA[[#This Row],[ADMISSION DATE]]+1)</f>
        <v>182</v>
      </c>
      <c r="M216" s="83">
        <v>350</v>
      </c>
      <c r="N216" s="83">
        <v>2366</v>
      </c>
      <c r="O216" s="93" t="s">
        <v>1046</v>
      </c>
      <c r="P216" s="93">
        <v>133</v>
      </c>
      <c r="Q216" s="84">
        <f>IF(DATA[[#This Row],[Column1]]="Normal", 13 * DATA[[#This Row],[STORAGE DAYS]], 20 * DATA[[#This Row],[STORAGE DAYS]])</f>
        <v>2366</v>
      </c>
      <c r="R216" s="84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 t="shared" si="3"/>
        <v>349</v>
      </c>
      <c r="U216" s="112">
        <v>2025</v>
      </c>
      <c r="V216" s="112" t="s">
        <v>1911</v>
      </c>
      <c r="W216" s="112">
        <v>2026</v>
      </c>
      <c r="X216" s="112" t="s">
        <v>1912</v>
      </c>
    </row>
    <row r="217" spans="1:24" s="37" customFormat="1" ht="16.5" hidden="1" customHeight="1" x14ac:dyDescent="0.25">
      <c r="A217" s="77" t="s">
        <v>1041</v>
      </c>
      <c r="B217" s="78" t="s">
        <v>1042</v>
      </c>
      <c r="C217" s="78">
        <v>57</v>
      </c>
      <c r="D217" s="79" t="s">
        <v>5</v>
      </c>
      <c r="E217" s="79" t="s">
        <v>1043</v>
      </c>
      <c r="F217" s="79" t="s">
        <v>1044</v>
      </c>
      <c r="G217" s="79" t="s">
        <v>25</v>
      </c>
      <c r="H217" s="81" t="s">
        <v>1045</v>
      </c>
      <c r="I217" s="79" t="s">
        <v>10</v>
      </c>
      <c r="J217" s="82">
        <v>45932</v>
      </c>
      <c r="K217" s="82">
        <v>46059</v>
      </c>
      <c r="L217" s="78">
        <f>IF(ISBLANK(DATA[[#This Row],[DISCHARGE DATE]]), "NO DATE", DATA[[#This Row],[DISCHARGE DATE]]-DATA[[#This Row],[ADMISSION DATE]]+1)</f>
        <v>128</v>
      </c>
      <c r="M217" s="83">
        <v>350</v>
      </c>
      <c r="N217" s="83">
        <v>1664</v>
      </c>
      <c r="O217" s="93" t="s">
        <v>1047</v>
      </c>
      <c r="P217" s="93">
        <v>134</v>
      </c>
      <c r="Q217" s="84">
        <f>IF(DATA[[#This Row],[Column1]]="Normal", 13 * DATA[[#This Row],[STORAGE DAYS]], 20 * DATA[[#This Row],[STORAGE DAYS]])</f>
        <v>1664</v>
      </c>
      <c r="R217" s="84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 t="shared" si="3"/>
        <v>349</v>
      </c>
      <c r="U217" s="112">
        <v>2025</v>
      </c>
      <c r="V217" s="112" t="s">
        <v>1914</v>
      </c>
      <c r="W217" s="112">
        <v>2026</v>
      </c>
      <c r="X217" s="112" t="s">
        <v>1915</v>
      </c>
    </row>
    <row r="218" spans="1:24" s="37" customFormat="1" ht="16.5" hidden="1" customHeight="1" x14ac:dyDescent="0.25">
      <c r="A218" s="77" t="s">
        <v>1050</v>
      </c>
      <c r="B218" s="78" t="s">
        <v>1051</v>
      </c>
      <c r="C218" s="78">
        <v>70</v>
      </c>
      <c r="D218" s="79" t="s">
        <v>4</v>
      </c>
      <c r="E218" s="79" t="s">
        <v>1052</v>
      </c>
      <c r="F218" s="79" t="s">
        <v>1053</v>
      </c>
      <c r="G218" s="79" t="s">
        <v>27</v>
      </c>
      <c r="H218" s="81" t="s">
        <v>1054</v>
      </c>
      <c r="I218" s="79" t="s">
        <v>12</v>
      </c>
      <c r="J218" s="82">
        <v>45935</v>
      </c>
      <c r="K218" s="82">
        <v>46108</v>
      </c>
      <c r="L218" s="78">
        <f>IF(ISBLANK(DATA[[#This Row],[DISCHARGE DATE]]), "NO DATE", DATA[[#This Row],[DISCHARGE DATE]]-DATA[[#This Row],[ADMISSION DATE]]+1)</f>
        <v>174</v>
      </c>
      <c r="M218" s="83">
        <v>350</v>
      </c>
      <c r="N218" s="83">
        <v>3480</v>
      </c>
      <c r="O218" s="93" t="s">
        <v>1055</v>
      </c>
      <c r="P218" s="93">
        <v>251</v>
      </c>
      <c r="Q218" s="84">
        <f>IF(DATA[[#This Row],[Column1]]="Normal", 13 * DATA[[#This Row],[STORAGE DAYS]], 20 * DATA[[#This Row],[STORAGE DAYS]])</f>
        <v>3480</v>
      </c>
      <c r="R218" s="84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 t="shared" si="3"/>
        <v>349</v>
      </c>
      <c r="U218" s="112">
        <v>2025</v>
      </c>
      <c r="V218" s="112" t="s">
        <v>1914</v>
      </c>
      <c r="W218" s="112">
        <v>2026</v>
      </c>
      <c r="X218" s="112" t="s">
        <v>1912</v>
      </c>
    </row>
    <row r="219" spans="1:24" s="37" customFormat="1" ht="16.5" hidden="1" customHeight="1" x14ac:dyDescent="0.25">
      <c r="A219" s="77" t="s">
        <v>1056</v>
      </c>
      <c r="B219" s="78" t="s">
        <v>1139</v>
      </c>
      <c r="C219" s="78">
        <v>55</v>
      </c>
      <c r="D219" s="79" t="s">
        <v>4</v>
      </c>
      <c r="E219" s="79" t="s">
        <v>634</v>
      </c>
      <c r="F219" s="79" t="s">
        <v>1057</v>
      </c>
      <c r="G219" s="79" t="s">
        <v>27</v>
      </c>
      <c r="H219" s="81">
        <v>0.8208333333333333</v>
      </c>
      <c r="I219" s="79" t="s">
        <v>10</v>
      </c>
      <c r="J219" s="82">
        <v>45933</v>
      </c>
      <c r="K219" s="82">
        <v>45961</v>
      </c>
      <c r="L219" s="78">
        <f>IF(ISBLANK(DATA[[#This Row],[DISCHARGE DATE]]), "NO DATE", DATA[[#This Row],[DISCHARGE DATE]]-DATA[[#This Row],[ADMISSION DATE]]+1)</f>
        <v>29</v>
      </c>
      <c r="M219" s="83">
        <v>350</v>
      </c>
      <c r="N219" s="83">
        <v>377</v>
      </c>
      <c r="O219" s="93" t="s">
        <v>1063</v>
      </c>
      <c r="P219" s="93" t="s">
        <v>1108</v>
      </c>
      <c r="Q219" s="84">
        <f>IF(DATA[[#This Row],[Column1]]="Normal", 13 * DATA[[#This Row],[STORAGE DAYS]], 20 * DATA[[#This Row],[STORAGE DAYS]])</f>
        <v>377</v>
      </c>
      <c r="R219" s="84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 t="shared" si="3"/>
        <v>349</v>
      </c>
      <c r="U219" s="112">
        <v>2025</v>
      </c>
      <c r="V219" s="112" t="s">
        <v>1914</v>
      </c>
      <c r="W219" s="112">
        <v>2025</v>
      </c>
      <c r="X219" s="112" t="s">
        <v>1914</v>
      </c>
    </row>
    <row r="220" spans="1:24" s="37" customFormat="1" ht="16.5" hidden="1" customHeight="1" x14ac:dyDescent="0.25">
      <c r="A220" s="77" t="s">
        <v>1059</v>
      </c>
      <c r="B220" s="78" t="s">
        <v>1060</v>
      </c>
      <c r="C220" s="78">
        <v>70</v>
      </c>
      <c r="D220" s="79" t="s">
        <v>4</v>
      </c>
      <c r="E220" s="79" t="s">
        <v>1061</v>
      </c>
      <c r="F220" s="79" t="s">
        <v>1062</v>
      </c>
      <c r="G220" s="79" t="s">
        <v>27</v>
      </c>
      <c r="H220" s="81" t="s">
        <v>1058</v>
      </c>
      <c r="I220" s="79" t="s">
        <v>12</v>
      </c>
      <c r="J220" s="82">
        <v>45937</v>
      </c>
      <c r="K220" s="82">
        <v>46108</v>
      </c>
      <c r="L220" s="78">
        <f>IF(ISBLANK(DATA[[#This Row],[DISCHARGE DATE]]), "NO DATE", DATA[[#This Row],[DISCHARGE DATE]]-DATA[[#This Row],[ADMISSION DATE]]+1)</f>
        <v>172</v>
      </c>
      <c r="M220" s="83">
        <v>350</v>
      </c>
      <c r="N220" s="83">
        <v>3440</v>
      </c>
      <c r="O220" s="93" t="s">
        <v>1064</v>
      </c>
      <c r="P220" s="93">
        <v>264</v>
      </c>
      <c r="Q220" s="84">
        <f>IF(DATA[[#This Row],[Column1]]="Normal", 13 * DATA[[#This Row],[STORAGE DAYS]], 20 * DATA[[#This Row],[STORAGE DAYS]])</f>
        <v>3440</v>
      </c>
      <c r="R220" s="84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 t="shared" si="3"/>
        <v>349</v>
      </c>
      <c r="U220" s="112">
        <v>2025</v>
      </c>
      <c r="V220" s="112" t="s">
        <v>1914</v>
      </c>
      <c r="W220" s="112">
        <v>2026</v>
      </c>
      <c r="X220" s="112" t="s">
        <v>1912</v>
      </c>
    </row>
    <row r="221" spans="1:24" s="37" customFormat="1" ht="16.5" hidden="1" customHeight="1" x14ac:dyDescent="0.25">
      <c r="A221" s="77" t="s">
        <v>742</v>
      </c>
      <c r="B221" s="78" t="s">
        <v>743</v>
      </c>
      <c r="C221" s="78">
        <v>78</v>
      </c>
      <c r="D221" s="79" t="s">
        <v>5</v>
      </c>
      <c r="E221" s="79" t="s">
        <v>494</v>
      </c>
      <c r="F221" s="79" t="s">
        <v>1609</v>
      </c>
      <c r="G221" s="79" t="s">
        <v>27</v>
      </c>
      <c r="H221" s="81">
        <v>0.625</v>
      </c>
      <c r="I221" s="79" t="s">
        <v>10</v>
      </c>
      <c r="J221" s="82">
        <v>45849</v>
      </c>
      <c r="K221" s="82">
        <v>46143</v>
      </c>
      <c r="L221" s="78">
        <f>IF(ISBLANK(DATA[[#This Row],[DISCHARGE DATE]]), "NO DATE", DATA[[#This Row],[DISCHARGE DATE]]-DATA[[#This Row],[ADMISSION DATE]]+1)</f>
        <v>295</v>
      </c>
      <c r="M221" s="83">
        <v>350</v>
      </c>
      <c r="N221" s="83">
        <v>3835</v>
      </c>
      <c r="O221" s="93" t="s">
        <v>586</v>
      </c>
      <c r="P221" s="93">
        <v>270</v>
      </c>
      <c r="Q221" s="84">
        <f>IF(DATA[[#This Row],[Column1]]="Normal", 13 * DATA[[#This Row],[STORAGE DAYS]], 20 * DATA[[#This Row],[STORAGE DAYS]])</f>
        <v>3835</v>
      </c>
      <c r="R221" s="84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 t="shared" si="3"/>
        <v>349</v>
      </c>
      <c r="U221" s="112">
        <v>2025</v>
      </c>
      <c r="V221" s="112" t="s">
        <v>1914</v>
      </c>
      <c r="W221" s="112">
        <v>2026</v>
      </c>
      <c r="X221" s="112" t="s">
        <v>1913</v>
      </c>
    </row>
    <row r="222" spans="1:24" s="37" customFormat="1" ht="16.5" hidden="1" customHeight="1" x14ac:dyDescent="0.25">
      <c r="A222" s="77" t="s">
        <v>1071</v>
      </c>
      <c r="B222" s="78" t="s">
        <v>1072</v>
      </c>
      <c r="C222" s="78">
        <v>17</v>
      </c>
      <c r="D222" s="79" t="s">
        <v>4</v>
      </c>
      <c r="E222" s="79" t="s">
        <v>1073</v>
      </c>
      <c r="F222" s="79" t="s">
        <v>1074</v>
      </c>
      <c r="G222" s="79" t="s">
        <v>24</v>
      </c>
      <c r="H222" s="81" t="s">
        <v>1075</v>
      </c>
      <c r="I222" s="79" t="s">
        <v>12</v>
      </c>
      <c r="J222" s="82">
        <v>45942</v>
      </c>
      <c r="K222" s="82">
        <v>46009</v>
      </c>
      <c r="L222" s="78">
        <f>IF(ISBLANK(DATA[[#This Row],[DISCHARGE DATE]]), "NO DATE", DATA[[#This Row],[DISCHARGE DATE]]-DATA[[#This Row],[ADMISSION DATE]]+1)</f>
        <v>68</v>
      </c>
      <c r="M222" s="83">
        <v>350</v>
      </c>
      <c r="N222" s="83">
        <v>1360</v>
      </c>
      <c r="O222" s="93" t="s">
        <v>1076</v>
      </c>
      <c r="P222" s="93">
        <v>122</v>
      </c>
      <c r="Q222" s="84">
        <f>IF(DATA[[#This Row],[Column1]]="Normal", 13 * DATA[[#This Row],[STORAGE DAYS]], 20 * DATA[[#This Row],[STORAGE DAYS]])</f>
        <v>1360</v>
      </c>
      <c r="R222" s="84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 t="shared" si="3"/>
        <v>349</v>
      </c>
      <c r="U222" s="112">
        <v>2025</v>
      </c>
      <c r="V222" s="112" t="s">
        <v>1914</v>
      </c>
      <c r="W222" s="112">
        <v>2025</v>
      </c>
      <c r="X222" s="112" t="s">
        <v>1916</v>
      </c>
    </row>
    <row r="223" spans="1:24" s="37" customFormat="1" ht="16.5" hidden="1" customHeight="1" x14ac:dyDescent="0.25">
      <c r="A223" s="77" t="s">
        <v>1077</v>
      </c>
      <c r="B223" s="78" t="s">
        <v>77</v>
      </c>
      <c r="C223" s="78">
        <v>68</v>
      </c>
      <c r="D223" s="79" t="s">
        <v>5</v>
      </c>
      <c r="E223" s="79" t="s">
        <v>1078</v>
      </c>
      <c r="F223" s="79" t="s">
        <v>1079</v>
      </c>
      <c r="G223" s="79" t="s">
        <v>27</v>
      </c>
      <c r="H223" s="81" t="s">
        <v>1080</v>
      </c>
      <c r="I223" s="79" t="s">
        <v>10</v>
      </c>
      <c r="J223" s="82">
        <v>45945</v>
      </c>
      <c r="K223" s="82">
        <v>46108</v>
      </c>
      <c r="L223" s="78">
        <f>IF(ISBLANK(DATA[[#This Row],[DISCHARGE DATE]]), "NO DATE", DATA[[#This Row],[DISCHARGE DATE]]-DATA[[#This Row],[ADMISSION DATE]]+1)</f>
        <v>164</v>
      </c>
      <c r="M223" s="83">
        <v>350</v>
      </c>
      <c r="N223" s="83">
        <v>2132</v>
      </c>
      <c r="O223" s="93" t="s">
        <v>1081</v>
      </c>
      <c r="P223" s="93">
        <v>139</v>
      </c>
      <c r="Q223" s="84">
        <f>IF(DATA[[#This Row],[Column1]]="Normal", 13 * DATA[[#This Row],[STORAGE DAYS]], 20 * DATA[[#This Row],[STORAGE DAYS]])</f>
        <v>2132</v>
      </c>
      <c r="R223" s="84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 t="shared" si="3"/>
        <v>349</v>
      </c>
      <c r="U223" s="112">
        <v>2025</v>
      </c>
      <c r="V223" s="112" t="s">
        <v>1914</v>
      </c>
      <c r="W223" s="112">
        <v>2026</v>
      </c>
      <c r="X223" s="112" t="s">
        <v>1912</v>
      </c>
    </row>
    <row r="224" spans="1:24" s="37" customFormat="1" ht="16.5" hidden="1" customHeight="1" x14ac:dyDescent="0.25">
      <c r="A224" s="77" t="s">
        <v>1082</v>
      </c>
      <c r="B224" s="78" t="s">
        <v>1083</v>
      </c>
      <c r="C224" s="78">
        <v>42</v>
      </c>
      <c r="D224" s="79" t="s">
        <v>4</v>
      </c>
      <c r="E224" s="79" t="s">
        <v>1084</v>
      </c>
      <c r="F224" s="79" t="s">
        <v>1085</v>
      </c>
      <c r="G224" s="79" t="s">
        <v>27</v>
      </c>
      <c r="H224" s="81" t="s">
        <v>1086</v>
      </c>
      <c r="I224" s="79" t="s">
        <v>10</v>
      </c>
      <c r="J224" s="82">
        <v>45944</v>
      </c>
      <c r="K224" s="82">
        <v>45989</v>
      </c>
      <c r="L224" s="78">
        <f>IF(ISBLANK(DATA[[#This Row],[DISCHARGE DATE]]), "NO DATE", DATA[[#This Row],[DISCHARGE DATE]]-DATA[[#This Row],[ADMISSION DATE]]+1)</f>
        <v>46</v>
      </c>
      <c r="M224" s="83">
        <v>350</v>
      </c>
      <c r="N224" s="83">
        <v>598</v>
      </c>
      <c r="O224" s="93" t="s">
        <v>1100</v>
      </c>
      <c r="P224" s="93" t="s">
        <v>458</v>
      </c>
      <c r="Q224" s="84">
        <f>IF(DATA[[#This Row],[Column1]]="Normal", 13 * DATA[[#This Row],[STORAGE DAYS]], 20 * DATA[[#This Row],[STORAGE DAYS]])</f>
        <v>598</v>
      </c>
      <c r="R224" s="84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 t="shared" si="3"/>
        <v>349</v>
      </c>
      <c r="U224" s="112">
        <v>2025</v>
      </c>
      <c r="V224" s="112" t="s">
        <v>1914</v>
      </c>
      <c r="W224" s="112">
        <v>2025</v>
      </c>
      <c r="X224" s="112" t="s">
        <v>1910</v>
      </c>
    </row>
    <row r="225" spans="1:24" s="37" customFormat="1" ht="16.5" hidden="1" customHeight="1" x14ac:dyDescent="0.25">
      <c r="A225" s="77" t="s">
        <v>1087</v>
      </c>
      <c r="B225" s="78" t="s">
        <v>1143</v>
      </c>
      <c r="C225" s="78">
        <v>77</v>
      </c>
      <c r="D225" s="79" t="s">
        <v>5</v>
      </c>
      <c r="E225" s="79" t="s">
        <v>1098</v>
      </c>
      <c r="F225" s="79" t="s">
        <v>1099</v>
      </c>
      <c r="G225" s="79" t="s">
        <v>26</v>
      </c>
      <c r="H225" s="81">
        <v>0.77083333333333337</v>
      </c>
      <c r="I225" s="79" t="s">
        <v>10</v>
      </c>
      <c r="J225" s="82">
        <v>45945</v>
      </c>
      <c r="K225" s="82">
        <v>46073</v>
      </c>
      <c r="L225" s="78">
        <f>IF(ISBLANK(DATA[[#This Row],[DISCHARGE DATE]]), "NO DATE", DATA[[#This Row],[DISCHARGE DATE]]-DATA[[#This Row],[ADMISSION DATE]]+1)</f>
        <v>129</v>
      </c>
      <c r="M225" s="83">
        <v>350</v>
      </c>
      <c r="N225" s="83">
        <v>1677</v>
      </c>
      <c r="O225" s="93" t="s">
        <v>1101</v>
      </c>
      <c r="P225" s="93">
        <v>123</v>
      </c>
      <c r="Q225" s="84">
        <f>IF(DATA[[#This Row],[Column1]]="Normal", 13 * DATA[[#This Row],[STORAGE DAYS]], 20 * DATA[[#This Row],[STORAGE DAYS]])</f>
        <v>1677</v>
      </c>
      <c r="R225" s="84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 t="shared" si="3"/>
        <v>349</v>
      </c>
      <c r="U225" s="112">
        <v>2025</v>
      </c>
      <c r="V225" s="112" t="s">
        <v>1914</v>
      </c>
      <c r="W225" s="112">
        <v>2026</v>
      </c>
      <c r="X225" s="112" t="s">
        <v>1915</v>
      </c>
    </row>
    <row r="226" spans="1:24" s="37" customFormat="1" ht="16.5" hidden="1" customHeight="1" x14ac:dyDescent="0.25">
      <c r="A226" s="77" t="s">
        <v>1065</v>
      </c>
      <c r="B226" s="78" t="s">
        <v>1066</v>
      </c>
      <c r="C226" s="78">
        <v>30</v>
      </c>
      <c r="D226" s="79" t="s">
        <v>4</v>
      </c>
      <c r="E226" s="79" t="s">
        <v>1067</v>
      </c>
      <c r="F226" s="79" t="s">
        <v>1068</v>
      </c>
      <c r="G226" s="79" t="s">
        <v>26</v>
      </c>
      <c r="H226" s="81" t="s">
        <v>1069</v>
      </c>
      <c r="I226" s="79" t="s">
        <v>10</v>
      </c>
      <c r="J226" s="82">
        <v>45940</v>
      </c>
      <c r="K226" s="82">
        <v>46143</v>
      </c>
      <c r="L226" s="78">
        <f>IF(ISBLANK(DATA[[#This Row],[DISCHARGE DATE]]), "NO DATE", DATA[[#This Row],[DISCHARGE DATE]]-DATA[[#This Row],[ADMISSION DATE]]+1)</f>
        <v>204</v>
      </c>
      <c r="M226" s="83">
        <v>350</v>
      </c>
      <c r="N226" s="83">
        <v>2652</v>
      </c>
      <c r="O226" s="93" t="s">
        <v>1070</v>
      </c>
      <c r="P226" s="93">
        <v>290</v>
      </c>
      <c r="Q226" s="84">
        <f>IF(DATA[[#This Row],[Column1]]="Normal", 13 * DATA[[#This Row],[STORAGE DAYS]], 20 * DATA[[#This Row],[STORAGE DAYS]])</f>
        <v>2652</v>
      </c>
      <c r="R226" s="84">
        <f>DATA[[#This Row],[COLDROOM FEE]]-DATA[[#This Row],[STORAGE FEE]]</f>
        <v>0</v>
      </c>
      <c r="S226" s="149" t="str">
        <f>IF(ISBLANK(DATA[[#This Row],[COLDROOM RECEIPT]]), "IN CUSTODY", "DISCHARGED")</f>
        <v>DISCHARGED</v>
      </c>
      <c r="T226" s="36">
        <f t="shared" si="3"/>
        <v>349</v>
      </c>
      <c r="U226" s="112">
        <v>2025</v>
      </c>
      <c r="V226" s="112" t="s">
        <v>1914</v>
      </c>
      <c r="W226" s="112">
        <v>2026</v>
      </c>
      <c r="X226" s="112" t="s">
        <v>1913</v>
      </c>
    </row>
    <row r="227" spans="1:24" s="37" customFormat="1" ht="16.5" hidden="1" customHeight="1" x14ac:dyDescent="0.25">
      <c r="A227" s="77" t="s">
        <v>1097</v>
      </c>
      <c r="B227" s="78" t="s">
        <v>1093</v>
      </c>
      <c r="C227" s="78">
        <v>62</v>
      </c>
      <c r="D227" s="79" t="s">
        <v>5</v>
      </c>
      <c r="E227" s="79" t="s">
        <v>1094</v>
      </c>
      <c r="F227" s="79" t="s">
        <v>1095</v>
      </c>
      <c r="G227" s="79" t="s">
        <v>27</v>
      </c>
      <c r="H227" s="81" t="s">
        <v>1096</v>
      </c>
      <c r="I227" s="79" t="s">
        <v>10</v>
      </c>
      <c r="J227" s="82">
        <v>45948</v>
      </c>
      <c r="K227" s="82">
        <v>45989</v>
      </c>
      <c r="L227" s="78">
        <f>IF(ISBLANK(DATA[[#This Row],[DISCHARGE DATE]]), "NO DATE", DATA[[#This Row],[DISCHARGE DATE]]-DATA[[#This Row],[ADMISSION DATE]]+1)</f>
        <v>42</v>
      </c>
      <c r="M227" s="83">
        <v>350</v>
      </c>
      <c r="N227" s="83">
        <v>546</v>
      </c>
      <c r="O227" s="93" t="s">
        <v>1103</v>
      </c>
      <c r="P227" s="93" t="s">
        <v>460</v>
      </c>
      <c r="Q227" s="84">
        <f>IF(DATA[[#This Row],[Column1]]="Normal", 13 * DATA[[#This Row],[STORAGE DAYS]], 20 * DATA[[#This Row],[STORAGE DAYS]])</f>
        <v>546</v>
      </c>
      <c r="R227" s="84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 t="shared" si="3"/>
        <v>349</v>
      </c>
      <c r="U227" s="112">
        <v>2025</v>
      </c>
      <c r="V227" s="112" t="s">
        <v>1914</v>
      </c>
      <c r="W227" s="112">
        <v>2025</v>
      </c>
      <c r="X227" s="112" t="s">
        <v>1910</v>
      </c>
    </row>
    <row r="228" spans="1:24" s="37" customFormat="1" ht="16.5" hidden="1" customHeight="1" x14ac:dyDescent="0.25">
      <c r="A228" s="77" t="s">
        <v>1104</v>
      </c>
      <c r="B228" s="78" t="s">
        <v>1261</v>
      </c>
      <c r="C228" s="78">
        <v>35</v>
      </c>
      <c r="D228" s="79" t="s">
        <v>5</v>
      </c>
      <c r="E228" s="79" t="s">
        <v>1105</v>
      </c>
      <c r="F228" s="79" t="s">
        <v>1106</v>
      </c>
      <c r="G228" s="79" t="s">
        <v>25</v>
      </c>
      <c r="H228" s="81" t="s">
        <v>1107</v>
      </c>
      <c r="I228" s="79" t="s">
        <v>10</v>
      </c>
      <c r="J228" s="82">
        <v>45947</v>
      </c>
      <c r="K228" s="82">
        <v>46108</v>
      </c>
      <c r="L228" s="78">
        <f>IF(ISBLANK(DATA[[#This Row],[DISCHARGE DATE]]), "NO DATE", DATA[[#This Row],[DISCHARGE DATE]]-DATA[[#This Row],[ADMISSION DATE]]+1)</f>
        <v>162</v>
      </c>
      <c r="M228" s="83">
        <v>350</v>
      </c>
      <c r="N228" s="83">
        <v>2106</v>
      </c>
      <c r="O228" s="93" t="s">
        <v>1108</v>
      </c>
      <c r="P228" s="93">
        <v>258</v>
      </c>
      <c r="Q228" s="84">
        <f>IF(DATA[[#This Row],[Column1]]="Normal", 13 * DATA[[#This Row],[STORAGE DAYS]], 20 * DATA[[#This Row],[STORAGE DAYS]])</f>
        <v>2106</v>
      </c>
      <c r="R228" s="84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 t="shared" si="3"/>
        <v>349</v>
      </c>
      <c r="U228" s="112">
        <v>2025</v>
      </c>
      <c r="V228" s="112" t="s">
        <v>1914</v>
      </c>
      <c r="W228" s="112">
        <v>2026</v>
      </c>
      <c r="X228" s="112" t="s">
        <v>1912</v>
      </c>
    </row>
    <row r="229" spans="1:24" s="37" customFormat="1" ht="16.5" hidden="1" customHeight="1" x14ac:dyDescent="0.25">
      <c r="A229" s="77" t="s">
        <v>1092</v>
      </c>
      <c r="B229" s="78" t="s">
        <v>1088</v>
      </c>
      <c r="C229" s="78">
        <v>78</v>
      </c>
      <c r="D229" s="79" t="s">
        <v>5</v>
      </c>
      <c r="E229" s="79" t="s">
        <v>1089</v>
      </c>
      <c r="F229" s="79" t="s">
        <v>1090</v>
      </c>
      <c r="G229" s="79" t="s">
        <v>27</v>
      </c>
      <c r="H229" s="81" t="s">
        <v>1091</v>
      </c>
      <c r="I229" s="79" t="s">
        <v>12</v>
      </c>
      <c r="J229" s="82">
        <v>45947</v>
      </c>
      <c r="K229" s="82">
        <v>46143</v>
      </c>
      <c r="L229" s="78">
        <f>IF(ISBLANK(DATA[[#This Row],[DISCHARGE DATE]]), "NO DATE", DATA[[#This Row],[DISCHARGE DATE]]-DATA[[#This Row],[ADMISSION DATE]]+1)</f>
        <v>197</v>
      </c>
      <c r="M229" s="83">
        <v>350</v>
      </c>
      <c r="N229" s="83">
        <v>3940</v>
      </c>
      <c r="O229" s="93" t="s">
        <v>1102</v>
      </c>
      <c r="P229" s="93">
        <v>280</v>
      </c>
      <c r="Q229" s="84">
        <f>IF(DATA[[#This Row],[Column1]]="Normal", 13 * DATA[[#This Row],[STORAGE DAYS]], 20 * DATA[[#This Row],[STORAGE DAYS]])</f>
        <v>3940</v>
      </c>
      <c r="R229" s="84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 t="shared" si="3"/>
        <v>349</v>
      </c>
      <c r="U229" s="112">
        <v>2025</v>
      </c>
      <c r="V229" s="112" t="s">
        <v>1914</v>
      </c>
      <c r="W229" s="112">
        <v>2026</v>
      </c>
      <c r="X229" s="112" t="s">
        <v>1913</v>
      </c>
    </row>
    <row r="230" spans="1:24" s="37" customFormat="1" ht="16.5" hidden="1" customHeight="1" x14ac:dyDescent="0.25">
      <c r="A230" s="77" t="s">
        <v>1112</v>
      </c>
      <c r="B230" s="78" t="s">
        <v>1113</v>
      </c>
      <c r="C230" s="78">
        <v>77</v>
      </c>
      <c r="D230" s="79" t="s">
        <v>5</v>
      </c>
      <c r="E230" s="79" t="s">
        <v>1114</v>
      </c>
      <c r="F230" s="79" t="s">
        <v>1741</v>
      </c>
      <c r="G230" s="79" t="s">
        <v>26</v>
      </c>
      <c r="H230" s="81" t="s">
        <v>1115</v>
      </c>
      <c r="I230" s="79" t="s">
        <v>12</v>
      </c>
      <c r="J230" s="82">
        <v>45950</v>
      </c>
      <c r="K230" s="82">
        <v>46108</v>
      </c>
      <c r="L230" s="78">
        <f>IF(ISBLANK(DATA[[#This Row],[DISCHARGE DATE]]), "NO DATE", DATA[[#This Row],[DISCHARGE DATE]]-DATA[[#This Row],[ADMISSION DATE]]+1)</f>
        <v>159</v>
      </c>
      <c r="M230" s="83">
        <v>350</v>
      </c>
      <c r="N230" s="83">
        <v>3180</v>
      </c>
      <c r="O230" s="93" t="s">
        <v>1120</v>
      </c>
      <c r="P230" s="93">
        <v>150</v>
      </c>
      <c r="Q230" s="84">
        <f>IF(DATA[[#This Row],[Column1]]="Normal", 13 * DATA[[#This Row],[STORAGE DAYS]], 20 * DATA[[#This Row],[STORAGE DAYS]])</f>
        <v>3180</v>
      </c>
      <c r="R230" s="84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 t="shared" si="3"/>
        <v>349</v>
      </c>
      <c r="U230" s="112">
        <v>2025</v>
      </c>
      <c r="V230" s="112" t="s">
        <v>1914</v>
      </c>
      <c r="W230" s="112">
        <v>2026</v>
      </c>
      <c r="X230" s="112" t="s">
        <v>1912</v>
      </c>
    </row>
    <row r="231" spans="1:24" s="37" customFormat="1" ht="16.5" hidden="1" customHeight="1" x14ac:dyDescent="0.25">
      <c r="A231" s="77" t="s">
        <v>1117</v>
      </c>
      <c r="B231" s="78" t="s">
        <v>1118</v>
      </c>
      <c r="C231" s="78">
        <v>123</v>
      </c>
      <c r="D231" s="79" t="s">
        <v>4</v>
      </c>
      <c r="E231" s="79" t="s">
        <v>1122</v>
      </c>
      <c r="F231" s="77" t="s">
        <v>1123</v>
      </c>
      <c r="G231" s="79" t="s">
        <v>27</v>
      </c>
      <c r="H231" s="81">
        <v>0.6875</v>
      </c>
      <c r="I231" s="79" t="s">
        <v>12</v>
      </c>
      <c r="J231" s="82">
        <v>45948</v>
      </c>
      <c r="K231" s="82">
        <v>45959</v>
      </c>
      <c r="L231" s="78">
        <f>IF(ISBLANK(DATA[[#This Row],[DISCHARGE DATE]]), "NO DATE", DATA[[#This Row],[DISCHARGE DATE]]-DATA[[#This Row],[ADMISSION DATE]]+1)</f>
        <v>12</v>
      </c>
      <c r="M231" s="83">
        <v>350</v>
      </c>
      <c r="N231" s="83">
        <v>240</v>
      </c>
      <c r="O231" s="93" t="s">
        <v>1121</v>
      </c>
      <c r="P231" s="93" t="s">
        <v>1133</v>
      </c>
      <c r="Q231" s="84">
        <f>IF(DATA[[#This Row],[Column1]]="Normal", 13 * DATA[[#This Row],[STORAGE DAYS]], 20 * DATA[[#This Row],[STORAGE DAYS]])</f>
        <v>240</v>
      </c>
      <c r="R231" s="84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 t="shared" si="3"/>
        <v>349</v>
      </c>
      <c r="U231" s="112">
        <v>2025</v>
      </c>
      <c r="V231" s="112" t="s">
        <v>1914</v>
      </c>
      <c r="W231" s="112">
        <v>2025</v>
      </c>
      <c r="X231" s="112" t="s">
        <v>1914</v>
      </c>
    </row>
    <row r="232" spans="1:24" s="37" customFormat="1" ht="16.5" hidden="1" customHeight="1" x14ac:dyDescent="0.25">
      <c r="A232" s="77" t="s">
        <v>1124</v>
      </c>
      <c r="B232" s="78" t="s">
        <v>749</v>
      </c>
      <c r="C232" s="78">
        <v>48</v>
      </c>
      <c r="D232" s="79" t="s">
        <v>5</v>
      </c>
      <c r="E232" s="79" t="s">
        <v>1061</v>
      </c>
      <c r="F232" s="77" t="s">
        <v>1125</v>
      </c>
      <c r="G232" s="79" t="s">
        <v>27</v>
      </c>
      <c r="H232" s="81" t="s">
        <v>1126</v>
      </c>
      <c r="I232" s="79" t="s">
        <v>10</v>
      </c>
      <c r="J232" s="82">
        <v>45951</v>
      </c>
      <c r="K232" s="82">
        <v>45954</v>
      </c>
      <c r="L232" s="78">
        <f>IF(ISBLANK(DATA[[#This Row],[DISCHARGE DATE]]), "NO DATE", DATA[[#This Row],[DISCHARGE DATE]]-DATA[[#This Row],[ADMISSION DATE]]+1)</f>
        <v>4</v>
      </c>
      <c r="M232" s="83">
        <v>350</v>
      </c>
      <c r="N232" s="83">
        <v>52</v>
      </c>
      <c r="O232" s="93" t="s">
        <v>1127</v>
      </c>
      <c r="P232" s="93" t="s">
        <v>1063</v>
      </c>
      <c r="Q232" s="84">
        <f>IF(DATA[[#This Row],[Column1]]="Normal", 13 * DATA[[#This Row],[STORAGE DAYS]], 20 * DATA[[#This Row],[STORAGE DAYS]])</f>
        <v>52</v>
      </c>
      <c r="R232" s="84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 t="shared" si="3"/>
        <v>349</v>
      </c>
      <c r="U232" s="112">
        <v>2025</v>
      </c>
      <c r="V232" s="112" t="s">
        <v>1914</v>
      </c>
      <c r="W232" s="112">
        <v>2025</v>
      </c>
      <c r="X232" s="112" t="s">
        <v>1914</v>
      </c>
    </row>
    <row r="233" spans="1:24" s="37" customFormat="1" ht="16.5" hidden="1" customHeight="1" x14ac:dyDescent="0.25">
      <c r="A233" s="77" t="s">
        <v>1128</v>
      </c>
      <c r="B233" s="78" t="s">
        <v>1129</v>
      </c>
      <c r="C233" s="78">
        <v>46</v>
      </c>
      <c r="D233" s="79" t="s">
        <v>5</v>
      </c>
      <c r="E233" s="79" t="s">
        <v>1130</v>
      </c>
      <c r="F233" s="77" t="s">
        <v>1131</v>
      </c>
      <c r="G233" s="79" t="s">
        <v>26</v>
      </c>
      <c r="H233" s="81" t="s">
        <v>1132</v>
      </c>
      <c r="I233" s="79" t="s">
        <v>12</v>
      </c>
      <c r="J233" s="82">
        <v>45952</v>
      </c>
      <c r="K233" s="82">
        <v>45953</v>
      </c>
      <c r="L233" s="78">
        <f>IF(ISBLANK(DATA[[#This Row],[DISCHARGE DATE]]), "NO DATE", DATA[[#This Row],[DISCHARGE DATE]]-DATA[[#This Row],[ADMISSION DATE]]+1)</f>
        <v>2</v>
      </c>
      <c r="M233" s="83">
        <v>350</v>
      </c>
      <c r="N233" s="83">
        <v>20</v>
      </c>
      <c r="O233" s="93" t="s">
        <v>1133</v>
      </c>
      <c r="P233" s="93" t="s">
        <v>1064</v>
      </c>
      <c r="Q233" s="84">
        <f>IF(DATA[[#This Row],[Column1]]="Normal", 13 * DATA[[#This Row],[STORAGE DAYS]], 20 * DATA[[#This Row],[STORAGE DAYS]])</f>
        <v>40</v>
      </c>
      <c r="R233" s="84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 t="shared" si="3"/>
        <v>349</v>
      </c>
      <c r="U233" s="112">
        <v>2025</v>
      </c>
      <c r="V233" s="112" t="s">
        <v>1914</v>
      </c>
      <c r="W233" s="112">
        <v>2025</v>
      </c>
      <c r="X233" s="112" t="s">
        <v>1914</v>
      </c>
    </row>
    <row r="234" spans="1:24" s="37" customFormat="1" ht="16.5" hidden="1" customHeight="1" x14ac:dyDescent="0.25">
      <c r="A234" s="77" t="s">
        <v>1134</v>
      </c>
      <c r="B234" s="78" t="s">
        <v>1135</v>
      </c>
      <c r="C234" s="78">
        <v>39</v>
      </c>
      <c r="D234" s="79" t="s">
        <v>5</v>
      </c>
      <c r="E234" s="79" t="s">
        <v>1136</v>
      </c>
      <c r="F234" s="77" t="s">
        <v>1137</v>
      </c>
      <c r="G234" s="79" t="s">
        <v>27</v>
      </c>
      <c r="H234" s="81" t="s">
        <v>1107</v>
      </c>
      <c r="I234" s="79" t="s">
        <v>10</v>
      </c>
      <c r="J234" s="82">
        <v>45953</v>
      </c>
      <c r="K234" s="82">
        <v>45989</v>
      </c>
      <c r="L234" s="78">
        <f>IF(ISBLANK(DATA[[#This Row],[DISCHARGE DATE]]), "NO DATE", DATA[[#This Row],[DISCHARGE DATE]]-DATA[[#This Row],[ADMISSION DATE]]+1)</f>
        <v>37</v>
      </c>
      <c r="M234" s="83">
        <v>350</v>
      </c>
      <c r="N234" s="83">
        <v>481</v>
      </c>
      <c r="O234" s="93" t="s">
        <v>1138</v>
      </c>
      <c r="P234" s="93" t="s">
        <v>500</v>
      </c>
      <c r="Q234" s="84">
        <f>IF(DATA[[#This Row],[Column1]]="Normal", 13 * DATA[[#This Row],[STORAGE DAYS]], 20 * DATA[[#This Row],[STORAGE DAYS]])</f>
        <v>481</v>
      </c>
      <c r="R234" s="84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 t="shared" si="3"/>
        <v>349</v>
      </c>
      <c r="U234" s="112">
        <v>2025</v>
      </c>
      <c r="V234" s="112" t="s">
        <v>1914</v>
      </c>
      <c r="W234" s="112">
        <v>2025</v>
      </c>
      <c r="X234" s="112" t="s">
        <v>1910</v>
      </c>
    </row>
    <row r="235" spans="1:24" s="37" customFormat="1" ht="16.5" hidden="1" customHeight="1" x14ac:dyDescent="0.25">
      <c r="A235" s="77" t="s">
        <v>1140</v>
      </c>
      <c r="B235" s="78" t="s">
        <v>1141</v>
      </c>
      <c r="C235" s="78">
        <v>67</v>
      </c>
      <c r="D235" s="79" t="s">
        <v>4</v>
      </c>
      <c r="E235" s="79" t="s">
        <v>1043</v>
      </c>
      <c r="F235" s="77" t="s">
        <v>1044</v>
      </c>
      <c r="G235" s="79" t="s">
        <v>25</v>
      </c>
      <c r="H235" s="81" t="s">
        <v>996</v>
      </c>
      <c r="I235" s="79" t="s">
        <v>10</v>
      </c>
      <c r="J235" s="82">
        <v>45957</v>
      </c>
      <c r="K235" s="82">
        <v>46108</v>
      </c>
      <c r="L235" s="78">
        <f>IF(ISBLANK(DATA[[#This Row],[DISCHARGE DATE]]), "NO DATE", DATA[[#This Row],[DISCHARGE DATE]]-DATA[[#This Row],[ADMISSION DATE]]+1)</f>
        <v>152</v>
      </c>
      <c r="M235" s="83">
        <v>350</v>
      </c>
      <c r="N235" s="83">
        <v>1976</v>
      </c>
      <c r="O235" s="93" t="s">
        <v>1142</v>
      </c>
      <c r="P235" s="93">
        <v>262</v>
      </c>
      <c r="Q235" s="84">
        <f>IF(DATA[[#This Row],[Column1]]="Normal", 13 * DATA[[#This Row],[STORAGE DAYS]], 20 * DATA[[#This Row],[STORAGE DAYS]])</f>
        <v>1976</v>
      </c>
      <c r="R235" s="84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 t="shared" si="3"/>
        <v>349</v>
      </c>
      <c r="U235" s="112">
        <v>2025</v>
      </c>
      <c r="V235" s="112" t="s">
        <v>1914</v>
      </c>
      <c r="W235" s="112">
        <v>2026</v>
      </c>
      <c r="X235" s="112" t="s">
        <v>1912</v>
      </c>
    </row>
    <row r="236" spans="1:24" s="37" customFormat="1" ht="16.5" hidden="1" customHeight="1" x14ac:dyDescent="0.25">
      <c r="A236" s="77" t="s">
        <v>1144</v>
      </c>
      <c r="B236" s="78" t="s">
        <v>1145</v>
      </c>
      <c r="C236" s="78">
        <v>90</v>
      </c>
      <c r="D236" s="79" t="s">
        <v>4</v>
      </c>
      <c r="E236" s="79" t="s">
        <v>1146</v>
      </c>
      <c r="F236" s="77" t="s">
        <v>1147</v>
      </c>
      <c r="G236" s="79" t="s">
        <v>1148</v>
      </c>
      <c r="H236" s="81" t="s">
        <v>977</v>
      </c>
      <c r="I236" s="79" t="s">
        <v>12</v>
      </c>
      <c r="J236" s="82">
        <v>45959</v>
      </c>
      <c r="K236" s="82">
        <v>46157</v>
      </c>
      <c r="L236" s="78">
        <f>IF(ISBLANK(DATA[[#This Row],[DISCHARGE DATE]]), "NO DATE", DATA[[#This Row],[DISCHARGE DATE]]-DATA[[#This Row],[ADMISSION DATE]]+1)</f>
        <v>199</v>
      </c>
      <c r="M236" s="83">
        <v>350</v>
      </c>
      <c r="N236" s="83">
        <v>3980</v>
      </c>
      <c r="O236" s="93" t="s">
        <v>1149</v>
      </c>
      <c r="P236" s="93">
        <v>351</v>
      </c>
      <c r="Q236" s="84">
        <f>IF(DATA[[#This Row],[Column1]]="Normal", 13 * DATA[[#This Row],[STORAGE DAYS]], 20 * DATA[[#This Row],[STORAGE DAYS]])</f>
        <v>3980</v>
      </c>
      <c r="R236" s="84">
        <f>DATA[[#This Row],[COLDROOM FEE]]-DATA[[#This Row],[STORAGE FEE]]</f>
        <v>0</v>
      </c>
      <c r="S236" s="149" t="str">
        <f>IF(ISBLANK(DATA[[#This Row],[COLDROOM RECEIPT]]), "IN CUSTODY", "DISCHARGED")</f>
        <v>DISCHARGED</v>
      </c>
      <c r="T236" s="36">
        <f t="shared" si="3"/>
        <v>349</v>
      </c>
      <c r="U236" s="112">
        <v>2025</v>
      </c>
      <c r="V236" s="112" t="s">
        <v>1914</v>
      </c>
      <c r="W236" s="112">
        <v>2026</v>
      </c>
      <c r="X236" s="112" t="s">
        <v>1913</v>
      </c>
    </row>
    <row r="237" spans="1:24" s="37" customFormat="1" ht="16.5" customHeight="1" x14ac:dyDescent="0.25">
      <c r="A237" s="77" t="s">
        <v>1150</v>
      </c>
      <c r="B237" s="78" t="s">
        <v>1151</v>
      </c>
      <c r="C237" s="78">
        <v>64</v>
      </c>
      <c r="D237" s="79" t="s">
        <v>4</v>
      </c>
      <c r="E237" s="79" t="s">
        <v>1152</v>
      </c>
      <c r="F237" s="77" t="s">
        <v>1153</v>
      </c>
      <c r="G237" s="79" t="s">
        <v>27</v>
      </c>
      <c r="H237" s="81" t="s">
        <v>1154</v>
      </c>
      <c r="I237" s="79" t="s">
        <v>10</v>
      </c>
      <c r="J237" s="82">
        <v>45960</v>
      </c>
      <c r="K237" s="82">
        <v>46171</v>
      </c>
      <c r="L237" s="78">
        <f>IF(ISBLANK(DATA[[#This Row],[DISCHARGE DATE]]), "NO DATE", DATA[[#This Row],[DISCHARGE DATE]]-DATA[[#This Row],[ADMISSION DATE]]+1)</f>
        <v>212</v>
      </c>
      <c r="M237" s="83">
        <v>350</v>
      </c>
      <c r="N237" s="83">
        <v>2756</v>
      </c>
      <c r="O237" s="93" t="s">
        <v>1155</v>
      </c>
      <c r="P237" s="93">
        <v>299</v>
      </c>
      <c r="Q237" s="84">
        <f>IF(DATA[[#This Row],[Column1]]="Normal", 13 * DATA[[#This Row],[STORAGE DAYS]], 20 * DATA[[#This Row],[STORAGE DAYS]])</f>
        <v>2756</v>
      </c>
      <c r="R237" s="84">
        <f>DATA[[#This Row],[COLDROOM FEE]]-DATA[[#This Row],[STORAGE FEE]]</f>
        <v>0</v>
      </c>
      <c r="S237" s="149" t="str">
        <f>IF(ISBLANK(DATA[[#This Row],[COLDROOM RECEIPT]]), "IN CUSTODY", "DISCHARGED")</f>
        <v>DISCHARGED</v>
      </c>
      <c r="T237" s="36">
        <f t="shared" si="3"/>
        <v>349</v>
      </c>
      <c r="U237" s="112">
        <v>2025</v>
      </c>
      <c r="V237" s="112" t="s">
        <v>1914</v>
      </c>
      <c r="W237" s="112">
        <v>2026</v>
      </c>
      <c r="X237" s="112" t="s">
        <v>1913</v>
      </c>
    </row>
    <row r="238" spans="1:24" s="37" customFormat="1" ht="16.5" hidden="1" customHeight="1" x14ac:dyDescent="0.25">
      <c r="A238" s="77" t="s">
        <v>1156</v>
      </c>
      <c r="B238" s="78" t="s">
        <v>1283</v>
      </c>
      <c r="C238" s="78">
        <v>52</v>
      </c>
      <c r="D238" s="79" t="s">
        <v>4</v>
      </c>
      <c r="E238" s="79" t="s">
        <v>1284</v>
      </c>
      <c r="F238" s="77" t="s">
        <v>1157</v>
      </c>
      <c r="G238" s="79" t="s">
        <v>24</v>
      </c>
      <c r="H238" s="81" t="s">
        <v>1096</v>
      </c>
      <c r="I238" s="79" t="s">
        <v>10</v>
      </c>
      <c r="J238" s="82">
        <v>45960</v>
      </c>
      <c r="K238" s="82">
        <v>45989</v>
      </c>
      <c r="L238" s="78">
        <f>IF(ISBLANK(DATA[[#This Row],[DISCHARGE DATE]]), "NO DATE", DATA[[#This Row],[DISCHARGE DATE]]-DATA[[#This Row],[ADMISSION DATE]]+1)</f>
        <v>30</v>
      </c>
      <c r="M238" s="83">
        <v>350</v>
      </c>
      <c r="N238" s="83">
        <v>390</v>
      </c>
      <c r="O238" s="93" t="s">
        <v>1158</v>
      </c>
      <c r="P238" s="93" t="s">
        <v>486</v>
      </c>
      <c r="Q238" s="84">
        <f>IF(DATA[[#This Row],[Column1]]="Normal", 13 * DATA[[#This Row],[STORAGE DAYS]], 20 * DATA[[#This Row],[STORAGE DAYS]])</f>
        <v>390</v>
      </c>
      <c r="R238" s="84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 t="shared" si="3"/>
        <v>349</v>
      </c>
      <c r="U238" s="112">
        <v>2025</v>
      </c>
      <c r="V238" s="112" t="s">
        <v>1914</v>
      </c>
      <c r="W238" s="112">
        <v>2025</v>
      </c>
      <c r="X238" s="112" t="s">
        <v>1910</v>
      </c>
    </row>
    <row r="239" spans="1:24" s="37" customFormat="1" ht="16.5" customHeight="1" x14ac:dyDescent="0.25">
      <c r="A239" s="77" t="s">
        <v>1160</v>
      </c>
      <c r="B239" s="78" t="s">
        <v>1161</v>
      </c>
      <c r="C239" s="78">
        <v>78</v>
      </c>
      <c r="D239" s="79" t="s">
        <v>5</v>
      </c>
      <c r="E239" s="79" t="s">
        <v>1162</v>
      </c>
      <c r="F239" s="77" t="s">
        <v>1163</v>
      </c>
      <c r="G239" s="79" t="s">
        <v>26</v>
      </c>
      <c r="H239" s="81" t="s">
        <v>1164</v>
      </c>
      <c r="I239" s="79" t="s">
        <v>10</v>
      </c>
      <c r="J239" s="82">
        <v>45962</v>
      </c>
      <c r="K239" s="82">
        <v>46171</v>
      </c>
      <c r="L239" s="78">
        <f>IF(ISBLANK(DATA[[#This Row],[DISCHARGE DATE]]), "NO DATE", DATA[[#This Row],[DISCHARGE DATE]]-DATA[[#This Row],[ADMISSION DATE]]+1)</f>
        <v>210</v>
      </c>
      <c r="M239" s="83">
        <v>350</v>
      </c>
      <c r="N239" s="83">
        <v>2730</v>
      </c>
      <c r="O239" s="93" t="s">
        <v>1165</v>
      </c>
      <c r="P239" s="93">
        <v>298</v>
      </c>
      <c r="Q239" s="84">
        <f>IF(DATA[[#This Row],[Column1]]="Normal", 13 * DATA[[#This Row],[STORAGE DAYS]], 20 * DATA[[#This Row],[STORAGE DAYS]])</f>
        <v>2730</v>
      </c>
      <c r="R239" s="84">
        <f>DATA[[#This Row],[COLDROOM FEE]]-DATA[[#This Row],[STORAGE FEE]]</f>
        <v>0</v>
      </c>
      <c r="S239" s="149" t="str">
        <f>IF(ISBLANK(DATA[[#This Row],[COLDROOM RECEIPT]]), "IN CUSTODY", "DISCHARGED")</f>
        <v>DISCHARGED</v>
      </c>
      <c r="T239" s="36">
        <f t="shared" si="3"/>
        <v>349</v>
      </c>
      <c r="U239" s="112">
        <v>2025</v>
      </c>
      <c r="V239" s="112" t="s">
        <v>1910</v>
      </c>
      <c r="W239" s="112">
        <v>2026</v>
      </c>
      <c r="X239" s="112" t="s">
        <v>1913</v>
      </c>
    </row>
    <row r="240" spans="1:24" s="37" customFormat="1" ht="16.5" hidden="1" customHeight="1" x14ac:dyDescent="0.25">
      <c r="A240" s="77" t="s">
        <v>1168</v>
      </c>
      <c r="B240" s="78" t="s">
        <v>1169</v>
      </c>
      <c r="C240" s="78">
        <v>80</v>
      </c>
      <c r="D240" s="79" t="s">
        <v>4</v>
      </c>
      <c r="E240" s="79" t="s">
        <v>158</v>
      </c>
      <c r="F240" s="77" t="s">
        <v>1170</v>
      </c>
      <c r="G240" s="79" t="s">
        <v>27</v>
      </c>
      <c r="H240" s="81" t="s">
        <v>1040</v>
      </c>
      <c r="I240" s="79" t="s">
        <v>10</v>
      </c>
      <c r="J240" s="82">
        <v>45964</v>
      </c>
      <c r="K240" s="82">
        <v>46108</v>
      </c>
      <c r="L240" s="78">
        <f>IF(ISBLANK(DATA[[#This Row],[DISCHARGE DATE]]), "NO DATE", DATA[[#This Row],[DISCHARGE DATE]]-DATA[[#This Row],[ADMISSION DATE]]+1)</f>
        <v>145</v>
      </c>
      <c r="M240" s="83">
        <v>350</v>
      </c>
      <c r="N240" s="83">
        <v>1885</v>
      </c>
      <c r="O240" s="93" t="s">
        <v>1167</v>
      </c>
      <c r="P240" s="93">
        <v>253</v>
      </c>
      <c r="Q240" s="84">
        <f>IF(DATA[[#This Row],[Column1]]="Normal", 13 * DATA[[#This Row],[STORAGE DAYS]], 20 * DATA[[#This Row],[STORAGE DAYS]])</f>
        <v>1885</v>
      </c>
      <c r="R240" s="84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 t="shared" si="3"/>
        <v>349</v>
      </c>
      <c r="U240" s="112">
        <v>2025</v>
      </c>
      <c r="V240" s="112" t="s">
        <v>1910</v>
      </c>
      <c r="W240" s="112">
        <v>2026</v>
      </c>
      <c r="X240" s="112" t="s">
        <v>1912</v>
      </c>
    </row>
    <row r="241" spans="1:24" s="37" customFormat="1" ht="16.5" hidden="1" customHeight="1" x14ac:dyDescent="0.25">
      <c r="A241" s="77" t="s">
        <v>1171</v>
      </c>
      <c r="B241" s="78" t="s">
        <v>1172</v>
      </c>
      <c r="C241" s="78">
        <v>90</v>
      </c>
      <c r="D241" s="79" t="s">
        <v>5</v>
      </c>
      <c r="E241" s="79" t="s">
        <v>1173</v>
      </c>
      <c r="F241" s="77" t="s">
        <v>1174</v>
      </c>
      <c r="G241" s="79" t="s">
        <v>27</v>
      </c>
      <c r="H241" s="81" t="s">
        <v>1175</v>
      </c>
      <c r="I241" s="79" t="s">
        <v>12</v>
      </c>
      <c r="J241" s="82">
        <v>45964</v>
      </c>
      <c r="K241" s="82">
        <v>46101</v>
      </c>
      <c r="L241" s="78">
        <f>IF(ISBLANK(DATA[[#This Row],[DISCHARGE DATE]]), "NO DATE", DATA[[#This Row],[DISCHARGE DATE]]-DATA[[#This Row],[ADMISSION DATE]]+1)</f>
        <v>138</v>
      </c>
      <c r="M241" s="83">
        <v>350</v>
      </c>
      <c r="N241" s="83">
        <v>2760</v>
      </c>
      <c r="O241" s="93" t="s">
        <v>1176</v>
      </c>
      <c r="P241" s="93">
        <v>252</v>
      </c>
      <c r="Q241" s="84">
        <f>IF(DATA[[#This Row],[Column1]]="Normal", 13 * DATA[[#This Row],[STORAGE DAYS]], 20 * DATA[[#This Row],[STORAGE DAYS]])</f>
        <v>2760</v>
      </c>
      <c r="R241" s="84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 t="shared" si="3"/>
        <v>349</v>
      </c>
      <c r="U241" s="112">
        <v>2025</v>
      </c>
      <c r="V241" s="112" t="s">
        <v>1910</v>
      </c>
      <c r="W241" s="112">
        <v>2026</v>
      </c>
      <c r="X241" s="112" t="s">
        <v>1912</v>
      </c>
    </row>
    <row r="242" spans="1:24" s="37" customFormat="1" ht="16.5" hidden="1" customHeight="1" x14ac:dyDescent="0.25">
      <c r="A242" s="77" t="s">
        <v>1177</v>
      </c>
      <c r="B242" s="78" t="s">
        <v>1178</v>
      </c>
      <c r="C242" s="78">
        <v>51</v>
      </c>
      <c r="D242" s="79" t="s">
        <v>5</v>
      </c>
      <c r="E242" s="79" t="s">
        <v>1179</v>
      </c>
      <c r="F242" s="77" t="s">
        <v>1180</v>
      </c>
      <c r="G242" s="79" t="s">
        <v>24</v>
      </c>
      <c r="H242" s="81" t="s">
        <v>1040</v>
      </c>
      <c r="I242" s="79" t="s">
        <v>10</v>
      </c>
      <c r="J242" s="82">
        <v>45963</v>
      </c>
      <c r="K242" s="82">
        <v>45990</v>
      </c>
      <c r="L242" s="78">
        <f>IF(ISBLANK(DATA[[#This Row],[DISCHARGE DATE]]), "NO DATE", DATA[[#This Row],[DISCHARGE DATE]]-DATA[[#This Row],[ADMISSION DATE]]+1)</f>
        <v>28</v>
      </c>
      <c r="M242" s="83">
        <v>350</v>
      </c>
      <c r="N242" s="83">
        <v>364</v>
      </c>
      <c r="O242" s="93" t="s">
        <v>1190</v>
      </c>
      <c r="P242" s="93" t="s">
        <v>490</v>
      </c>
      <c r="Q242" s="84">
        <f>IF(DATA[[#This Row],[Column1]]="Normal", 13 * DATA[[#This Row],[STORAGE DAYS]], 20 * DATA[[#This Row],[STORAGE DAYS]])</f>
        <v>364</v>
      </c>
      <c r="R242" s="84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 t="shared" si="3"/>
        <v>349</v>
      </c>
      <c r="U242" s="112">
        <v>2025</v>
      </c>
      <c r="V242" s="112" t="s">
        <v>1910</v>
      </c>
      <c r="W242" s="112">
        <v>2025</v>
      </c>
      <c r="X242" s="112" t="s">
        <v>1910</v>
      </c>
    </row>
    <row r="243" spans="1:24" s="37" customFormat="1" ht="16.5" hidden="1" customHeight="1" x14ac:dyDescent="0.25">
      <c r="A243" s="77" t="s">
        <v>1181</v>
      </c>
      <c r="B243" s="78" t="s">
        <v>1182</v>
      </c>
      <c r="C243" s="78">
        <v>29</v>
      </c>
      <c r="D243" s="79" t="s">
        <v>5</v>
      </c>
      <c r="E243" s="79" t="s">
        <v>1183</v>
      </c>
      <c r="F243" s="77" t="s">
        <v>1184</v>
      </c>
      <c r="G243" s="79" t="s">
        <v>26</v>
      </c>
      <c r="H243" s="81" t="s">
        <v>1185</v>
      </c>
      <c r="I243" s="79" t="s">
        <v>10</v>
      </c>
      <c r="J243" s="82">
        <v>45964</v>
      </c>
      <c r="K243" s="82">
        <v>45995</v>
      </c>
      <c r="L243" s="78">
        <f>IF(ISBLANK(DATA[[#This Row],[DISCHARGE DATE]]), "NO DATE", DATA[[#This Row],[DISCHARGE DATE]]-DATA[[#This Row],[ADMISSION DATE]]+1)</f>
        <v>32</v>
      </c>
      <c r="M243" s="83">
        <v>350</v>
      </c>
      <c r="N243" s="83">
        <v>416</v>
      </c>
      <c r="O243" s="93" t="s">
        <v>1191</v>
      </c>
      <c r="P243" s="93">
        <v>119</v>
      </c>
      <c r="Q243" s="84">
        <f>IF(DATA[[#This Row],[Column1]]="Normal", 13 * DATA[[#This Row],[STORAGE DAYS]], 20 * DATA[[#This Row],[STORAGE DAYS]])</f>
        <v>416</v>
      </c>
      <c r="R243" s="84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 t="shared" si="3"/>
        <v>349</v>
      </c>
      <c r="U243" s="112">
        <v>2025</v>
      </c>
      <c r="V243" s="112" t="s">
        <v>1910</v>
      </c>
      <c r="W243" s="112">
        <v>2025</v>
      </c>
      <c r="X243" s="112" t="s">
        <v>1916</v>
      </c>
    </row>
    <row r="244" spans="1:24" s="37" customFormat="1" ht="16.5" hidden="1" customHeight="1" x14ac:dyDescent="0.25">
      <c r="A244" s="77" t="s">
        <v>1186</v>
      </c>
      <c r="B244" s="78" t="s">
        <v>1187</v>
      </c>
      <c r="C244" s="78">
        <v>68</v>
      </c>
      <c r="D244" s="79" t="s">
        <v>4</v>
      </c>
      <c r="E244" s="79" t="s">
        <v>809</v>
      </c>
      <c r="F244" s="77" t="s">
        <v>1188</v>
      </c>
      <c r="G244" s="79" t="s">
        <v>18</v>
      </c>
      <c r="H244" s="81" t="s">
        <v>1189</v>
      </c>
      <c r="I244" s="79" t="s">
        <v>10</v>
      </c>
      <c r="J244" s="82">
        <v>45964</v>
      </c>
      <c r="K244" s="82">
        <v>46080</v>
      </c>
      <c r="L244" s="78">
        <f>IF(ISBLANK(DATA[[#This Row],[DISCHARGE DATE]]), "NO DATE", DATA[[#This Row],[DISCHARGE DATE]]-DATA[[#This Row],[ADMISSION DATE]]+1)</f>
        <v>117</v>
      </c>
      <c r="M244" s="83">
        <v>350</v>
      </c>
      <c r="N244" s="83">
        <v>1521</v>
      </c>
      <c r="O244" s="93" t="s">
        <v>1192</v>
      </c>
      <c r="P244" s="93">
        <v>143</v>
      </c>
      <c r="Q244" s="84">
        <f>IF(DATA[[#This Row],[Column1]]="Normal", 13 * DATA[[#This Row],[STORAGE DAYS]], 20 * DATA[[#This Row],[STORAGE DAYS]])</f>
        <v>1521</v>
      </c>
      <c r="R244" s="84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 t="shared" si="3"/>
        <v>349</v>
      </c>
      <c r="U244" s="112">
        <v>2025</v>
      </c>
      <c r="V244" s="112" t="s">
        <v>1910</v>
      </c>
      <c r="W244" s="112">
        <v>2026</v>
      </c>
      <c r="X244" s="112" t="s">
        <v>1915</v>
      </c>
    </row>
    <row r="245" spans="1:24" s="37" customFormat="1" ht="16.5" hidden="1" customHeight="1" x14ac:dyDescent="0.25">
      <c r="A245" s="77" t="s">
        <v>1193</v>
      </c>
      <c r="B245" s="78" t="s">
        <v>1194</v>
      </c>
      <c r="C245" s="78">
        <v>62</v>
      </c>
      <c r="D245" s="79" t="s">
        <v>5</v>
      </c>
      <c r="E245" s="79" t="s">
        <v>1195</v>
      </c>
      <c r="F245" s="77" t="s">
        <v>1196</v>
      </c>
      <c r="G245" s="79" t="s">
        <v>17</v>
      </c>
      <c r="H245" s="81" t="s">
        <v>1197</v>
      </c>
      <c r="I245" s="79" t="s">
        <v>12</v>
      </c>
      <c r="J245" s="82">
        <v>45968</v>
      </c>
      <c r="K245" s="82">
        <v>46066</v>
      </c>
      <c r="L245" s="78">
        <f>IF(ISBLANK(DATA[[#This Row],[DISCHARGE DATE]]), "NO DATE", DATA[[#This Row],[DISCHARGE DATE]]-DATA[[#This Row],[ADMISSION DATE]]+1)</f>
        <v>99</v>
      </c>
      <c r="M245" s="83">
        <v>350</v>
      </c>
      <c r="N245" s="83">
        <v>1980</v>
      </c>
      <c r="O245" s="93" t="s">
        <v>1199</v>
      </c>
      <c r="P245" s="93">
        <v>135</v>
      </c>
      <c r="Q245" s="84">
        <f>IF(DATA[[#This Row],[Column1]]="Normal", 13 * DATA[[#This Row],[STORAGE DAYS]], 20 * DATA[[#This Row],[STORAGE DAYS]])</f>
        <v>1980</v>
      </c>
      <c r="R245" s="84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 t="shared" si="3"/>
        <v>349</v>
      </c>
      <c r="U245" s="112">
        <v>2025</v>
      </c>
      <c r="V245" s="112" t="s">
        <v>1910</v>
      </c>
      <c r="W245" s="112">
        <v>2026</v>
      </c>
      <c r="X245" s="112" t="s">
        <v>1915</v>
      </c>
    </row>
    <row r="246" spans="1:24" s="37" customFormat="1" ht="16.5" hidden="1" customHeight="1" x14ac:dyDescent="0.25">
      <c r="A246" s="77" t="s">
        <v>1200</v>
      </c>
      <c r="B246" s="78" t="s">
        <v>1201</v>
      </c>
      <c r="C246" s="78">
        <v>63</v>
      </c>
      <c r="D246" s="79" t="s">
        <v>4</v>
      </c>
      <c r="E246" s="79" t="s">
        <v>1202</v>
      </c>
      <c r="F246" s="77" t="s">
        <v>1203</v>
      </c>
      <c r="G246" s="79" t="s">
        <v>25</v>
      </c>
      <c r="H246" s="81" t="s">
        <v>988</v>
      </c>
      <c r="I246" s="79" t="s">
        <v>10</v>
      </c>
      <c r="J246" s="82">
        <v>45971</v>
      </c>
      <c r="K246" s="82">
        <v>46108</v>
      </c>
      <c r="L246" s="78">
        <f>IF(ISBLANK(DATA[[#This Row],[DISCHARGE DATE]]), "NO DATE", DATA[[#This Row],[DISCHARGE DATE]]-DATA[[#This Row],[ADMISSION DATE]]+1)</f>
        <v>138</v>
      </c>
      <c r="M246" s="83">
        <v>350</v>
      </c>
      <c r="N246" s="83">
        <v>1794</v>
      </c>
      <c r="O246" s="93" t="s">
        <v>1212</v>
      </c>
      <c r="P246" s="93">
        <v>256</v>
      </c>
      <c r="Q246" s="84">
        <f>IF(DATA[[#This Row],[Column1]]="Normal", 13 * DATA[[#This Row],[STORAGE DAYS]], 20 * DATA[[#This Row],[STORAGE DAYS]])</f>
        <v>1794</v>
      </c>
      <c r="R246" s="84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 t="shared" si="3"/>
        <v>349</v>
      </c>
      <c r="U246" s="112">
        <v>2025</v>
      </c>
      <c r="V246" s="112" t="s">
        <v>1910</v>
      </c>
      <c r="W246" s="112">
        <v>2026</v>
      </c>
      <c r="X246" s="112" t="s">
        <v>1912</v>
      </c>
    </row>
    <row r="247" spans="1:24" s="37" customFormat="1" ht="16.5" hidden="1" customHeight="1" x14ac:dyDescent="0.25">
      <c r="A247" s="77" t="s">
        <v>1204</v>
      </c>
      <c r="B247" s="78" t="s">
        <v>1209</v>
      </c>
      <c r="C247" s="78">
        <v>54</v>
      </c>
      <c r="D247" s="79" t="s">
        <v>4</v>
      </c>
      <c r="E247" s="79" t="s">
        <v>1210</v>
      </c>
      <c r="F247" s="77" t="s">
        <v>1742</v>
      </c>
      <c r="G247" s="79" t="s">
        <v>1211</v>
      </c>
      <c r="H247" s="81">
        <v>0.67361111111111116</v>
      </c>
      <c r="I247" s="79" t="s">
        <v>10</v>
      </c>
      <c r="J247" s="82">
        <v>45971</v>
      </c>
      <c r="K247" s="82">
        <v>45977</v>
      </c>
      <c r="L247" s="78">
        <f>IF(ISBLANK(DATA[[#This Row],[DISCHARGE DATE]]), "NO DATE", DATA[[#This Row],[DISCHARGE DATE]]-DATA[[#This Row],[ADMISSION DATE]]+1)</f>
        <v>7</v>
      </c>
      <c r="M247" s="83">
        <v>350</v>
      </c>
      <c r="N247" s="83">
        <v>91</v>
      </c>
      <c r="O247" s="93" t="s">
        <v>1316</v>
      </c>
      <c r="P247" s="93" t="s">
        <v>1176</v>
      </c>
      <c r="Q247" s="84">
        <f>IF(DATA[[#This Row],[Column1]]="Normal", 13 * DATA[[#This Row],[STORAGE DAYS]], 20 * DATA[[#This Row],[STORAGE DAYS]])</f>
        <v>91</v>
      </c>
      <c r="R247" s="84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 t="shared" si="3"/>
        <v>349</v>
      </c>
      <c r="U247" s="112">
        <v>2025</v>
      </c>
      <c r="V247" s="112" t="s">
        <v>1910</v>
      </c>
      <c r="W247" s="112">
        <v>2025</v>
      </c>
      <c r="X247" s="112" t="s">
        <v>1910</v>
      </c>
    </row>
    <row r="248" spans="1:24" s="37" customFormat="1" ht="16.5" hidden="1" customHeight="1" x14ac:dyDescent="0.25">
      <c r="A248" s="77" t="s">
        <v>1109</v>
      </c>
      <c r="B248" s="78" t="s">
        <v>1110</v>
      </c>
      <c r="C248" s="78">
        <v>60</v>
      </c>
      <c r="D248" s="79" t="s">
        <v>4</v>
      </c>
      <c r="E248" s="79" t="s">
        <v>787</v>
      </c>
      <c r="F248" s="77" t="s">
        <v>1116</v>
      </c>
      <c r="G248" s="79" t="s">
        <v>27</v>
      </c>
      <c r="H248" s="81" t="s">
        <v>1111</v>
      </c>
      <c r="I248" s="79" t="s">
        <v>12</v>
      </c>
      <c r="J248" s="82">
        <v>45950</v>
      </c>
      <c r="K248" s="82">
        <v>46143</v>
      </c>
      <c r="L248" s="78">
        <f>IF(ISBLANK(DATA[[#This Row],[DISCHARGE DATE]]), "NO DATE", DATA[[#This Row],[DISCHARGE DATE]]-DATA[[#This Row],[ADMISSION DATE]]+1)</f>
        <v>194</v>
      </c>
      <c r="M248" s="83">
        <v>350</v>
      </c>
      <c r="N248" s="83">
        <f>3880/2</f>
        <v>1940</v>
      </c>
      <c r="O248" s="93" t="s">
        <v>1119</v>
      </c>
      <c r="P248" s="93">
        <v>286</v>
      </c>
      <c r="Q248" s="84">
        <f>IF(DATA[[#This Row],[Column1]]="Normal", 13 * DATA[[#This Row],[STORAGE DAYS]], 20 * DATA[[#This Row],[STORAGE DAYS]])</f>
        <v>3880</v>
      </c>
      <c r="R248" s="84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 t="shared" si="3"/>
        <v>349</v>
      </c>
      <c r="U248" s="112">
        <v>2025</v>
      </c>
      <c r="V248" s="112" t="s">
        <v>1910</v>
      </c>
      <c r="W248" s="112">
        <v>2026</v>
      </c>
      <c r="X248" s="112" t="s">
        <v>1913</v>
      </c>
    </row>
    <row r="249" spans="1:24" s="37" customFormat="1" ht="16.5" hidden="1" customHeight="1" x14ac:dyDescent="0.25">
      <c r="A249" s="77" t="s">
        <v>1214</v>
      </c>
      <c r="B249" s="78" t="s">
        <v>1215</v>
      </c>
      <c r="C249" s="78">
        <v>52</v>
      </c>
      <c r="D249" s="79" t="s">
        <v>4</v>
      </c>
      <c r="E249" s="79" t="s">
        <v>1195</v>
      </c>
      <c r="F249" s="77" t="s">
        <v>1196</v>
      </c>
      <c r="G249" s="79" t="s">
        <v>17</v>
      </c>
      <c r="H249" s="81" t="s">
        <v>1216</v>
      </c>
      <c r="I249" s="79" t="s">
        <v>10</v>
      </c>
      <c r="J249" s="82">
        <v>45972</v>
      </c>
      <c r="K249" s="82">
        <v>46066</v>
      </c>
      <c r="L249" s="78">
        <f>IF(ISBLANK(DATA[[#This Row],[DISCHARGE DATE]]), "NO DATE", DATA[[#This Row],[DISCHARGE DATE]]-DATA[[#This Row],[ADMISSION DATE]]+1)</f>
        <v>95</v>
      </c>
      <c r="M249" s="83">
        <v>350</v>
      </c>
      <c r="N249" s="83">
        <v>1235</v>
      </c>
      <c r="O249" s="93" t="s">
        <v>1318</v>
      </c>
      <c r="P249" s="93">
        <v>136</v>
      </c>
      <c r="Q249" s="84">
        <f>IF(DATA[[#This Row],[Column1]]="Normal", 13 * DATA[[#This Row],[STORAGE DAYS]], 20 * DATA[[#This Row],[STORAGE DAYS]])</f>
        <v>1235</v>
      </c>
      <c r="R249" s="84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 t="shared" si="3"/>
        <v>349</v>
      </c>
      <c r="U249" s="112">
        <v>2025</v>
      </c>
      <c r="V249" s="112" t="s">
        <v>1910</v>
      </c>
      <c r="W249" s="112">
        <v>2026</v>
      </c>
      <c r="X249" s="112" t="s">
        <v>1915</v>
      </c>
    </row>
    <row r="250" spans="1:24" s="37" customFormat="1" ht="16.5" hidden="1" customHeight="1" x14ac:dyDescent="0.25">
      <c r="A250" s="77" t="s">
        <v>1205</v>
      </c>
      <c r="B250" s="78" t="s">
        <v>1206</v>
      </c>
      <c r="C250" s="78">
        <v>62</v>
      </c>
      <c r="D250" s="79" t="s">
        <v>5</v>
      </c>
      <c r="E250" s="79" t="s">
        <v>1207</v>
      </c>
      <c r="F250" s="77" t="s">
        <v>1208</v>
      </c>
      <c r="G250" s="79" t="s">
        <v>27</v>
      </c>
      <c r="H250" s="81" t="s">
        <v>1086</v>
      </c>
      <c r="I250" s="79" t="s">
        <v>10</v>
      </c>
      <c r="J250" s="82">
        <v>45972</v>
      </c>
      <c r="K250" s="82">
        <v>46143</v>
      </c>
      <c r="L250" s="78">
        <f>IF(ISBLANK(DATA[[#This Row],[DISCHARGE DATE]]), "NO DATE", DATA[[#This Row],[DISCHARGE DATE]]-DATA[[#This Row],[ADMISSION DATE]]+1)</f>
        <v>172</v>
      </c>
      <c r="M250" s="83">
        <v>350</v>
      </c>
      <c r="N250" s="83">
        <v>2236</v>
      </c>
      <c r="O250" s="93" t="s">
        <v>1317</v>
      </c>
      <c r="P250" s="93">
        <v>291</v>
      </c>
      <c r="Q250" s="84">
        <f>IF(DATA[[#This Row],[Column1]]="Normal", 13 * DATA[[#This Row],[STORAGE DAYS]], 20 * DATA[[#This Row],[STORAGE DAYS]])</f>
        <v>2236</v>
      </c>
      <c r="R250" s="84">
        <f>DATA[[#This Row],[COLDROOM FEE]]-DATA[[#This Row],[STORAGE FEE]]</f>
        <v>0</v>
      </c>
      <c r="S250" s="149" t="str">
        <f>IF(ISBLANK(DATA[[#This Row],[COLDROOM RECEIPT]]), "IN CUSTODY", "DISCHARGED")</f>
        <v>DISCHARGED</v>
      </c>
      <c r="T250" s="36">
        <f t="shared" si="3"/>
        <v>349</v>
      </c>
      <c r="U250" s="112">
        <v>2025</v>
      </c>
      <c r="V250" s="112" t="s">
        <v>1910</v>
      </c>
      <c r="W250" s="112">
        <v>2026</v>
      </c>
      <c r="X250" s="112" t="s">
        <v>1913</v>
      </c>
    </row>
    <row r="251" spans="1:24" s="37" customFormat="1" ht="16.5" hidden="1" customHeight="1" x14ac:dyDescent="0.25">
      <c r="A251" s="77" t="s">
        <v>1220</v>
      </c>
      <c r="B251" s="78" t="s">
        <v>88</v>
      </c>
      <c r="C251" s="78">
        <v>63</v>
      </c>
      <c r="D251" s="79" t="s">
        <v>5</v>
      </c>
      <c r="E251" s="79" t="s">
        <v>1078</v>
      </c>
      <c r="F251" s="77" t="s">
        <v>1079</v>
      </c>
      <c r="G251" s="79" t="s">
        <v>27</v>
      </c>
      <c r="H251" s="81" t="s">
        <v>1221</v>
      </c>
      <c r="I251" s="79" t="s">
        <v>12</v>
      </c>
      <c r="J251" s="82">
        <v>45974</v>
      </c>
      <c r="K251" s="82">
        <v>46108</v>
      </c>
      <c r="L251" s="78">
        <f>IF(ISBLANK(DATA[[#This Row],[DISCHARGE DATE]]), "NO DATE", DATA[[#This Row],[DISCHARGE DATE]]-DATA[[#This Row],[ADMISSION DATE]]+1)</f>
        <v>135</v>
      </c>
      <c r="M251" s="83">
        <v>350</v>
      </c>
      <c r="N251" s="83">
        <v>2700</v>
      </c>
      <c r="O251" s="93" t="s">
        <v>1320</v>
      </c>
      <c r="P251" s="93">
        <v>254</v>
      </c>
      <c r="Q251" s="84">
        <f>IF(DATA[[#This Row],[Column1]]="Normal", 13 * DATA[[#This Row],[STORAGE DAYS]], 20 * DATA[[#This Row],[STORAGE DAYS]])</f>
        <v>2700</v>
      </c>
      <c r="R251" s="84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 t="shared" si="3"/>
        <v>349</v>
      </c>
      <c r="U251" s="112">
        <v>2025</v>
      </c>
      <c r="V251" s="112" t="s">
        <v>1910</v>
      </c>
      <c r="W251" s="112">
        <v>2026</v>
      </c>
      <c r="X251" s="112" t="s">
        <v>1912</v>
      </c>
    </row>
    <row r="252" spans="1:24" s="37" customFormat="1" ht="16.5" hidden="1" customHeight="1" x14ac:dyDescent="0.25">
      <c r="A252" s="77" t="s">
        <v>1223</v>
      </c>
      <c r="B252" s="78" t="s">
        <v>1224</v>
      </c>
      <c r="C252" s="78">
        <v>38</v>
      </c>
      <c r="D252" s="79" t="s">
        <v>4</v>
      </c>
      <c r="E252" s="79" t="s">
        <v>1225</v>
      </c>
      <c r="F252" s="77" t="s">
        <v>1226</v>
      </c>
      <c r="G252" s="79" t="s">
        <v>27</v>
      </c>
      <c r="H252" s="81" t="s">
        <v>1197</v>
      </c>
      <c r="I252" s="79" t="s">
        <v>10</v>
      </c>
      <c r="J252" s="82">
        <v>45974</v>
      </c>
      <c r="K252" s="82">
        <v>46108</v>
      </c>
      <c r="L252" s="78">
        <f>IF(ISBLANK(DATA[[#This Row],[DISCHARGE DATE]]), "NO DATE", DATA[[#This Row],[DISCHARGE DATE]]-DATA[[#This Row],[ADMISSION DATE]]+1)</f>
        <v>135</v>
      </c>
      <c r="M252" s="83">
        <v>350</v>
      </c>
      <c r="N252" s="83">
        <v>1755</v>
      </c>
      <c r="O252" s="93" t="s">
        <v>1321</v>
      </c>
      <c r="P252" s="93">
        <v>148</v>
      </c>
      <c r="Q252" s="84">
        <f>IF(DATA[[#This Row],[Column1]]="Normal", 13 * DATA[[#This Row],[STORAGE DAYS]], 20 * DATA[[#This Row],[STORAGE DAYS]])</f>
        <v>1755</v>
      </c>
      <c r="R252" s="84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 t="shared" si="3"/>
        <v>349</v>
      </c>
      <c r="U252" s="112">
        <v>2025</v>
      </c>
      <c r="V252" s="112" t="s">
        <v>1910</v>
      </c>
      <c r="W252" s="112">
        <v>2026</v>
      </c>
      <c r="X252" s="112" t="s">
        <v>1912</v>
      </c>
    </row>
    <row r="253" spans="1:24" s="37" customFormat="1" ht="16.5" hidden="1" customHeight="1" x14ac:dyDescent="0.25">
      <c r="A253" s="77" t="s">
        <v>1228</v>
      </c>
      <c r="B253" s="78" t="s">
        <v>1229</v>
      </c>
      <c r="C253" s="78">
        <v>65</v>
      </c>
      <c r="D253" s="79" t="s">
        <v>4</v>
      </c>
      <c r="E253" s="79" t="s">
        <v>616</v>
      </c>
      <c r="F253" s="77" t="s">
        <v>1688</v>
      </c>
      <c r="G253" s="79" t="s">
        <v>27</v>
      </c>
      <c r="H253" s="81" t="s">
        <v>988</v>
      </c>
      <c r="I253" s="79" t="s">
        <v>12</v>
      </c>
      <c r="J253" s="82">
        <v>45976</v>
      </c>
      <c r="K253" s="82">
        <v>46234</v>
      </c>
      <c r="L253" s="78">
        <f>IF(ISBLANK(DATA[[#This Row],[DISCHARGE DATE]]), "NO DATE", DATA[[#This Row],[DISCHARGE DATE]]-DATA[[#This Row],[ADMISSION DATE]]+1)</f>
        <v>259</v>
      </c>
      <c r="M253" s="83">
        <v>350</v>
      </c>
      <c r="N253" s="83"/>
      <c r="O253" s="93" t="s">
        <v>1322</v>
      </c>
      <c r="P253" s="93"/>
      <c r="Q253" s="84">
        <f>IF(DATA[[#This Row],[Column1]]="Normal", 13 * DATA[[#This Row],[STORAGE DAYS]], 20 * DATA[[#This Row],[STORAGE DAYS]])</f>
        <v>5180</v>
      </c>
      <c r="R253" s="84">
        <f>DATA[[#This Row],[COLDROOM FEE]]-DATA[[#This Row],[STORAGE FEE]]</f>
        <v>-5180</v>
      </c>
      <c r="S253" s="149" t="str">
        <f>IF(ISBLANK(DATA[[#This Row],[COLDROOM RECEIPT]]), "IN CUSTODY", "DISCHARGED")</f>
        <v>IN CUSTODY</v>
      </c>
      <c r="T253" s="36">
        <f t="shared" si="3"/>
        <v>349</v>
      </c>
      <c r="U253" s="112">
        <v>2025</v>
      </c>
      <c r="V253" s="112" t="s">
        <v>1910</v>
      </c>
      <c r="W253" s="112">
        <v>2026</v>
      </c>
      <c r="X253" s="112" t="s">
        <v>1908</v>
      </c>
    </row>
    <row r="254" spans="1:24" s="37" customFormat="1" ht="16.5" hidden="1" customHeight="1" x14ac:dyDescent="0.25">
      <c r="A254" s="77" t="s">
        <v>1230</v>
      </c>
      <c r="B254" s="78" t="s">
        <v>1231</v>
      </c>
      <c r="C254" s="78">
        <v>92</v>
      </c>
      <c r="D254" s="79" t="s">
        <v>4</v>
      </c>
      <c r="E254" s="79" t="s">
        <v>1232</v>
      </c>
      <c r="F254" s="77" t="s">
        <v>1300</v>
      </c>
      <c r="G254" s="79" t="s">
        <v>17</v>
      </c>
      <c r="H254" s="81" t="s">
        <v>1233</v>
      </c>
      <c r="I254" s="79" t="s">
        <v>10</v>
      </c>
      <c r="J254" s="82">
        <v>45976</v>
      </c>
      <c r="K254" s="82">
        <v>46122</v>
      </c>
      <c r="L254" s="78">
        <f>IF(ISBLANK(DATA[[#This Row],[DISCHARGE DATE]]), "NO DATE", DATA[[#This Row],[DISCHARGE DATE]]-DATA[[#This Row],[ADMISSION DATE]]+1)</f>
        <v>147</v>
      </c>
      <c r="M254" s="83">
        <v>350</v>
      </c>
      <c r="N254" s="83">
        <v>1911</v>
      </c>
      <c r="O254" s="93" t="s">
        <v>1323</v>
      </c>
      <c r="P254" s="93">
        <v>272</v>
      </c>
      <c r="Q254" s="84">
        <f>IF(DATA[[#This Row],[Column1]]="Normal", 13 * DATA[[#This Row],[STORAGE DAYS]], 20 * DATA[[#This Row],[STORAGE DAYS]])</f>
        <v>1911</v>
      </c>
      <c r="R254" s="84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 t="shared" si="3"/>
        <v>349</v>
      </c>
      <c r="U254" s="112">
        <v>2025</v>
      </c>
      <c r="V254" s="112" t="s">
        <v>1910</v>
      </c>
      <c r="W254" s="112">
        <v>2026</v>
      </c>
      <c r="X254" s="112" t="s">
        <v>1873</v>
      </c>
    </row>
    <row r="255" spans="1:24" s="37" customFormat="1" ht="16.5" hidden="1" customHeight="1" x14ac:dyDescent="0.25">
      <c r="A255" s="77" t="s">
        <v>1236</v>
      </c>
      <c r="B255" s="78" t="s">
        <v>1237</v>
      </c>
      <c r="C255" s="78">
        <v>65</v>
      </c>
      <c r="D255" s="79" t="s">
        <v>5</v>
      </c>
      <c r="E255" s="79" t="s">
        <v>809</v>
      </c>
      <c r="F255" s="77" t="s">
        <v>1238</v>
      </c>
      <c r="G255" s="79" t="s">
        <v>1211</v>
      </c>
      <c r="H255" s="81" t="s">
        <v>1219</v>
      </c>
      <c r="I255" s="79" t="s">
        <v>10</v>
      </c>
      <c r="J255" s="82">
        <v>45978</v>
      </c>
      <c r="K255" s="82">
        <v>46129</v>
      </c>
      <c r="L255" s="78">
        <f>IF(ISBLANK(DATA[[#This Row],[DISCHARGE DATE]]), "NO DATE", DATA[[#This Row],[DISCHARGE DATE]]-DATA[[#This Row],[ADMISSION DATE]]+1)</f>
        <v>152</v>
      </c>
      <c r="M255" s="83">
        <v>350</v>
      </c>
      <c r="N255" s="83">
        <v>1976</v>
      </c>
      <c r="O255" s="93" t="s">
        <v>1324</v>
      </c>
      <c r="P255" s="93">
        <v>275</v>
      </c>
      <c r="Q255" s="84">
        <f>IF(DATA[[#This Row],[Column1]]="Normal", 13 * DATA[[#This Row],[STORAGE DAYS]], 20 * DATA[[#This Row],[STORAGE DAYS]])</f>
        <v>1976</v>
      </c>
      <c r="R255" s="84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 t="shared" si="3"/>
        <v>349</v>
      </c>
      <c r="U255" s="112">
        <v>2025</v>
      </c>
      <c r="V255" s="112" t="s">
        <v>1910</v>
      </c>
      <c r="W255" s="112">
        <v>2026</v>
      </c>
      <c r="X255" s="112" t="s">
        <v>1873</v>
      </c>
    </row>
    <row r="256" spans="1:24" s="37" customFormat="1" ht="16.5" hidden="1" customHeight="1" x14ac:dyDescent="0.25">
      <c r="A256" s="77" t="s">
        <v>1262</v>
      </c>
      <c r="B256" s="78" t="s">
        <v>1263</v>
      </c>
      <c r="C256" s="78">
        <v>65</v>
      </c>
      <c r="D256" s="79" t="s">
        <v>5</v>
      </c>
      <c r="E256" s="79" t="s">
        <v>1264</v>
      </c>
      <c r="F256" s="77" t="s">
        <v>1265</v>
      </c>
      <c r="G256" s="79" t="s">
        <v>27</v>
      </c>
      <c r="H256" s="81" t="s">
        <v>1086</v>
      </c>
      <c r="I256" s="79" t="s">
        <v>10</v>
      </c>
      <c r="J256" s="82">
        <v>45981</v>
      </c>
      <c r="K256" s="82">
        <v>46108</v>
      </c>
      <c r="L256" s="78">
        <f>IF(ISBLANK(DATA[[#This Row],[DISCHARGE DATE]]), "NO DATE", DATA[[#This Row],[DISCHARGE DATE]]-DATA[[#This Row],[ADMISSION DATE]]+1)</f>
        <v>128</v>
      </c>
      <c r="M256" s="83">
        <v>350</v>
      </c>
      <c r="N256" s="83">
        <v>1664</v>
      </c>
      <c r="O256" s="93" t="s">
        <v>1325</v>
      </c>
      <c r="P256" s="93">
        <v>149</v>
      </c>
      <c r="Q256" s="84">
        <f>IF(DATA[[#This Row],[Column1]]="Normal", 13 * DATA[[#This Row],[STORAGE DAYS]], 20 * DATA[[#This Row],[STORAGE DAYS]])</f>
        <v>1664</v>
      </c>
      <c r="R256" s="84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 t="shared" si="3"/>
        <v>349</v>
      </c>
      <c r="U256" s="112">
        <v>2025</v>
      </c>
      <c r="V256" s="112" t="s">
        <v>1910</v>
      </c>
      <c r="W256" s="112">
        <v>2026</v>
      </c>
      <c r="X256" s="112" t="s">
        <v>1912</v>
      </c>
    </row>
    <row r="257" spans="1:27" s="37" customFormat="1" ht="16.5" hidden="1" customHeight="1" x14ac:dyDescent="0.25">
      <c r="A257" s="77" t="s">
        <v>1217</v>
      </c>
      <c r="B257" s="78" t="s">
        <v>1218</v>
      </c>
      <c r="C257" s="78">
        <v>77</v>
      </c>
      <c r="D257" s="79" t="s">
        <v>5</v>
      </c>
      <c r="E257" s="79" t="s">
        <v>1136</v>
      </c>
      <c r="F257" s="77" t="s">
        <v>1137</v>
      </c>
      <c r="G257" s="79" t="s">
        <v>27</v>
      </c>
      <c r="H257" s="81" t="s">
        <v>1219</v>
      </c>
      <c r="I257" s="79" t="s">
        <v>10</v>
      </c>
      <c r="J257" s="82">
        <v>45973</v>
      </c>
      <c r="K257" s="82">
        <v>46143</v>
      </c>
      <c r="L257" s="78">
        <f>IF(ISBLANK(DATA[[#This Row],[DISCHARGE DATE]]), "NO DATE", DATA[[#This Row],[DISCHARGE DATE]]-DATA[[#This Row],[ADMISSION DATE]]+1)</f>
        <v>171</v>
      </c>
      <c r="M257" s="83">
        <v>350</v>
      </c>
      <c r="N257" s="83">
        <v>2223</v>
      </c>
      <c r="O257" s="93" t="s">
        <v>1319</v>
      </c>
      <c r="P257" s="93">
        <v>289</v>
      </c>
      <c r="Q257" s="84">
        <f>IF(DATA[[#This Row],[Column1]]="Normal", 13 * DATA[[#This Row],[STORAGE DAYS]], 20 * DATA[[#This Row],[STORAGE DAYS]])</f>
        <v>2223</v>
      </c>
      <c r="R257" s="84">
        <f>DATA[[#This Row],[COLDROOM FEE]]-DATA[[#This Row],[STORAGE FEE]]</f>
        <v>0</v>
      </c>
      <c r="S257" s="149" t="str">
        <f>IF(ISBLANK(DATA[[#This Row],[COLDROOM RECEIPT]]), "IN CUSTODY", "DISCHARGED")</f>
        <v>DISCHARGED</v>
      </c>
      <c r="T257" s="36">
        <f t="shared" si="3"/>
        <v>349</v>
      </c>
      <c r="U257" s="112">
        <v>2025</v>
      </c>
      <c r="V257" s="112" t="s">
        <v>1910</v>
      </c>
      <c r="W257" s="112">
        <v>2026</v>
      </c>
      <c r="X257" s="112" t="s">
        <v>1913</v>
      </c>
    </row>
    <row r="258" spans="1:27" s="37" customFormat="1" ht="16.5" customHeight="1" x14ac:dyDescent="0.25">
      <c r="A258" s="77" t="s">
        <v>1269</v>
      </c>
      <c r="B258" s="78" t="s">
        <v>1273</v>
      </c>
      <c r="C258" s="78">
        <v>101</v>
      </c>
      <c r="D258" s="79" t="s">
        <v>4</v>
      </c>
      <c r="E258" s="79" t="s">
        <v>1274</v>
      </c>
      <c r="F258" s="77" t="s">
        <v>1275</v>
      </c>
      <c r="G258" s="79" t="s">
        <v>27</v>
      </c>
      <c r="H258" s="81" t="s">
        <v>1276</v>
      </c>
      <c r="I258" s="79" t="s">
        <v>10</v>
      </c>
      <c r="J258" s="82">
        <v>45987</v>
      </c>
      <c r="K258" s="82">
        <v>46171</v>
      </c>
      <c r="L258" s="78">
        <f>IF(ISBLANK(DATA[[#This Row],[DISCHARGE DATE]]), "NO DATE", DATA[[#This Row],[DISCHARGE DATE]]-DATA[[#This Row],[ADMISSION DATE]]+1)</f>
        <v>185</v>
      </c>
      <c r="M258" s="83">
        <v>350</v>
      </c>
      <c r="N258" s="83">
        <v>2405</v>
      </c>
      <c r="O258" s="93" t="s">
        <v>1327</v>
      </c>
      <c r="P258" s="93">
        <v>306</v>
      </c>
      <c r="Q258" s="84">
        <f>IF(DATA[[#This Row],[Column1]]="Normal", 13 * DATA[[#This Row],[STORAGE DAYS]], 20 * DATA[[#This Row],[STORAGE DAYS]])</f>
        <v>2405</v>
      </c>
      <c r="R258" s="84">
        <f>DATA[[#This Row],[COLDROOM FEE]]-DATA[[#This Row],[STORAGE FEE]]</f>
        <v>0</v>
      </c>
      <c r="S258" s="149" t="str">
        <f>IF(ISBLANK(DATA[[#This Row],[COLDROOM RECEIPT]]), "IN CUSTODY", "DISCHARGED")</f>
        <v>DISCHARGED</v>
      </c>
      <c r="T258" s="36">
        <f t="shared" ref="T258:T321" si="4">COUNTA(A:A)-2</f>
        <v>349</v>
      </c>
      <c r="U258" s="112">
        <v>2025</v>
      </c>
      <c r="V258" s="112" t="s">
        <v>1910</v>
      </c>
      <c r="W258" s="112">
        <v>2026</v>
      </c>
      <c r="X258" s="112" t="s">
        <v>1913</v>
      </c>
      <c r="AA258" s="37">
        <f>COUNTIF(S:S,"in custody")</f>
        <v>54</v>
      </c>
    </row>
    <row r="259" spans="1:27" s="37" customFormat="1" ht="16.5" hidden="1" customHeight="1" x14ac:dyDescent="0.25">
      <c r="A259" s="77" t="s">
        <v>1268</v>
      </c>
      <c r="B259" s="78" t="s">
        <v>1270</v>
      </c>
      <c r="C259" s="78">
        <v>80</v>
      </c>
      <c r="D259" s="79" t="s">
        <v>4</v>
      </c>
      <c r="E259" s="79" t="s">
        <v>1271</v>
      </c>
      <c r="F259" s="77" t="s">
        <v>1272</v>
      </c>
      <c r="G259" s="79" t="s">
        <v>27</v>
      </c>
      <c r="H259" s="81">
        <v>0.8125</v>
      </c>
      <c r="I259" s="79" t="s">
        <v>12</v>
      </c>
      <c r="J259" s="82">
        <v>45986</v>
      </c>
      <c r="K259" s="82">
        <v>46143</v>
      </c>
      <c r="L259" s="78">
        <f>IF(ISBLANK(DATA[[#This Row],[DISCHARGE DATE]]), "NO DATE", DATA[[#This Row],[DISCHARGE DATE]]-DATA[[#This Row],[ADMISSION DATE]]+1)</f>
        <v>158</v>
      </c>
      <c r="M259" s="83">
        <v>350</v>
      </c>
      <c r="N259" s="83">
        <v>3160</v>
      </c>
      <c r="O259" s="93" t="s">
        <v>1326</v>
      </c>
      <c r="P259" s="93">
        <v>288</v>
      </c>
      <c r="Q259" s="84">
        <f>IF(DATA[[#This Row],[Column1]]="Normal", 13 * DATA[[#This Row],[STORAGE DAYS]], 20 * DATA[[#This Row],[STORAGE DAYS]])</f>
        <v>3160</v>
      </c>
      <c r="R259" s="84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 t="shared" si="4"/>
        <v>349</v>
      </c>
      <c r="U259" s="112">
        <v>2025</v>
      </c>
      <c r="V259" s="112" t="s">
        <v>1910</v>
      </c>
      <c r="W259" s="112">
        <v>2026</v>
      </c>
      <c r="X259" s="112" t="s">
        <v>1873</v>
      </c>
    </row>
    <row r="260" spans="1:27" s="37" customFormat="1" ht="16.5" hidden="1" customHeight="1" x14ac:dyDescent="0.25">
      <c r="A260" s="158" t="s">
        <v>1286</v>
      </c>
      <c r="B260" s="139" t="s">
        <v>1287</v>
      </c>
      <c r="C260" s="139">
        <v>52</v>
      </c>
      <c r="D260" s="140" t="s">
        <v>5</v>
      </c>
      <c r="E260" s="140" t="s">
        <v>1288</v>
      </c>
      <c r="F260" s="158" t="s">
        <v>1289</v>
      </c>
      <c r="G260" s="140" t="s">
        <v>20</v>
      </c>
      <c r="H260" s="141" t="s">
        <v>1290</v>
      </c>
      <c r="I260" s="140" t="s">
        <v>10</v>
      </c>
      <c r="J260" s="142">
        <v>45987</v>
      </c>
      <c r="K260" s="142">
        <v>46168</v>
      </c>
      <c r="L260" s="139">
        <f>IF(ISBLANK(DATA[[#This Row],[DISCHARGE DATE]]), "NO DATE", DATA[[#This Row],[DISCHARGE DATE]]-DATA[[#This Row],[ADMISSION DATE]]+1)</f>
        <v>182</v>
      </c>
      <c r="M260" s="143">
        <v>350</v>
      </c>
      <c r="N260" s="143"/>
      <c r="O260" s="144" t="s">
        <v>1329</v>
      </c>
      <c r="P260" s="144"/>
      <c r="Q260" s="155">
        <f>IF(DATA[[#This Row],[Column1]]="Normal", 13 * DATA[[#This Row],[STORAGE DAYS]], 20 * DATA[[#This Row],[STORAGE DAYS]])</f>
        <v>2366</v>
      </c>
      <c r="R260" s="155">
        <f>DATA[[#This Row],[COLDROOM FEE]]-DATA[[#This Row],[STORAGE FEE]]</f>
        <v>-2366</v>
      </c>
      <c r="S260" s="149" t="str">
        <f>IF(ISBLANK(DATA[[#This Row],[COLDROOM RECEIPT]]), "IN CUSTODY", "DISCHARGED")</f>
        <v>IN CUSTODY</v>
      </c>
      <c r="T260" s="36">
        <f t="shared" si="4"/>
        <v>349</v>
      </c>
      <c r="U260" s="112">
        <v>2025</v>
      </c>
      <c r="V260" s="112" t="s">
        <v>1910</v>
      </c>
      <c r="W260" s="112">
        <v>1900</v>
      </c>
      <c r="X260" s="112" t="s">
        <v>1874</v>
      </c>
    </row>
    <row r="261" spans="1:27" s="37" customFormat="1" ht="16.5" hidden="1" customHeight="1" x14ac:dyDescent="0.25">
      <c r="A261" s="77" t="s">
        <v>1291</v>
      </c>
      <c r="B261" s="78" t="s">
        <v>1292</v>
      </c>
      <c r="C261" s="78">
        <v>85</v>
      </c>
      <c r="D261" s="79" t="s">
        <v>4</v>
      </c>
      <c r="E261" s="79" t="s">
        <v>1293</v>
      </c>
      <c r="F261" s="77" t="s">
        <v>1294</v>
      </c>
      <c r="G261" s="79" t="s">
        <v>20</v>
      </c>
      <c r="H261" s="81" t="s">
        <v>1290</v>
      </c>
      <c r="I261" s="79" t="s">
        <v>10</v>
      </c>
      <c r="J261" s="82">
        <v>45988</v>
      </c>
      <c r="K261" s="82">
        <v>46122</v>
      </c>
      <c r="L261" s="78">
        <f>IF(ISBLANK(DATA[[#This Row],[DISCHARGE DATE]]), "NO DATE", DATA[[#This Row],[DISCHARGE DATE]]-DATA[[#This Row],[ADMISSION DATE]]+1)</f>
        <v>135</v>
      </c>
      <c r="M261" s="83">
        <v>350</v>
      </c>
      <c r="N261" s="83">
        <v>1391</v>
      </c>
      <c r="O261" s="93" t="s">
        <v>1330</v>
      </c>
      <c r="P261" s="93">
        <v>267</v>
      </c>
      <c r="Q261" s="84">
        <f>IF(DATA[[#This Row],[Column1]]="Normal", 13 * DATA[[#This Row],[STORAGE DAYS]], 20 * DATA[[#This Row],[STORAGE DAYS]])</f>
        <v>1755</v>
      </c>
      <c r="R261" s="84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 t="shared" si="4"/>
        <v>349</v>
      </c>
      <c r="U261" s="112">
        <v>2025</v>
      </c>
      <c r="V261" s="112" t="s">
        <v>1910</v>
      </c>
      <c r="W261" s="112">
        <v>2026</v>
      </c>
      <c r="X261" s="112" t="s">
        <v>1873</v>
      </c>
    </row>
    <row r="262" spans="1:27" s="37" customFormat="1" ht="16.5" hidden="1" customHeight="1" x14ac:dyDescent="0.25">
      <c r="A262" s="77" t="s">
        <v>1295</v>
      </c>
      <c r="B262" s="78" t="s">
        <v>249</v>
      </c>
      <c r="C262" s="78">
        <v>60</v>
      </c>
      <c r="D262" s="79" t="s">
        <v>5</v>
      </c>
      <c r="E262" s="79" t="s">
        <v>1296</v>
      </c>
      <c r="F262" s="77" t="s">
        <v>1297</v>
      </c>
      <c r="G262" s="79" t="s">
        <v>1298</v>
      </c>
      <c r="H262" s="81" t="s">
        <v>1299</v>
      </c>
      <c r="I262" s="79" t="s">
        <v>10</v>
      </c>
      <c r="J262" s="82">
        <v>45988</v>
      </c>
      <c r="K262" s="82">
        <v>46080</v>
      </c>
      <c r="L262" s="78">
        <f>IF(ISBLANK(DATA[[#This Row],[DISCHARGE DATE]]), "NO DATE", DATA[[#This Row],[DISCHARGE DATE]]-DATA[[#This Row],[ADMISSION DATE]]+1)</f>
        <v>93</v>
      </c>
      <c r="M262" s="83">
        <v>350</v>
      </c>
      <c r="N262" s="83">
        <v>1209</v>
      </c>
      <c r="O262" s="93" t="s">
        <v>1331</v>
      </c>
      <c r="P262" s="93">
        <v>140</v>
      </c>
      <c r="Q262" s="84">
        <f>IF(DATA[[#This Row],[Column1]]="Normal", 13 * DATA[[#This Row],[STORAGE DAYS]], 20 * DATA[[#This Row],[STORAGE DAYS]])</f>
        <v>1209</v>
      </c>
      <c r="R262" s="84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 t="shared" si="4"/>
        <v>349</v>
      </c>
      <c r="U262" s="112">
        <v>2025</v>
      </c>
      <c r="V262" s="112" t="s">
        <v>1910</v>
      </c>
      <c r="W262" s="112">
        <v>2026</v>
      </c>
      <c r="X262" s="112" t="s">
        <v>1915</v>
      </c>
    </row>
    <row r="263" spans="1:27" s="37" customFormat="1" ht="16.5" hidden="1" customHeight="1" x14ac:dyDescent="0.25">
      <c r="A263" s="77" t="s">
        <v>1301</v>
      </c>
      <c r="B263" s="78" t="s">
        <v>1304</v>
      </c>
      <c r="C263" s="78">
        <v>80</v>
      </c>
      <c r="D263" s="79" t="s">
        <v>5</v>
      </c>
      <c r="E263" s="79" t="s">
        <v>1305</v>
      </c>
      <c r="F263" s="77" t="s">
        <v>1306</v>
      </c>
      <c r="G263" s="79" t="s">
        <v>27</v>
      </c>
      <c r="H263" s="81" t="s">
        <v>1307</v>
      </c>
      <c r="I263" s="79" t="s">
        <v>12</v>
      </c>
      <c r="J263" s="82">
        <v>45993</v>
      </c>
      <c r="K263" s="82">
        <v>46143</v>
      </c>
      <c r="L263" s="78">
        <f>IF(ISBLANK(DATA[[#This Row],[DISCHARGE DATE]]), "NO DATE", DATA[[#This Row],[DISCHARGE DATE]]-DATA[[#This Row],[ADMISSION DATE]]+1)</f>
        <v>151</v>
      </c>
      <c r="M263" s="83">
        <v>350</v>
      </c>
      <c r="N263" s="83">
        <v>3020</v>
      </c>
      <c r="O263" s="93" t="s">
        <v>1308</v>
      </c>
      <c r="P263" s="93" t="s">
        <v>1887</v>
      </c>
      <c r="Q263" s="84">
        <f>IF(DATA[[#This Row],[Column1]]="Normal", 13 * DATA[[#This Row],[STORAGE DAYS]], 20 * DATA[[#This Row],[STORAGE DAYS]])</f>
        <v>3020</v>
      </c>
      <c r="R263" s="84">
        <f>DATA[[#This Row],[COLDROOM FEE]]-DATA[[#This Row],[STORAGE FEE]]</f>
        <v>0</v>
      </c>
      <c r="S263" s="149" t="str">
        <f>IF(ISBLANK(DATA[[#This Row],[COLDROOM RECEIPT]]), "IN CUSTODY", "DISCHARGED")</f>
        <v>DISCHARGED</v>
      </c>
      <c r="T263" s="36">
        <f t="shared" si="4"/>
        <v>349</v>
      </c>
      <c r="U263" s="112">
        <v>2025</v>
      </c>
      <c r="V263" s="112" t="s">
        <v>1916</v>
      </c>
      <c r="W263" s="112">
        <v>2026</v>
      </c>
      <c r="X263" s="112" t="s">
        <v>1913</v>
      </c>
    </row>
    <row r="264" spans="1:27" s="37" customFormat="1" ht="16.5" hidden="1" customHeight="1" x14ac:dyDescent="0.25">
      <c r="A264" s="77" t="s">
        <v>1309</v>
      </c>
      <c r="B264" s="78" t="s">
        <v>1310</v>
      </c>
      <c r="C264" s="78">
        <v>67</v>
      </c>
      <c r="D264" s="79" t="s">
        <v>4</v>
      </c>
      <c r="E264" s="79" t="s">
        <v>589</v>
      </c>
      <c r="F264" s="77" t="s">
        <v>1311</v>
      </c>
      <c r="G264" s="79" t="s">
        <v>27</v>
      </c>
      <c r="H264" s="81" t="s">
        <v>1312</v>
      </c>
      <c r="I264" s="79" t="s">
        <v>12</v>
      </c>
      <c r="J264" s="82">
        <v>45994</v>
      </c>
      <c r="K264" s="82">
        <v>46108</v>
      </c>
      <c r="L264" s="78">
        <f>IF(ISBLANK(DATA[[#This Row],[DISCHARGE DATE]]), "NO DATE", DATA[[#This Row],[DISCHARGE DATE]]-DATA[[#This Row],[ADMISSION DATE]]+1)</f>
        <v>115</v>
      </c>
      <c r="M264" s="83">
        <v>350</v>
      </c>
      <c r="N264" s="83">
        <v>2300</v>
      </c>
      <c r="O264" s="93" t="s">
        <v>1313</v>
      </c>
      <c r="P264" s="93">
        <v>147</v>
      </c>
      <c r="Q264" s="84">
        <f>IF(DATA[[#This Row],[Column1]]="Normal", 13 * DATA[[#This Row],[STORAGE DAYS]], 20 * DATA[[#This Row],[STORAGE DAYS]])</f>
        <v>2300</v>
      </c>
      <c r="R264" s="84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 t="shared" si="4"/>
        <v>349</v>
      </c>
      <c r="U264" s="112">
        <v>2025</v>
      </c>
      <c r="V264" s="112" t="s">
        <v>1916</v>
      </c>
      <c r="W264" s="112">
        <v>2026</v>
      </c>
      <c r="X264" s="112" t="s">
        <v>1912</v>
      </c>
    </row>
    <row r="265" spans="1:27" s="37" customFormat="1" ht="16.5" hidden="1" customHeight="1" x14ac:dyDescent="0.25">
      <c r="A265" s="77" t="s">
        <v>1314</v>
      </c>
      <c r="B265" s="78" t="s">
        <v>1302</v>
      </c>
      <c r="C265" s="78">
        <v>6</v>
      </c>
      <c r="D265" s="79" t="s">
        <v>4</v>
      </c>
      <c r="E265" s="79" t="s">
        <v>1303</v>
      </c>
      <c r="F265" s="77" t="s">
        <v>1743</v>
      </c>
      <c r="G265" s="79" t="s">
        <v>25</v>
      </c>
      <c r="H265" s="81">
        <v>0.85416666666666663</v>
      </c>
      <c r="I265" s="79" t="s">
        <v>10</v>
      </c>
      <c r="J265" s="82">
        <v>45994</v>
      </c>
      <c r="K265" s="82">
        <v>45997</v>
      </c>
      <c r="L265" s="78">
        <f>IF(ISBLANK(DATA[[#This Row],[DISCHARGE DATE]]), "NO DATE", DATA[[#This Row],[DISCHARGE DATE]]-DATA[[#This Row],[ADMISSION DATE]]+1)</f>
        <v>4</v>
      </c>
      <c r="M265" s="83">
        <v>350</v>
      </c>
      <c r="N265" s="83">
        <v>52</v>
      </c>
      <c r="O265" s="93" t="s">
        <v>1315</v>
      </c>
      <c r="P265" s="93">
        <v>121</v>
      </c>
      <c r="Q265" s="84">
        <f>IF(DATA[[#This Row],[Column1]]="Normal", 13 * DATA[[#This Row],[STORAGE DAYS]], 20 * DATA[[#This Row],[STORAGE DAYS]])</f>
        <v>52</v>
      </c>
      <c r="R265" s="84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 t="shared" si="4"/>
        <v>349</v>
      </c>
      <c r="U265" s="112">
        <v>2025</v>
      </c>
      <c r="V265" s="112" t="s">
        <v>1916</v>
      </c>
      <c r="W265" s="112">
        <v>2025</v>
      </c>
      <c r="X265" s="112" t="s">
        <v>1916</v>
      </c>
    </row>
    <row r="266" spans="1:27" s="37" customFormat="1" ht="16.5" hidden="1" customHeight="1" x14ac:dyDescent="0.25">
      <c r="A266" s="77" t="s">
        <v>1332</v>
      </c>
      <c r="B266" s="78" t="s">
        <v>1333</v>
      </c>
      <c r="C266" s="78">
        <v>70</v>
      </c>
      <c r="D266" s="79" t="s">
        <v>4</v>
      </c>
      <c r="E266" s="79" t="s">
        <v>1334</v>
      </c>
      <c r="F266" s="77" t="s">
        <v>1744</v>
      </c>
      <c r="G266" s="79" t="s">
        <v>27</v>
      </c>
      <c r="H266" s="81">
        <v>0.39583333333333331</v>
      </c>
      <c r="I266" s="79" t="s">
        <v>12</v>
      </c>
      <c r="J266" s="82">
        <v>45996</v>
      </c>
      <c r="K266" s="82"/>
      <c r="L266" s="78" t="str">
        <f>IF(ISBLANK(DATA[[#This Row],[DISCHARGE DATE]]), "NO DATE", DATA[[#This Row],[DISCHARGE DATE]]-DATA[[#This Row],[ADMISSION DATE]]+1)</f>
        <v>NO DATE</v>
      </c>
      <c r="M266" s="83">
        <v>350</v>
      </c>
      <c r="N266" s="83"/>
      <c r="O266" s="93">
        <v>270</v>
      </c>
      <c r="P266" s="93"/>
      <c r="Q266" s="84" t="e">
        <f>IF(DATA[[#This Row],[Column1]]="Normal", 13 * DATA[[#This Row],[STORAGE DAYS]], 20 * DATA[[#This Row],[STORAGE DAYS]])</f>
        <v>#VALUE!</v>
      </c>
      <c r="R266" s="84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 t="shared" si="4"/>
        <v>349</v>
      </c>
      <c r="U266" s="112">
        <v>2025</v>
      </c>
      <c r="V266" s="112" t="s">
        <v>1916</v>
      </c>
      <c r="W266" s="112">
        <v>1900</v>
      </c>
      <c r="X266" s="112" t="s">
        <v>1874</v>
      </c>
    </row>
    <row r="267" spans="1:27" s="37" customFormat="1" ht="16.5" hidden="1" customHeight="1" x14ac:dyDescent="0.25">
      <c r="A267" s="77" t="s">
        <v>1337</v>
      </c>
      <c r="B267" s="78" t="s">
        <v>1335</v>
      </c>
      <c r="C267" s="78">
        <v>65</v>
      </c>
      <c r="D267" s="79" t="s">
        <v>4</v>
      </c>
      <c r="E267" s="79" t="s">
        <v>1336</v>
      </c>
      <c r="F267" s="79" t="s">
        <v>1745</v>
      </c>
      <c r="G267" s="79" t="s">
        <v>27</v>
      </c>
      <c r="H267" s="81">
        <v>0.41666666666666669</v>
      </c>
      <c r="I267" s="79" t="s">
        <v>10</v>
      </c>
      <c r="J267" s="82">
        <v>45996</v>
      </c>
      <c r="K267" s="82">
        <v>46143</v>
      </c>
      <c r="L267" s="78">
        <f>IF(ISBLANK(DATA[[#This Row],[DISCHARGE DATE]]), "NO DATE", DATA[[#This Row],[DISCHARGE DATE]]-DATA[[#This Row],[ADMISSION DATE]]+1)</f>
        <v>148</v>
      </c>
      <c r="M267" s="83">
        <v>350</v>
      </c>
      <c r="N267" s="83">
        <v>1924</v>
      </c>
      <c r="O267" s="93">
        <v>271</v>
      </c>
      <c r="P267" s="93">
        <v>282</v>
      </c>
      <c r="Q267" s="84">
        <f>IF(DATA[[#This Row],[Column1]]="Normal", 13 * DATA[[#This Row],[STORAGE DAYS]], 20 * DATA[[#This Row],[STORAGE DAYS]])</f>
        <v>1924</v>
      </c>
      <c r="R267" s="84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 t="shared" si="4"/>
        <v>349</v>
      </c>
      <c r="U267" s="112">
        <v>2025</v>
      </c>
      <c r="V267" s="112" t="s">
        <v>1916</v>
      </c>
      <c r="W267" s="112">
        <v>2026</v>
      </c>
      <c r="X267" s="112" t="s">
        <v>1913</v>
      </c>
    </row>
    <row r="268" spans="1:27" s="37" customFormat="1" ht="16.5" hidden="1" customHeight="1" x14ac:dyDescent="0.25">
      <c r="A268" s="77" t="s">
        <v>1338</v>
      </c>
      <c r="B268" s="78" t="s">
        <v>1339</v>
      </c>
      <c r="C268" s="78">
        <v>39</v>
      </c>
      <c r="D268" s="79" t="s">
        <v>5</v>
      </c>
      <c r="E268" s="79" t="s">
        <v>1146</v>
      </c>
      <c r="F268" s="79" t="s">
        <v>1147</v>
      </c>
      <c r="G268" s="79" t="s">
        <v>1148</v>
      </c>
      <c r="H268" s="81">
        <v>0.34722222222222221</v>
      </c>
      <c r="I268" s="79" t="s">
        <v>12</v>
      </c>
      <c r="J268" s="82">
        <v>45999</v>
      </c>
      <c r="K268" s="82">
        <v>46038</v>
      </c>
      <c r="L268" s="78">
        <f>IF(ISBLANK(DATA[[#This Row],[DISCHARGE DATE]]), "NO DATE", DATA[[#This Row],[DISCHARGE DATE]]-DATA[[#This Row],[ADMISSION DATE]]+1)</f>
        <v>40</v>
      </c>
      <c r="M268" s="83">
        <v>350</v>
      </c>
      <c r="N268" s="83">
        <v>800</v>
      </c>
      <c r="O268" s="93">
        <v>272</v>
      </c>
      <c r="P268" s="93">
        <v>124</v>
      </c>
      <c r="Q268" s="84">
        <f>IF(DATA[[#This Row],[Column1]]="Normal", 13 * DATA[[#This Row],[STORAGE DAYS]], 20 * DATA[[#This Row],[STORAGE DAYS]])</f>
        <v>800</v>
      </c>
      <c r="R268" s="84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 t="shared" si="4"/>
        <v>349</v>
      </c>
      <c r="U268" s="112">
        <v>2025</v>
      </c>
      <c r="V268" s="112" t="s">
        <v>1916</v>
      </c>
      <c r="W268" s="112">
        <v>2026</v>
      </c>
      <c r="X268" s="112" t="s">
        <v>1874</v>
      </c>
    </row>
    <row r="269" spans="1:27" s="37" customFormat="1" ht="13.5" hidden="1" customHeight="1" x14ac:dyDescent="0.25">
      <c r="A269" s="77" t="s">
        <v>1340</v>
      </c>
      <c r="B269" s="78" t="s">
        <v>1341</v>
      </c>
      <c r="C269" s="78">
        <v>45</v>
      </c>
      <c r="D269" s="79" t="s">
        <v>5</v>
      </c>
      <c r="E269" s="79" t="s">
        <v>1342</v>
      </c>
      <c r="F269" s="79" t="s">
        <v>1746</v>
      </c>
      <c r="G269" s="79" t="s">
        <v>18</v>
      </c>
      <c r="H269" s="81">
        <v>0.27083333333333331</v>
      </c>
      <c r="I269" s="79" t="s">
        <v>12</v>
      </c>
      <c r="J269" s="82">
        <v>45997</v>
      </c>
      <c r="K269" s="82">
        <v>46143</v>
      </c>
      <c r="L269" s="78">
        <f>IF(ISBLANK(DATA[[#This Row],[DISCHARGE DATE]]), "NO DATE", DATA[[#This Row],[DISCHARGE DATE]]-DATA[[#This Row],[ADMISSION DATE]]+1)</f>
        <v>147</v>
      </c>
      <c r="M269" s="83">
        <v>350</v>
      </c>
      <c r="N269" s="83">
        <v>2940</v>
      </c>
      <c r="O269" s="93">
        <v>273</v>
      </c>
      <c r="P269" s="93">
        <v>12000140</v>
      </c>
      <c r="Q269" s="84">
        <f>IF(DATA[[#This Row],[Column1]]="Normal", 13 * DATA[[#This Row],[STORAGE DAYS]], 20 * DATA[[#This Row],[STORAGE DAYS]])</f>
        <v>2940</v>
      </c>
      <c r="R269" s="84">
        <f>DATA[[#This Row],[COLDROOM FEE]]-DATA[[#This Row],[STORAGE FEE]]</f>
        <v>0</v>
      </c>
      <c r="S269" s="149" t="str">
        <f>IF(ISBLANK(DATA[[#This Row],[COLDROOM RECEIPT]]), "IN CUSTODY", "DISCHARGED")</f>
        <v>DISCHARGED</v>
      </c>
      <c r="T269" s="36">
        <f t="shared" si="4"/>
        <v>349</v>
      </c>
      <c r="U269" s="112">
        <v>2025</v>
      </c>
      <c r="V269" s="112" t="s">
        <v>1916</v>
      </c>
      <c r="W269" s="112">
        <v>2026</v>
      </c>
      <c r="X269" s="112" t="s">
        <v>1913</v>
      </c>
    </row>
    <row r="270" spans="1:27" s="37" customFormat="1" ht="16.5" hidden="1" customHeight="1" x14ac:dyDescent="0.25">
      <c r="A270" s="77" t="s">
        <v>1343</v>
      </c>
      <c r="B270" s="78" t="s">
        <v>1344</v>
      </c>
      <c r="C270" s="78">
        <v>35</v>
      </c>
      <c r="D270" s="79" t="s">
        <v>4</v>
      </c>
      <c r="E270" s="79" t="s">
        <v>1345</v>
      </c>
      <c r="F270" s="79" t="s">
        <v>1747</v>
      </c>
      <c r="G270" s="79" t="s">
        <v>27</v>
      </c>
      <c r="H270" s="81">
        <v>0.41666666666666669</v>
      </c>
      <c r="I270" s="79" t="s">
        <v>10</v>
      </c>
      <c r="J270" s="82">
        <v>45999</v>
      </c>
      <c r="K270" s="82">
        <v>46108</v>
      </c>
      <c r="L270" s="78">
        <f>IF(ISBLANK(DATA[[#This Row],[DISCHARGE DATE]]), "NO DATE", DATA[[#This Row],[DISCHARGE DATE]]-DATA[[#This Row],[ADMISSION DATE]]+1)</f>
        <v>110</v>
      </c>
      <c r="M270" s="83">
        <v>350</v>
      </c>
      <c r="N270" s="83">
        <v>1430</v>
      </c>
      <c r="O270" s="93">
        <v>274</v>
      </c>
      <c r="P270" s="93">
        <v>145</v>
      </c>
      <c r="Q270" s="84">
        <f>IF(DATA[[#This Row],[Column1]]="Normal", 13 * DATA[[#This Row],[STORAGE DAYS]], 20 * DATA[[#This Row],[STORAGE DAYS]])</f>
        <v>1430</v>
      </c>
      <c r="R270" s="84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 t="shared" si="4"/>
        <v>349</v>
      </c>
      <c r="U270" s="112">
        <v>2025</v>
      </c>
      <c r="V270" s="112" t="s">
        <v>1916</v>
      </c>
      <c r="W270" s="112">
        <v>2026</v>
      </c>
      <c r="X270" s="112" t="s">
        <v>1912</v>
      </c>
    </row>
    <row r="271" spans="1:27" s="37" customFormat="1" ht="16.5" hidden="1" customHeight="1" x14ac:dyDescent="0.25">
      <c r="A271" s="77" t="s">
        <v>1354</v>
      </c>
      <c r="B271" s="78" t="s">
        <v>1355</v>
      </c>
      <c r="C271" s="78">
        <v>62</v>
      </c>
      <c r="D271" s="79" t="s">
        <v>4</v>
      </c>
      <c r="E271" s="79" t="s">
        <v>1356</v>
      </c>
      <c r="F271" s="79" t="s">
        <v>1748</v>
      </c>
      <c r="G271" s="79" t="s">
        <v>27</v>
      </c>
      <c r="H271" s="81">
        <v>0.8125</v>
      </c>
      <c r="I271" s="79" t="s">
        <v>10</v>
      </c>
      <c r="J271" s="82">
        <v>46002</v>
      </c>
      <c r="K271" s="82">
        <v>46143</v>
      </c>
      <c r="L271" s="78">
        <f>IF(ISBLANK(DATA[[#This Row],[DISCHARGE DATE]]), "NO DATE", DATA[[#This Row],[DISCHARGE DATE]]-DATA[[#This Row],[ADMISSION DATE]]+1)</f>
        <v>142</v>
      </c>
      <c r="M271" s="83">
        <v>350</v>
      </c>
      <c r="N271" s="83">
        <v>1846</v>
      </c>
      <c r="O271" s="93">
        <v>275</v>
      </c>
      <c r="P271" s="93">
        <v>284</v>
      </c>
      <c r="Q271" s="84">
        <f>IF(DATA[[#This Row],[Column1]]="Normal", 13 * DATA[[#This Row],[STORAGE DAYS]], 20 * DATA[[#This Row],[STORAGE DAYS]])</f>
        <v>1846</v>
      </c>
      <c r="R271" s="84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 t="shared" si="4"/>
        <v>349</v>
      </c>
      <c r="U271" s="112">
        <v>2025</v>
      </c>
      <c r="V271" s="112" t="s">
        <v>1916</v>
      </c>
      <c r="W271" s="112">
        <v>2026</v>
      </c>
      <c r="X271" s="112" t="s">
        <v>1913</v>
      </c>
    </row>
    <row r="272" spans="1:27" s="37" customFormat="1" ht="16.5" hidden="1" customHeight="1" x14ac:dyDescent="0.25">
      <c r="A272" s="77" t="s">
        <v>1357</v>
      </c>
      <c r="B272" s="78" t="s">
        <v>1358</v>
      </c>
      <c r="C272" s="78">
        <v>36</v>
      </c>
      <c r="D272" s="79" t="s">
        <v>4</v>
      </c>
      <c r="E272" s="79" t="s">
        <v>1359</v>
      </c>
      <c r="F272" s="79" t="s">
        <v>1749</v>
      </c>
      <c r="G272" s="79" t="s">
        <v>27</v>
      </c>
      <c r="H272" s="81">
        <v>0.125</v>
      </c>
      <c r="I272" s="79" t="s">
        <v>10</v>
      </c>
      <c r="J272" s="82">
        <v>46004</v>
      </c>
      <c r="K272" s="82">
        <v>46202</v>
      </c>
      <c r="L272" s="78">
        <f>IF(ISBLANK(DATA[[#This Row],[DISCHARGE DATE]]), "NO DATE", DATA[[#This Row],[DISCHARGE DATE]]-DATA[[#This Row],[ADMISSION DATE]]+1)</f>
        <v>199</v>
      </c>
      <c r="M272" s="83">
        <v>350</v>
      </c>
      <c r="N272" s="83"/>
      <c r="O272" s="93">
        <v>276</v>
      </c>
      <c r="P272" s="93"/>
      <c r="Q272" s="84">
        <f>IF(DATA[[#This Row],[Column1]]="Normal", 13 * DATA[[#This Row],[STORAGE DAYS]], 20 * DATA[[#This Row],[STORAGE DAYS]])</f>
        <v>2587</v>
      </c>
      <c r="R272" s="84">
        <f>DATA[[#This Row],[COLDROOM FEE]]-DATA[[#This Row],[STORAGE FEE]]</f>
        <v>-2587</v>
      </c>
      <c r="S272" s="149" t="str">
        <f>IF(ISBLANK(DATA[[#This Row],[COLDROOM RECEIPT]]), "IN CUSTODY", "DISCHARGED")</f>
        <v>IN CUSTODY</v>
      </c>
      <c r="T272" s="36">
        <f t="shared" si="4"/>
        <v>349</v>
      </c>
      <c r="U272" s="112">
        <v>2025</v>
      </c>
      <c r="V272" s="112" t="s">
        <v>1916</v>
      </c>
      <c r="W272" s="112">
        <v>2026</v>
      </c>
      <c r="X272" s="112" t="s">
        <v>1917</v>
      </c>
    </row>
    <row r="273" spans="1:24" s="37" customFormat="1" ht="16.5" hidden="1" customHeight="1" x14ac:dyDescent="0.25">
      <c r="A273" s="77" t="s">
        <v>1360</v>
      </c>
      <c r="B273" s="78" t="s">
        <v>1361</v>
      </c>
      <c r="C273" s="78">
        <v>75</v>
      </c>
      <c r="D273" s="79" t="s">
        <v>4</v>
      </c>
      <c r="E273" s="79" t="s">
        <v>1362</v>
      </c>
      <c r="F273" s="79" t="s">
        <v>1750</v>
      </c>
      <c r="G273" s="79" t="s">
        <v>27</v>
      </c>
      <c r="H273" s="81">
        <v>0.46527777777777779</v>
      </c>
      <c r="I273" s="79" t="s">
        <v>10</v>
      </c>
      <c r="J273" s="82">
        <v>46006</v>
      </c>
      <c r="K273" s="82"/>
      <c r="L273" s="78" t="str">
        <f>IF(ISBLANK(DATA[[#This Row],[DISCHARGE DATE]]), "NO DATE", DATA[[#This Row],[DISCHARGE DATE]]-DATA[[#This Row],[ADMISSION DATE]]+1)</f>
        <v>NO DATE</v>
      </c>
      <c r="M273" s="83">
        <v>350</v>
      </c>
      <c r="N273" s="83"/>
      <c r="O273" s="93">
        <v>277</v>
      </c>
      <c r="P273" s="93"/>
      <c r="Q273" s="84" t="e">
        <f>IF(DATA[[#This Row],[Column1]]="Normal", 13 * DATA[[#This Row],[STORAGE DAYS]], 20 * DATA[[#This Row],[STORAGE DAYS]])</f>
        <v>#VALUE!</v>
      </c>
      <c r="R273" s="84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 t="shared" si="4"/>
        <v>349</v>
      </c>
      <c r="U273" s="112">
        <v>2025</v>
      </c>
      <c r="V273" s="112" t="s">
        <v>1916</v>
      </c>
      <c r="W273" s="112">
        <v>2026</v>
      </c>
      <c r="X273" s="112" t="s">
        <v>1914</v>
      </c>
    </row>
    <row r="274" spans="1:24" s="37" customFormat="1" ht="16.5" hidden="1" customHeight="1" x14ac:dyDescent="0.25">
      <c r="A274" s="77" t="s">
        <v>1371</v>
      </c>
      <c r="B274" s="78" t="s">
        <v>1372</v>
      </c>
      <c r="C274" s="78">
        <v>64</v>
      </c>
      <c r="D274" s="79" t="s">
        <v>5</v>
      </c>
      <c r="E274" s="79" t="s">
        <v>1373</v>
      </c>
      <c r="F274" s="79" t="s">
        <v>1751</v>
      </c>
      <c r="G274" s="79" t="s">
        <v>19</v>
      </c>
      <c r="H274" s="81">
        <v>0.8125</v>
      </c>
      <c r="I274" s="79" t="s">
        <v>10</v>
      </c>
      <c r="J274" s="82">
        <v>46010</v>
      </c>
      <c r="K274" s="82">
        <v>46108</v>
      </c>
      <c r="L274" s="78">
        <f>IF(ISBLANK(DATA[[#This Row],[DISCHARGE DATE]]), "NO DATE", DATA[[#This Row],[DISCHARGE DATE]]-DATA[[#This Row],[ADMISSION DATE]]+1)</f>
        <v>99</v>
      </c>
      <c r="M274" s="83">
        <v>350</v>
      </c>
      <c r="N274" s="83">
        <v>1287</v>
      </c>
      <c r="O274" s="93">
        <v>278</v>
      </c>
      <c r="P274" s="93">
        <v>265</v>
      </c>
      <c r="Q274" s="84">
        <f>IF(DATA[[#This Row],[Column1]]="Normal", 13 * DATA[[#This Row],[STORAGE DAYS]], 20 * DATA[[#This Row],[STORAGE DAYS]])</f>
        <v>1287</v>
      </c>
      <c r="R274" s="84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 t="shared" si="4"/>
        <v>349</v>
      </c>
      <c r="U274" s="112">
        <v>2025</v>
      </c>
      <c r="V274" s="112" t="s">
        <v>1916</v>
      </c>
      <c r="W274" s="112">
        <v>2026</v>
      </c>
      <c r="X274" s="112" t="s">
        <v>1912</v>
      </c>
    </row>
    <row r="275" spans="1:24" s="37" customFormat="1" ht="16.5" hidden="1" customHeight="1" x14ac:dyDescent="0.25">
      <c r="A275" s="77" t="s">
        <v>1374</v>
      </c>
      <c r="B275" s="78" t="s">
        <v>1375</v>
      </c>
      <c r="C275" s="78">
        <v>52</v>
      </c>
      <c r="D275" s="79" t="s">
        <v>5</v>
      </c>
      <c r="E275" s="79" t="s">
        <v>1376</v>
      </c>
      <c r="F275" s="79" t="s">
        <v>1752</v>
      </c>
      <c r="G275" s="79" t="s">
        <v>1377</v>
      </c>
      <c r="H275" s="81">
        <v>0.8125</v>
      </c>
      <c r="I275" s="79" t="s">
        <v>10</v>
      </c>
      <c r="J275" s="82">
        <v>46015</v>
      </c>
      <c r="K275" s="82">
        <v>46059</v>
      </c>
      <c r="L275" s="78">
        <f>IF(ISBLANK(DATA[[#This Row],[DISCHARGE DATE]]), "NO DATE", DATA[[#This Row],[DISCHARGE DATE]]-DATA[[#This Row],[ADMISSION DATE]]+1)</f>
        <v>45</v>
      </c>
      <c r="M275" s="83">
        <v>350</v>
      </c>
      <c r="N275" s="83">
        <v>585</v>
      </c>
      <c r="O275" s="93">
        <v>279</v>
      </c>
      <c r="P275" s="93">
        <v>131</v>
      </c>
      <c r="Q275" s="84">
        <f>IF(DATA[[#This Row],[Column1]]="Normal", 13 * DATA[[#This Row],[STORAGE DAYS]], 20 * DATA[[#This Row],[STORAGE DAYS]])</f>
        <v>585</v>
      </c>
      <c r="R275" s="84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 t="shared" si="4"/>
        <v>349</v>
      </c>
      <c r="U275" s="112">
        <v>2025</v>
      </c>
      <c r="V275" s="112" t="s">
        <v>1916</v>
      </c>
      <c r="W275" s="112">
        <v>2026</v>
      </c>
      <c r="X275" s="112" t="s">
        <v>1915</v>
      </c>
    </row>
    <row r="276" spans="1:24" s="37" customFormat="1" ht="16.5" hidden="1" customHeight="1" x14ac:dyDescent="0.25">
      <c r="A276" s="77" t="s">
        <v>1378</v>
      </c>
      <c r="B276" s="78" t="s">
        <v>1379</v>
      </c>
      <c r="C276" s="78">
        <v>21</v>
      </c>
      <c r="D276" s="79" t="s">
        <v>4</v>
      </c>
      <c r="E276" s="79" t="s">
        <v>1380</v>
      </c>
      <c r="F276" s="79" t="s">
        <v>1753</v>
      </c>
      <c r="G276" s="79" t="s">
        <v>19</v>
      </c>
      <c r="H276" s="81">
        <v>0.85416666666666663</v>
      </c>
      <c r="I276" s="79" t="s">
        <v>10</v>
      </c>
      <c r="J276" s="82">
        <v>46019</v>
      </c>
      <c r="K276" s="82">
        <v>46045</v>
      </c>
      <c r="L276" s="78">
        <f>IF(ISBLANK(DATA[[#This Row],[DISCHARGE DATE]]), "NO DATE", DATA[[#This Row],[DISCHARGE DATE]]-DATA[[#This Row],[ADMISSION DATE]]+1)</f>
        <v>27</v>
      </c>
      <c r="M276" s="83">
        <v>350</v>
      </c>
      <c r="N276" s="83">
        <v>351</v>
      </c>
      <c r="O276" s="93">
        <v>280</v>
      </c>
      <c r="P276" s="93">
        <v>128</v>
      </c>
      <c r="Q276" s="84">
        <f>IF(DATA[[#This Row],[Column1]]="Normal", 13 * DATA[[#This Row],[STORAGE DAYS]], 20 * DATA[[#This Row],[STORAGE DAYS]])</f>
        <v>351</v>
      </c>
      <c r="R276" s="84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 t="shared" si="4"/>
        <v>349</v>
      </c>
      <c r="U276" s="112">
        <v>2025</v>
      </c>
      <c r="V276" s="112" t="s">
        <v>1916</v>
      </c>
      <c r="W276" s="112">
        <v>2026</v>
      </c>
      <c r="X276" s="112" t="s">
        <v>1874</v>
      </c>
    </row>
    <row r="277" spans="1:24" s="37" customFormat="1" ht="16.5" hidden="1" customHeight="1" x14ac:dyDescent="0.25">
      <c r="A277" s="77" t="s">
        <v>1382</v>
      </c>
      <c r="B277" s="78" t="s">
        <v>1383</v>
      </c>
      <c r="C277" s="78">
        <v>64</v>
      </c>
      <c r="D277" s="79" t="s">
        <v>4</v>
      </c>
      <c r="E277" s="79" t="s">
        <v>1384</v>
      </c>
      <c r="F277" s="79" t="s">
        <v>1754</v>
      </c>
      <c r="G277" s="79" t="s">
        <v>25</v>
      </c>
      <c r="H277" s="81">
        <v>0.85416666666666663</v>
      </c>
      <c r="I277" s="79" t="s">
        <v>12</v>
      </c>
      <c r="J277" s="82">
        <v>46024</v>
      </c>
      <c r="K277" s="82">
        <v>46143</v>
      </c>
      <c r="L277" s="78">
        <f>IF(ISBLANK(DATA[[#This Row],[DISCHARGE DATE]]), "NO DATE", DATA[[#This Row],[DISCHARGE DATE]]-DATA[[#This Row],[ADMISSION DATE]]+1)</f>
        <v>120</v>
      </c>
      <c r="M277" s="83">
        <v>350</v>
      </c>
      <c r="N277" s="83">
        <v>2400</v>
      </c>
      <c r="O277" s="93">
        <v>281</v>
      </c>
      <c r="P277" s="93">
        <v>283</v>
      </c>
      <c r="Q277" s="84">
        <f>IF(DATA[[#This Row],[Column1]]="Normal", 13 * DATA[[#This Row],[STORAGE DAYS]], 20 * DATA[[#This Row],[STORAGE DAYS]])</f>
        <v>2400</v>
      </c>
      <c r="R277" s="84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 t="shared" si="4"/>
        <v>349</v>
      </c>
      <c r="U277" s="112">
        <v>2026</v>
      </c>
      <c r="V277" s="112" t="s">
        <v>1874</v>
      </c>
      <c r="W277" s="112">
        <v>2026</v>
      </c>
      <c r="X277" s="112" t="s">
        <v>1913</v>
      </c>
    </row>
    <row r="278" spans="1:24" s="37" customFormat="1" ht="16.5" hidden="1" customHeight="1" x14ac:dyDescent="0.25">
      <c r="A278" s="77" t="s">
        <v>1385</v>
      </c>
      <c r="B278" s="78" t="s">
        <v>1386</v>
      </c>
      <c r="C278" s="78">
        <v>70</v>
      </c>
      <c r="D278" s="79" t="s">
        <v>5</v>
      </c>
      <c r="E278" s="79" t="s">
        <v>1387</v>
      </c>
      <c r="F278" s="79" t="s">
        <v>1755</v>
      </c>
      <c r="G278" s="79" t="s">
        <v>27</v>
      </c>
      <c r="H278" s="81">
        <v>0.22916666666666666</v>
      </c>
      <c r="I278" s="79" t="s">
        <v>10</v>
      </c>
      <c r="J278" s="82">
        <v>46025</v>
      </c>
      <c r="K278" s="82">
        <v>46143</v>
      </c>
      <c r="L278" s="78">
        <f>IF(ISBLANK(DATA[[#This Row],[DISCHARGE DATE]]), "NO DATE", DATA[[#This Row],[DISCHARGE DATE]]-DATA[[#This Row],[ADMISSION DATE]]+1)</f>
        <v>119</v>
      </c>
      <c r="M278" s="83">
        <v>350</v>
      </c>
      <c r="N278" s="83">
        <v>1547</v>
      </c>
      <c r="O278" s="93">
        <v>282</v>
      </c>
      <c r="P278" s="93">
        <v>287</v>
      </c>
      <c r="Q278" s="84">
        <f>IF(DATA[[#This Row],[Column1]]="Normal", 13 * DATA[[#This Row],[STORAGE DAYS]], 20 * DATA[[#This Row],[STORAGE DAYS]])</f>
        <v>1547</v>
      </c>
      <c r="R278" s="84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 t="shared" si="4"/>
        <v>349</v>
      </c>
      <c r="U278" s="112">
        <v>2026</v>
      </c>
      <c r="V278" s="112" t="s">
        <v>1874</v>
      </c>
      <c r="W278" s="112">
        <v>2026</v>
      </c>
      <c r="X278" s="112" t="s">
        <v>1913</v>
      </c>
    </row>
    <row r="279" spans="1:24" s="37" customFormat="1" ht="16.5" hidden="1" customHeight="1" x14ac:dyDescent="0.25">
      <c r="A279" s="77" t="s">
        <v>1388</v>
      </c>
      <c r="B279" s="78" t="s">
        <v>1389</v>
      </c>
      <c r="C279" s="78">
        <v>37</v>
      </c>
      <c r="D279" s="79" t="s">
        <v>5</v>
      </c>
      <c r="E279" s="79" t="s">
        <v>1390</v>
      </c>
      <c r="F279" s="79" t="s">
        <v>1756</v>
      </c>
      <c r="G279" s="79" t="s">
        <v>27</v>
      </c>
      <c r="H279" s="81">
        <v>0.52083333333333337</v>
      </c>
      <c r="I279" s="79" t="s">
        <v>10</v>
      </c>
      <c r="J279" s="82">
        <v>46025</v>
      </c>
      <c r="K279" s="82">
        <v>46108</v>
      </c>
      <c r="L279" s="78">
        <f>IF(ISBLANK(DATA[[#This Row],[DISCHARGE DATE]]), "NO DATE", DATA[[#This Row],[DISCHARGE DATE]]-DATA[[#This Row],[ADMISSION DATE]]+1)</f>
        <v>84</v>
      </c>
      <c r="M279" s="83">
        <v>350</v>
      </c>
      <c r="N279" s="83">
        <v>1092</v>
      </c>
      <c r="O279" s="93">
        <v>283</v>
      </c>
      <c r="P279" s="93">
        <v>261</v>
      </c>
      <c r="Q279" s="84">
        <f>IF(DATA[[#This Row],[Column1]]="Normal", 13 * DATA[[#This Row],[STORAGE DAYS]], 20 * DATA[[#This Row],[STORAGE DAYS]])</f>
        <v>1092</v>
      </c>
      <c r="R279" s="84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 t="shared" si="4"/>
        <v>349</v>
      </c>
      <c r="U279" s="112">
        <v>2026</v>
      </c>
      <c r="V279" s="112" t="s">
        <v>1874</v>
      </c>
      <c r="W279" s="112">
        <v>2026</v>
      </c>
      <c r="X279" s="112" t="s">
        <v>1912</v>
      </c>
    </row>
    <row r="280" spans="1:24" s="37" customFormat="1" ht="16.5" customHeight="1" x14ac:dyDescent="0.25">
      <c r="A280" s="77" t="s">
        <v>1391</v>
      </c>
      <c r="B280" s="78" t="s">
        <v>1392</v>
      </c>
      <c r="C280" s="78">
        <v>32</v>
      </c>
      <c r="D280" s="79" t="s">
        <v>5</v>
      </c>
      <c r="E280" s="79" t="s">
        <v>1202</v>
      </c>
      <c r="F280" s="79" t="s">
        <v>1757</v>
      </c>
      <c r="G280" s="79" t="s">
        <v>25</v>
      </c>
      <c r="H280" s="81">
        <v>0.60833333333333328</v>
      </c>
      <c r="I280" s="79" t="s">
        <v>10</v>
      </c>
      <c r="J280" s="82">
        <v>46027</v>
      </c>
      <c r="K280" s="82">
        <v>46171</v>
      </c>
      <c r="L280" s="78">
        <f>IF(ISBLANK(DATA[[#This Row],[DISCHARGE DATE]]), "NO DATE", DATA[[#This Row],[DISCHARGE DATE]]-DATA[[#This Row],[ADMISSION DATE]]+1)</f>
        <v>145</v>
      </c>
      <c r="M280" s="83">
        <v>350</v>
      </c>
      <c r="N280" s="83"/>
      <c r="O280" s="93">
        <v>284</v>
      </c>
      <c r="P280" s="93"/>
      <c r="Q280" s="84">
        <f>IF(DATA[[#This Row],[Column1]]="Normal", 13 * DATA[[#This Row],[STORAGE DAYS]], 20 * DATA[[#This Row],[STORAGE DAYS]])</f>
        <v>1885</v>
      </c>
      <c r="R280" s="84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 t="shared" si="4"/>
        <v>349</v>
      </c>
      <c r="U280" s="112">
        <v>2026</v>
      </c>
      <c r="V280" s="112" t="s">
        <v>1874</v>
      </c>
      <c r="W280" s="112">
        <v>1900</v>
      </c>
      <c r="X280" s="112" t="s">
        <v>1874</v>
      </c>
    </row>
    <row r="281" spans="1:24" s="37" customFormat="1" ht="16.5" hidden="1" customHeight="1" x14ac:dyDescent="0.25">
      <c r="A281" s="77" t="s">
        <v>1393</v>
      </c>
      <c r="B281" s="78" t="s">
        <v>1394</v>
      </c>
      <c r="C281" s="78">
        <v>45</v>
      </c>
      <c r="D281" s="79" t="s">
        <v>4</v>
      </c>
      <c r="E281" s="79" t="s">
        <v>1395</v>
      </c>
      <c r="F281" s="79" t="s">
        <v>1758</v>
      </c>
      <c r="G281" s="79" t="s">
        <v>1298</v>
      </c>
      <c r="H281" s="81">
        <v>0.59166666666666667</v>
      </c>
      <c r="I281" s="79" t="s">
        <v>12</v>
      </c>
      <c r="J281" s="82">
        <v>46030</v>
      </c>
      <c r="K281" s="82">
        <v>46073</v>
      </c>
      <c r="L281" s="78">
        <f>IF(ISBLANK(DATA[[#This Row],[DISCHARGE DATE]]), "NO DATE", DATA[[#This Row],[DISCHARGE DATE]]-DATA[[#This Row],[ADMISSION DATE]]+1)</f>
        <v>44</v>
      </c>
      <c r="M281" s="83">
        <v>350</v>
      </c>
      <c r="N281" s="83">
        <v>880</v>
      </c>
      <c r="O281" s="93">
        <v>285</v>
      </c>
      <c r="P281" s="93">
        <v>137</v>
      </c>
      <c r="Q281" s="84">
        <f>IF(DATA[[#This Row],[Column1]]="Normal", 13 * DATA[[#This Row],[STORAGE DAYS]], 20 * DATA[[#This Row],[STORAGE DAYS]])</f>
        <v>880</v>
      </c>
      <c r="R281" s="84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 t="shared" si="4"/>
        <v>349</v>
      </c>
      <c r="U281" s="112">
        <v>2026</v>
      </c>
      <c r="V281" s="112" t="s">
        <v>1874</v>
      </c>
      <c r="W281" s="112">
        <v>2026</v>
      </c>
      <c r="X281" s="112" t="s">
        <v>1915</v>
      </c>
    </row>
    <row r="282" spans="1:24" s="37" customFormat="1" ht="16.5" hidden="1" customHeight="1" x14ac:dyDescent="0.25">
      <c r="A282" s="77" t="s">
        <v>1396</v>
      </c>
      <c r="B282" s="78" t="s">
        <v>1397</v>
      </c>
      <c r="C282" s="78">
        <v>75</v>
      </c>
      <c r="D282" s="79" t="s">
        <v>5</v>
      </c>
      <c r="E282" s="79" t="s">
        <v>1398</v>
      </c>
      <c r="F282" s="79" t="s">
        <v>1759</v>
      </c>
      <c r="G282" s="79" t="s">
        <v>25</v>
      </c>
      <c r="H282" s="81">
        <v>0.6069444444444444</v>
      </c>
      <c r="I282" s="79" t="s">
        <v>10</v>
      </c>
      <c r="J282" s="82">
        <v>46031</v>
      </c>
      <c r="K282" s="82">
        <v>46108</v>
      </c>
      <c r="L282" s="78">
        <f>IF(ISBLANK(DATA[[#This Row],[DISCHARGE DATE]]), "NO DATE", DATA[[#This Row],[DISCHARGE DATE]]-DATA[[#This Row],[ADMISSION DATE]]+1)</f>
        <v>78</v>
      </c>
      <c r="M282" s="83">
        <v>350</v>
      </c>
      <c r="N282" s="83">
        <v>1014</v>
      </c>
      <c r="O282" s="93">
        <v>286</v>
      </c>
      <c r="P282" s="93">
        <v>258</v>
      </c>
      <c r="Q282" s="84">
        <f>IF(DATA[[#This Row],[Column1]]="Normal", 13 * DATA[[#This Row],[STORAGE DAYS]], 20 * DATA[[#This Row],[STORAGE DAYS]])</f>
        <v>1014</v>
      </c>
      <c r="R282" s="84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 t="shared" si="4"/>
        <v>349</v>
      </c>
      <c r="U282" s="112">
        <v>2026</v>
      </c>
      <c r="V282" s="112" t="s">
        <v>1874</v>
      </c>
      <c r="W282" s="112">
        <v>2026</v>
      </c>
      <c r="X282" s="112" t="s">
        <v>1912</v>
      </c>
    </row>
    <row r="283" spans="1:24" s="37" customFormat="1" ht="16.5" hidden="1" customHeight="1" x14ac:dyDescent="0.25">
      <c r="A283" s="77" t="s">
        <v>1399</v>
      </c>
      <c r="B283" s="78" t="s">
        <v>748</v>
      </c>
      <c r="C283" s="78">
        <v>30</v>
      </c>
      <c r="D283" s="79" t="s">
        <v>5</v>
      </c>
      <c r="E283" s="79" t="s">
        <v>1400</v>
      </c>
      <c r="F283" s="79" t="s">
        <v>1760</v>
      </c>
      <c r="G283" s="79" t="s">
        <v>27</v>
      </c>
      <c r="H283" s="81">
        <v>0.8125</v>
      </c>
      <c r="I283" s="79" t="s">
        <v>10</v>
      </c>
      <c r="J283" s="82">
        <v>46031</v>
      </c>
      <c r="K283" s="82">
        <v>46045</v>
      </c>
      <c r="L283" s="78">
        <f>IF(ISBLANK(DATA[[#This Row],[DISCHARGE DATE]]), "NO DATE", DATA[[#This Row],[DISCHARGE DATE]]-DATA[[#This Row],[ADMISSION DATE]]+1)</f>
        <v>15</v>
      </c>
      <c r="M283" s="83">
        <v>350</v>
      </c>
      <c r="N283" s="83">
        <v>195</v>
      </c>
      <c r="O283" s="93">
        <v>287</v>
      </c>
      <c r="P283" s="93">
        <v>126</v>
      </c>
      <c r="Q283" s="84">
        <f>IF(DATA[[#This Row],[Column1]]="Normal", 13 * DATA[[#This Row],[STORAGE DAYS]], 20 * DATA[[#This Row],[STORAGE DAYS]])</f>
        <v>195</v>
      </c>
      <c r="R283" s="84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 t="shared" si="4"/>
        <v>349</v>
      </c>
      <c r="U283" s="112">
        <v>2026</v>
      </c>
      <c r="V283" s="112" t="s">
        <v>1874</v>
      </c>
      <c r="W283" s="112">
        <v>2026</v>
      </c>
      <c r="X283" s="112" t="s">
        <v>1874</v>
      </c>
    </row>
    <row r="284" spans="1:24" s="37" customFormat="1" ht="16.5" hidden="1" customHeight="1" x14ac:dyDescent="0.25">
      <c r="A284" s="77" t="s">
        <v>1401</v>
      </c>
      <c r="B284" s="78" t="s">
        <v>1452</v>
      </c>
      <c r="C284" s="78">
        <v>106</v>
      </c>
      <c r="D284" s="79" t="s">
        <v>5</v>
      </c>
      <c r="E284" s="79" t="s">
        <v>1402</v>
      </c>
      <c r="F284" s="79" t="s">
        <v>1761</v>
      </c>
      <c r="G284" s="79" t="s">
        <v>24</v>
      </c>
      <c r="H284" s="81">
        <v>0.41666666666666669</v>
      </c>
      <c r="I284" s="79" t="s">
        <v>10</v>
      </c>
      <c r="J284" s="82">
        <v>46032</v>
      </c>
      <c r="K284" s="82">
        <v>46129</v>
      </c>
      <c r="L284" s="78">
        <f>IF(ISBLANK(DATA[[#This Row],[DISCHARGE DATE]]), "NO DATE", DATA[[#This Row],[DISCHARGE DATE]]-DATA[[#This Row],[ADMISSION DATE]]+1)</f>
        <v>98</v>
      </c>
      <c r="M284" s="83">
        <v>350</v>
      </c>
      <c r="N284" s="83">
        <v>1274</v>
      </c>
      <c r="O284" s="93">
        <v>288</v>
      </c>
      <c r="P284" s="93" t="s">
        <v>1888</v>
      </c>
      <c r="Q284" s="84">
        <f>IF(DATA[[#This Row],[Column1]]="Normal", 13 * DATA[[#This Row],[STORAGE DAYS]], 20 * DATA[[#This Row],[STORAGE DAYS]])</f>
        <v>1274</v>
      </c>
      <c r="R284" s="84">
        <f>DATA[[#This Row],[COLDROOM FEE]]-DATA[[#This Row],[STORAGE FEE]]</f>
        <v>0</v>
      </c>
      <c r="S284" s="149" t="str">
        <f>IF(ISBLANK(DATA[[#This Row],[COLDROOM RECEIPT]]), "IN CUSTODY", "DISCHARGED")</f>
        <v>DISCHARGED</v>
      </c>
      <c r="T284" s="36">
        <f t="shared" si="4"/>
        <v>349</v>
      </c>
      <c r="U284" s="112">
        <v>2026</v>
      </c>
      <c r="V284" s="112" t="s">
        <v>1874</v>
      </c>
      <c r="W284" s="112">
        <v>2026</v>
      </c>
      <c r="X284" s="112" t="s">
        <v>1873</v>
      </c>
    </row>
    <row r="285" spans="1:24" s="37" customFormat="1" ht="16.5" hidden="1" customHeight="1" x14ac:dyDescent="0.25">
      <c r="A285" s="77" t="s">
        <v>1403</v>
      </c>
      <c r="B285" s="78" t="s">
        <v>1406</v>
      </c>
      <c r="C285" s="78">
        <v>70</v>
      </c>
      <c r="D285" s="79" t="s">
        <v>4</v>
      </c>
      <c r="E285" s="79" t="s">
        <v>1404</v>
      </c>
      <c r="F285" s="79" t="s">
        <v>1405</v>
      </c>
      <c r="G285" s="79" t="s">
        <v>1148</v>
      </c>
      <c r="H285" s="81">
        <v>0.63055555555555554</v>
      </c>
      <c r="I285" s="79" t="s">
        <v>10</v>
      </c>
      <c r="J285" s="82">
        <v>46035</v>
      </c>
      <c r="K285" s="82">
        <v>46122</v>
      </c>
      <c r="L285" s="78">
        <f>IF(ISBLANK(DATA[[#This Row],[DISCHARGE DATE]]), "NO DATE", DATA[[#This Row],[DISCHARGE DATE]]-DATA[[#This Row],[ADMISSION DATE]]+1)</f>
        <v>88</v>
      </c>
      <c r="M285" s="83">
        <v>350</v>
      </c>
      <c r="N285" s="83">
        <v>1144</v>
      </c>
      <c r="O285" s="93">
        <v>289</v>
      </c>
      <c r="P285" s="93" t="s">
        <v>1313</v>
      </c>
      <c r="Q285" s="84">
        <f>IF(DATA[[#This Row],[Column1]]="Normal", 13 * DATA[[#This Row],[STORAGE DAYS]], 20 * DATA[[#This Row],[STORAGE DAYS]])</f>
        <v>1144</v>
      </c>
      <c r="R285" s="84">
        <f>DATA[[#This Row],[COLDROOM FEE]]-DATA[[#This Row],[STORAGE FEE]]</f>
        <v>0</v>
      </c>
      <c r="S285" s="149" t="str">
        <f>IF(ISBLANK(DATA[[#This Row],[COLDROOM RECEIPT]]), "IN CUSTODY", "DISCHARGED")</f>
        <v>DISCHARGED</v>
      </c>
      <c r="T285" s="36">
        <f t="shared" si="4"/>
        <v>349</v>
      </c>
      <c r="U285" s="112">
        <v>2026</v>
      </c>
      <c r="V285" s="112" t="s">
        <v>1874</v>
      </c>
      <c r="W285" s="112">
        <v>2026</v>
      </c>
      <c r="X285" s="112" t="s">
        <v>1873</v>
      </c>
    </row>
    <row r="286" spans="1:24" s="37" customFormat="1" ht="16.5" hidden="1" customHeight="1" x14ac:dyDescent="0.25">
      <c r="A286" s="77" t="s">
        <v>1407</v>
      </c>
      <c r="B286" s="78" t="s">
        <v>1408</v>
      </c>
      <c r="C286" s="78">
        <v>53</v>
      </c>
      <c r="D286" s="79" t="s">
        <v>5</v>
      </c>
      <c r="E286" s="79" t="s">
        <v>1409</v>
      </c>
      <c r="F286" s="79" t="s">
        <v>1762</v>
      </c>
      <c r="G286" s="79" t="s">
        <v>27</v>
      </c>
      <c r="H286" s="81">
        <v>0.9375</v>
      </c>
      <c r="I286" s="79" t="s">
        <v>12</v>
      </c>
      <c r="J286" s="82">
        <v>46035</v>
      </c>
      <c r="K286" s="82">
        <v>46059</v>
      </c>
      <c r="L286" s="78">
        <f>IF(ISBLANK(DATA[[#This Row],[DISCHARGE DATE]]), "NO DATE", DATA[[#This Row],[DISCHARGE DATE]]-DATA[[#This Row],[ADMISSION DATE]]+1)</f>
        <v>25</v>
      </c>
      <c r="M286" s="83">
        <v>350</v>
      </c>
      <c r="N286" s="83">
        <v>500</v>
      </c>
      <c r="O286" s="93">
        <v>290</v>
      </c>
      <c r="P286" s="93">
        <v>130</v>
      </c>
      <c r="Q286" s="84">
        <f>IF(DATA[[#This Row],[Column1]]="Normal", 13 * DATA[[#This Row],[STORAGE DAYS]], 20 * DATA[[#This Row],[STORAGE DAYS]])</f>
        <v>500</v>
      </c>
      <c r="R286" s="84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 t="shared" si="4"/>
        <v>349</v>
      </c>
      <c r="U286" s="112">
        <v>2026</v>
      </c>
      <c r="V286" s="112" t="s">
        <v>1874</v>
      </c>
      <c r="W286" s="112">
        <v>2026</v>
      </c>
      <c r="X286" s="112" t="s">
        <v>1915</v>
      </c>
    </row>
    <row r="287" spans="1:24" s="37" customFormat="1" ht="16.5" hidden="1" customHeight="1" x14ac:dyDescent="0.25">
      <c r="A287" s="77" t="s">
        <v>1410</v>
      </c>
      <c r="B287" s="78" t="s">
        <v>1411</v>
      </c>
      <c r="C287" s="78">
        <v>46</v>
      </c>
      <c r="D287" s="79" t="s">
        <v>5</v>
      </c>
      <c r="E287" s="79" t="s">
        <v>1412</v>
      </c>
      <c r="F287" s="79" t="s">
        <v>1763</v>
      </c>
      <c r="G287" s="79" t="s">
        <v>27</v>
      </c>
      <c r="H287" s="81">
        <v>0.68402777777777779</v>
      </c>
      <c r="I287" s="79" t="s">
        <v>10</v>
      </c>
      <c r="J287" s="82">
        <v>46036</v>
      </c>
      <c r="K287" s="82">
        <v>46143</v>
      </c>
      <c r="L287" s="78">
        <f>IF(ISBLANK(DATA[[#This Row],[DISCHARGE DATE]]), "NO DATE", DATA[[#This Row],[DISCHARGE DATE]]-DATA[[#This Row],[ADMISSION DATE]]+1)</f>
        <v>108</v>
      </c>
      <c r="M287" s="83">
        <v>350</v>
      </c>
      <c r="N287" s="83">
        <v>1404</v>
      </c>
      <c r="O287" s="93">
        <v>291</v>
      </c>
      <c r="P287" s="93">
        <v>284</v>
      </c>
      <c r="Q287" s="84">
        <f>IF(DATA[[#This Row],[Column1]]="Normal", 13 * DATA[[#This Row],[STORAGE DAYS]], 20 * DATA[[#This Row],[STORAGE DAYS]])</f>
        <v>1404</v>
      </c>
      <c r="R287" s="84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 t="shared" si="4"/>
        <v>349</v>
      </c>
      <c r="U287" s="112">
        <v>2026</v>
      </c>
      <c r="V287" s="112" t="s">
        <v>1874</v>
      </c>
      <c r="W287" s="112">
        <v>2026</v>
      </c>
      <c r="X287" s="112" t="s">
        <v>1913</v>
      </c>
    </row>
    <row r="288" spans="1:24" s="37" customFormat="1" ht="16.5" customHeight="1" x14ac:dyDescent="0.25">
      <c r="A288" s="77" t="s">
        <v>1413</v>
      </c>
      <c r="B288" s="78" t="s">
        <v>1414</v>
      </c>
      <c r="C288" s="78">
        <v>69</v>
      </c>
      <c r="D288" s="79" t="s">
        <v>4</v>
      </c>
      <c r="E288" s="79" t="s">
        <v>1415</v>
      </c>
      <c r="F288" s="79" t="s">
        <v>1764</v>
      </c>
      <c r="G288" s="79" t="s">
        <v>27</v>
      </c>
      <c r="H288" s="81">
        <v>0.6</v>
      </c>
      <c r="I288" s="79" t="s">
        <v>12</v>
      </c>
      <c r="J288" s="82">
        <v>46036</v>
      </c>
      <c r="K288" s="82">
        <v>46171</v>
      </c>
      <c r="L288" s="78">
        <f>IF(ISBLANK(DATA[[#This Row],[DISCHARGE DATE]]), "NO DATE", DATA[[#This Row],[DISCHARGE DATE]]-DATA[[#This Row],[ADMISSION DATE]]+1)</f>
        <v>136</v>
      </c>
      <c r="M288" s="83">
        <v>350</v>
      </c>
      <c r="N288" s="83">
        <v>2720</v>
      </c>
      <c r="O288" s="93">
        <v>292</v>
      </c>
      <c r="P288" s="93">
        <v>302</v>
      </c>
      <c r="Q288" s="84">
        <f>IF(DATA[[#This Row],[Column1]]="Normal", 13 * DATA[[#This Row],[STORAGE DAYS]], 20 * DATA[[#This Row],[STORAGE DAYS]])</f>
        <v>2720</v>
      </c>
      <c r="R288" s="84">
        <f>DATA[[#This Row],[COLDROOM FEE]]-DATA[[#This Row],[STORAGE FEE]]</f>
        <v>0</v>
      </c>
      <c r="S288" s="149" t="str">
        <f>IF(ISBLANK(DATA[[#This Row],[COLDROOM RECEIPT]]), "IN CUSTODY", "DISCHARGED")</f>
        <v>DISCHARGED</v>
      </c>
      <c r="T288" s="36">
        <f t="shared" si="4"/>
        <v>349</v>
      </c>
      <c r="U288" s="112">
        <v>2026</v>
      </c>
      <c r="V288" s="112" t="s">
        <v>1874</v>
      </c>
      <c r="W288" s="112">
        <v>2026</v>
      </c>
      <c r="X288" s="112" t="s">
        <v>1913</v>
      </c>
    </row>
    <row r="289" spans="1:24" s="37" customFormat="1" ht="16.5" customHeight="1" x14ac:dyDescent="0.25">
      <c r="A289" s="77" t="s">
        <v>1417</v>
      </c>
      <c r="B289" s="78" t="s">
        <v>1418</v>
      </c>
      <c r="C289" s="78">
        <v>63</v>
      </c>
      <c r="D289" s="79" t="s">
        <v>5</v>
      </c>
      <c r="E289" s="79" t="s">
        <v>1419</v>
      </c>
      <c r="F289" s="79" t="s">
        <v>1765</v>
      </c>
      <c r="G289" s="79" t="s">
        <v>27</v>
      </c>
      <c r="H289" s="81">
        <v>0.52083333333333337</v>
      </c>
      <c r="I289" s="79" t="s">
        <v>12</v>
      </c>
      <c r="J289" s="82">
        <v>46040</v>
      </c>
      <c r="K289" s="82">
        <v>46171</v>
      </c>
      <c r="L289" s="78">
        <f>IF(ISBLANK(DATA[[#This Row],[DISCHARGE DATE]]), "NO DATE", DATA[[#This Row],[DISCHARGE DATE]]-DATA[[#This Row],[ADMISSION DATE]]+1)</f>
        <v>132</v>
      </c>
      <c r="M289" s="83">
        <v>350</v>
      </c>
      <c r="N289" s="83">
        <v>2520</v>
      </c>
      <c r="O289" s="93">
        <v>293</v>
      </c>
      <c r="P289" s="93">
        <v>307</v>
      </c>
      <c r="Q289" s="84">
        <f>IF(DATA[[#This Row],[Column1]]="Normal", 13 * DATA[[#This Row],[STORAGE DAYS]], 20 * DATA[[#This Row],[STORAGE DAYS]])</f>
        <v>2640</v>
      </c>
      <c r="R289" s="84">
        <f>DATA[[#This Row],[COLDROOM FEE]]-DATA[[#This Row],[STORAGE FEE]]</f>
        <v>-120</v>
      </c>
      <c r="S289" s="149" t="str">
        <f>IF(ISBLANK(DATA[[#This Row],[COLDROOM RECEIPT]]), "IN CUSTODY", "DISCHARGED")</f>
        <v>DISCHARGED</v>
      </c>
      <c r="T289" s="36">
        <f t="shared" si="4"/>
        <v>349</v>
      </c>
      <c r="U289" s="112">
        <v>2026</v>
      </c>
      <c r="V289" s="112" t="s">
        <v>1874</v>
      </c>
      <c r="W289" s="112">
        <v>2026</v>
      </c>
      <c r="X289" s="112" t="s">
        <v>1913</v>
      </c>
    </row>
    <row r="290" spans="1:24" s="37" customFormat="1" ht="16.5" customHeight="1" x14ac:dyDescent="0.25">
      <c r="A290" s="77" t="s">
        <v>1420</v>
      </c>
      <c r="B290" s="78" t="s">
        <v>1456</v>
      </c>
      <c r="C290" s="78">
        <v>70</v>
      </c>
      <c r="D290" s="79" t="s">
        <v>4</v>
      </c>
      <c r="E290" s="79" t="s">
        <v>1436</v>
      </c>
      <c r="F290" s="79" t="s">
        <v>1766</v>
      </c>
      <c r="G290" s="79" t="s">
        <v>27</v>
      </c>
      <c r="H290" s="81">
        <v>0.56527777777777777</v>
      </c>
      <c r="I290" s="79" t="s">
        <v>10</v>
      </c>
      <c r="J290" s="82">
        <v>46041</v>
      </c>
      <c r="K290" s="82">
        <v>46171</v>
      </c>
      <c r="L290" s="78">
        <f>IF(ISBLANK(DATA[[#This Row],[DISCHARGE DATE]]), "NO DATE", DATA[[#This Row],[DISCHARGE DATE]]-DATA[[#This Row],[ADMISSION DATE]]+1)</f>
        <v>131</v>
      </c>
      <c r="M290" s="83">
        <v>350</v>
      </c>
      <c r="N290" s="83"/>
      <c r="O290" s="93">
        <v>294</v>
      </c>
      <c r="P290" s="93"/>
      <c r="Q290" s="84">
        <f>IF(DATA[[#This Row],[Column1]]="Normal", 13 * DATA[[#This Row],[STORAGE DAYS]], 20 * DATA[[#This Row],[STORAGE DAYS]])</f>
        <v>1703</v>
      </c>
      <c r="R290" s="84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 t="shared" si="4"/>
        <v>349</v>
      </c>
      <c r="U290" s="112">
        <v>2026</v>
      </c>
      <c r="V290" s="112" t="s">
        <v>1874</v>
      </c>
      <c r="W290" s="112">
        <v>2026</v>
      </c>
      <c r="X290" s="112" t="s">
        <v>1913</v>
      </c>
    </row>
    <row r="291" spans="1:24" s="37" customFormat="1" ht="16.5" hidden="1" customHeight="1" x14ac:dyDescent="0.25">
      <c r="A291" s="77" t="s">
        <v>1421</v>
      </c>
      <c r="B291" s="78" t="s">
        <v>1422</v>
      </c>
      <c r="C291" s="78">
        <v>75</v>
      </c>
      <c r="D291" s="79" t="s">
        <v>5</v>
      </c>
      <c r="E291" s="79" t="s">
        <v>1423</v>
      </c>
      <c r="F291" s="79" t="s">
        <v>1767</v>
      </c>
      <c r="G291" s="79" t="s">
        <v>20</v>
      </c>
      <c r="H291" s="81">
        <v>0.76666666666666672</v>
      </c>
      <c r="I291" s="79" t="s">
        <v>12</v>
      </c>
      <c r="J291" s="82">
        <v>46043</v>
      </c>
      <c r="K291" s="82">
        <v>46136</v>
      </c>
      <c r="L291" s="78">
        <f>IF(ISBLANK(DATA[[#This Row],[DISCHARGE DATE]]), "NO DATE", DATA[[#This Row],[DISCHARGE DATE]]-DATA[[#This Row],[ADMISSION DATE]]+1)</f>
        <v>94</v>
      </c>
      <c r="M291" s="83">
        <v>350</v>
      </c>
      <c r="N291" s="83">
        <v>400</v>
      </c>
      <c r="O291" s="93">
        <v>295</v>
      </c>
      <c r="P291" s="93"/>
      <c r="Q291" s="84">
        <f>IF(DATA[[#This Row],[Column1]]="Normal", 13 * DATA[[#This Row],[STORAGE DAYS]], 20 * DATA[[#This Row],[STORAGE DAYS]])</f>
        <v>1880</v>
      </c>
      <c r="R291" s="84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 t="shared" si="4"/>
        <v>349</v>
      </c>
      <c r="U291" s="112">
        <v>2026</v>
      </c>
      <c r="V291" s="112" t="s">
        <v>1874</v>
      </c>
      <c r="W291" s="112">
        <v>2026</v>
      </c>
      <c r="X291" s="112" t="s">
        <v>1873</v>
      </c>
    </row>
    <row r="292" spans="1:24" s="37" customFormat="1" ht="16.5" hidden="1" customHeight="1" x14ac:dyDescent="0.25">
      <c r="A292" s="77" t="s">
        <v>1424</v>
      </c>
      <c r="B292" s="78" t="s">
        <v>1425</v>
      </c>
      <c r="C292" s="78">
        <v>45</v>
      </c>
      <c r="D292" s="79" t="s">
        <v>5</v>
      </c>
      <c r="E292" s="79" t="s">
        <v>1426</v>
      </c>
      <c r="F292" s="79" t="s">
        <v>1768</v>
      </c>
      <c r="G292" s="79" t="s">
        <v>27</v>
      </c>
      <c r="H292" s="81">
        <v>0.77083333333333337</v>
      </c>
      <c r="I292" s="79" t="s">
        <v>12</v>
      </c>
      <c r="J292" s="82">
        <v>46047</v>
      </c>
      <c r="K292" s="82">
        <v>46108</v>
      </c>
      <c r="L292" s="78">
        <f>IF(ISBLANK(DATA[[#This Row],[DISCHARGE DATE]]), "NO DATE", DATA[[#This Row],[DISCHARGE DATE]]-DATA[[#This Row],[ADMISSION DATE]]+1)</f>
        <v>62</v>
      </c>
      <c r="M292" s="83">
        <v>350</v>
      </c>
      <c r="N292" s="83">
        <v>1240</v>
      </c>
      <c r="O292" s="93">
        <v>296</v>
      </c>
      <c r="P292" s="93">
        <v>263</v>
      </c>
      <c r="Q292" s="84">
        <f>IF(DATA[[#This Row],[Column1]]="Normal", 13 * DATA[[#This Row],[STORAGE DAYS]], 20 * DATA[[#This Row],[STORAGE DAYS]])</f>
        <v>1240</v>
      </c>
      <c r="R292" s="84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 t="shared" si="4"/>
        <v>349</v>
      </c>
      <c r="U292" s="112">
        <v>2026</v>
      </c>
      <c r="V292" s="112" t="s">
        <v>1874</v>
      </c>
      <c r="W292" s="112">
        <v>2026</v>
      </c>
      <c r="X292" s="112" t="s">
        <v>1912</v>
      </c>
    </row>
    <row r="293" spans="1:24" s="37" customFormat="1" ht="16.5" customHeight="1" x14ac:dyDescent="0.25">
      <c r="A293" s="77" t="s">
        <v>1427</v>
      </c>
      <c r="B293" s="78" t="s">
        <v>1428</v>
      </c>
      <c r="C293" s="78">
        <v>41</v>
      </c>
      <c r="D293" s="79" t="s">
        <v>5</v>
      </c>
      <c r="E293" s="79" t="s">
        <v>1429</v>
      </c>
      <c r="F293" s="79" t="s">
        <v>1769</v>
      </c>
      <c r="G293" s="79" t="s">
        <v>26</v>
      </c>
      <c r="H293" s="81">
        <v>0.79166666666666663</v>
      </c>
      <c r="I293" s="79" t="s">
        <v>10</v>
      </c>
      <c r="J293" s="82">
        <v>46046</v>
      </c>
      <c r="K293" s="82">
        <v>46171</v>
      </c>
      <c r="L293" s="78">
        <f>IF(ISBLANK(DATA[[#This Row],[DISCHARGE DATE]]), "NO DATE", DATA[[#This Row],[DISCHARGE DATE]]-DATA[[#This Row],[ADMISSION DATE]]+1)</f>
        <v>126</v>
      </c>
      <c r="M293" s="83">
        <v>350</v>
      </c>
      <c r="N293" s="83">
        <v>1638</v>
      </c>
      <c r="O293" s="93">
        <v>297</v>
      </c>
      <c r="P293" s="93">
        <v>308</v>
      </c>
      <c r="Q293" s="84">
        <f>IF(DATA[[#This Row],[Column1]]="Normal", 13 * DATA[[#This Row],[STORAGE DAYS]], 20 * DATA[[#This Row],[STORAGE DAYS]])</f>
        <v>1638</v>
      </c>
      <c r="R293" s="84">
        <f>DATA[[#This Row],[COLDROOM FEE]]-DATA[[#This Row],[STORAGE FEE]]</f>
        <v>0</v>
      </c>
      <c r="S293" s="149" t="str">
        <f>IF(ISBLANK(DATA[[#This Row],[COLDROOM RECEIPT]]), "IN CUSTODY", "DISCHARGED")</f>
        <v>DISCHARGED</v>
      </c>
      <c r="T293" s="36">
        <f t="shared" si="4"/>
        <v>349</v>
      </c>
      <c r="U293" s="112">
        <v>2026</v>
      </c>
      <c r="V293" s="112" t="s">
        <v>1874</v>
      </c>
      <c r="W293" s="112">
        <v>1900</v>
      </c>
      <c r="X293" s="112" t="s">
        <v>1874</v>
      </c>
    </row>
    <row r="294" spans="1:24" s="37" customFormat="1" ht="16.5" hidden="1" customHeight="1" x14ac:dyDescent="0.25">
      <c r="A294" s="77" t="s">
        <v>1430</v>
      </c>
      <c r="B294" s="78" t="s">
        <v>1431</v>
      </c>
      <c r="C294" s="78">
        <v>56</v>
      </c>
      <c r="D294" s="79" t="s">
        <v>4</v>
      </c>
      <c r="E294" s="79" t="s">
        <v>1432</v>
      </c>
      <c r="F294" s="79" t="s">
        <v>1770</v>
      </c>
      <c r="G294" s="79" t="s">
        <v>26</v>
      </c>
      <c r="H294" s="81">
        <v>0.3125</v>
      </c>
      <c r="I294" s="79" t="s">
        <v>12</v>
      </c>
      <c r="J294" s="82">
        <v>46049</v>
      </c>
      <c r="K294" s="82"/>
      <c r="L294" s="78" t="str">
        <f>IF(ISBLANK(DATA[[#This Row],[DISCHARGE DATE]]), "NO DATE", DATA[[#This Row],[DISCHARGE DATE]]-DATA[[#This Row],[ADMISSION DATE]]+1)</f>
        <v>NO DATE</v>
      </c>
      <c r="M294" s="83">
        <v>350</v>
      </c>
      <c r="N294" s="83"/>
      <c r="O294" s="93">
        <v>298</v>
      </c>
      <c r="P294" s="93"/>
      <c r="Q294" s="84" t="e">
        <f>IF(DATA[[#This Row],[Column1]]="Normal", 13 * DATA[[#This Row],[STORAGE DAYS]], 20 * DATA[[#This Row],[STORAGE DAYS]])</f>
        <v>#VALUE!</v>
      </c>
      <c r="R294" s="84" t="e">
        <f>DATA[[#This Row],[COLDROOM FEE]]-DATA[[#This Row],[STORAGE FEE]]</f>
        <v>#VALUE!</v>
      </c>
      <c r="S294" s="149" t="str">
        <f>IF(ISBLANK(DATA[[#This Row],[COLDROOM RECEIPT]]), "IN CUSTODY", "DISCHARGED")</f>
        <v>IN CUSTODY</v>
      </c>
      <c r="T294" s="36">
        <f t="shared" si="4"/>
        <v>349</v>
      </c>
      <c r="U294" s="112">
        <v>2026</v>
      </c>
      <c r="V294" s="112" t="s">
        <v>1874</v>
      </c>
      <c r="W294" s="112">
        <v>2026</v>
      </c>
      <c r="X294" s="112" t="s">
        <v>1913</v>
      </c>
    </row>
    <row r="295" spans="1:24" s="37" customFormat="1" ht="16.5" customHeight="1" x14ac:dyDescent="0.25">
      <c r="A295" s="77" t="s">
        <v>1433</v>
      </c>
      <c r="B295" s="78" t="s">
        <v>1434</v>
      </c>
      <c r="C295" s="78">
        <v>69</v>
      </c>
      <c r="D295" s="79" t="s">
        <v>5</v>
      </c>
      <c r="E295" s="79" t="s">
        <v>1435</v>
      </c>
      <c r="F295" s="79" t="s">
        <v>1657</v>
      </c>
      <c r="G295" s="79" t="s">
        <v>25</v>
      </c>
      <c r="H295" s="81">
        <v>0.90625</v>
      </c>
      <c r="I295" s="79" t="s">
        <v>10</v>
      </c>
      <c r="J295" s="82">
        <v>46048</v>
      </c>
      <c r="K295" s="82">
        <v>46171</v>
      </c>
      <c r="L295" s="78">
        <f>IF(ISBLANK(DATA[[#This Row],[DISCHARGE DATE]]), "NO DATE", DATA[[#This Row],[DISCHARGE DATE]]-DATA[[#This Row],[ADMISSION DATE]]+1)</f>
        <v>124</v>
      </c>
      <c r="M295" s="83">
        <v>350</v>
      </c>
      <c r="N295" s="83">
        <v>1612</v>
      </c>
      <c r="O295" s="93">
        <v>299</v>
      </c>
      <c r="P295" s="93">
        <v>310</v>
      </c>
      <c r="Q295" s="84">
        <f>IF(DATA[[#This Row],[Column1]]="Normal", 13 * DATA[[#This Row],[STORAGE DAYS]], 20 * DATA[[#This Row],[STORAGE DAYS]])</f>
        <v>1612</v>
      </c>
      <c r="R295" s="84">
        <f>DATA[[#This Row],[COLDROOM FEE]]-DATA[[#This Row],[STORAGE FEE]]</f>
        <v>0</v>
      </c>
      <c r="S295" s="149" t="str">
        <f>IF(ISBLANK(DATA[[#This Row],[COLDROOM RECEIPT]]), "IN CUSTODY", "DISCHARGED")</f>
        <v>DISCHARGED</v>
      </c>
      <c r="T295" s="36">
        <f t="shared" si="4"/>
        <v>349</v>
      </c>
      <c r="U295" s="112">
        <v>2026</v>
      </c>
      <c r="V295" s="112" t="s">
        <v>1874</v>
      </c>
      <c r="W295" s="112">
        <v>1900</v>
      </c>
      <c r="X295" s="112" t="s">
        <v>1874</v>
      </c>
    </row>
    <row r="296" spans="1:24" s="37" customFormat="1" ht="16.5" hidden="1" customHeight="1" x14ac:dyDescent="0.25">
      <c r="A296" s="77" t="s">
        <v>1440</v>
      </c>
      <c r="B296" s="78" t="s">
        <v>1441</v>
      </c>
      <c r="C296" s="78">
        <v>98</v>
      </c>
      <c r="D296" s="79" t="s">
        <v>4</v>
      </c>
      <c r="E296" s="79" t="s">
        <v>1442</v>
      </c>
      <c r="F296" s="79" t="s">
        <v>1771</v>
      </c>
      <c r="G296" s="79" t="s">
        <v>19</v>
      </c>
      <c r="H296" s="81">
        <v>0.39166666666666666</v>
      </c>
      <c r="I296" s="79" t="s">
        <v>10</v>
      </c>
      <c r="J296" s="82">
        <v>46051</v>
      </c>
      <c r="K296" s="82">
        <v>46108</v>
      </c>
      <c r="L296" s="78">
        <f>IF(ISBLANK(DATA[[#This Row],[DISCHARGE DATE]]), "NO DATE", DATA[[#This Row],[DISCHARGE DATE]]-DATA[[#This Row],[ADMISSION DATE]]+1)</f>
        <v>58</v>
      </c>
      <c r="M296" s="83">
        <v>350</v>
      </c>
      <c r="N296" s="83">
        <v>754</v>
      </c>
      <c r="O296" s="93">
        <v>300</v>
      </c>
      <c r="P296" s="93">
        <v>255</v>
      </c>
      <c r="Q296" s="84">
        <f>IF(DATA[[#This Row],[Column1]]="Normal", 13 * DATA[[#This Row],[STORAGE DAYS]], 20 * DATA[[#This Row],[STORAGE DAYS]])</f>
        <v>754</v>
      </c>
      <c r="R296" s="84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 t="shared" si="4"/>
        <v>349</v>
      </c>
      <c r="U296" s="112">
        <v>2026</v>
      </c>
      <c r="V296" s="112" t="s">
        <v>1874</v>
      </c>
      <c r="W296" s="112">
        <v>2026</v>
      </c>
      <c r="X296" s="112" t="s">
        <v>1912</v>
      </c>
    </row>
    <row r="297" spans="1:24" s="37" customFormat="1" ht="16.5" hidden="1" customHeight="1" x14ac:dyDescent="0.25">
      <c r="A297" s="77" t="s">
        <v>1446</v>
      </c>
      <c r="B297" s="78" t="s">
        <v>1447</v>
      </c>
      <c r="C297" s="78">
        <v>100</v>
      </c>
      <c r="D297" s="79" t="s">
        <v>4</v>
      </c>
      <c r="E297" s="79" t="s">
        <v>1448</v>
      </c>
      <c r="F297" s="79" t="s">
        <v>1772</v>
      </c>
      <c r="G297" s="79" t="s">
        <v>20</v>
      </c>
      <c r="H297" s="81">
        <v>0.18055555555555555</v>
      </c>
      <c r="I297" s="79" t="s">
        <v>10</v>
      </c>
      <c r="J297" s="82">
        <v>46055</v>
      </c>
      <c r="K297" s="82">
        <v>46164</v>
      </c>
      <c r="L297" s="78">
        <f>IF(ISBLANK(DATA[[#This Row],[DISCHARGE DATE]]), "NO DATE", DATA[[#This Row],[DISCHARGE DATE]]-DATA[[#This Row],[ADMISSION DATE]]+1)</f>
        <v>110</v>
      </c>
      <c r="M297" s="83">
        <v>350</v>
      </c>
      <c r="N297" s="83"/>
      <c r="O297" s="93">
        <v>301</v>
      </c>
      <c r="P297" s="93"/>
      <c r="Q297" s="84">
        <f>IF(DATA[[#This Row],[Column1]]="Normal", 13 * DATA[[#This Row],[STORAGE DAYS]], 20 * DATA[[#This Row],[STORAGE DAYS]])</f>
        <v>1430</v>
      </c>
      <c r="R297" s="84">
        <f>DATA[[#This Row],[COLDROOM FEE]]-DATA[[#This Row],[STORAGE FEE]]</f>
        <v>-1430</v>
      </c>
      <c r="S297" s="149" t="str">
        <f>IF(ISBLANK(DATA[[#This Row],[COLDROOM RECEIPT]]), "IN CUSTODY", "DISCHARGED")</f>
        <v>IN CUSTODY</v>
      </c>
      <c r="T297" s="36">
        <f t="shared" si="4"/>
        <v>349</v>
      </c>
      <c r="U297" s="112">
        <v>2026</v>
      </c>
      <c r="V297" s="112" t="s">
        <v>1915</v>
      </c>
      <c r="W297" s="112">
        <v>2026</v>
      </c>
      <c r="X297" s="112" t="s">
        <v>1913</v>
      </c>
    </row>
    <row r="298" spans="1:24" s="37" customFormat="1" ht="16.5" hidden="1" customHeight="1" x14ac:dyDescent="0.25">
      <c r="A298" s="77" t="s">
        <v>1449</v>
      </c>
      <c r="B298" s="78" t="s">
        <v>1450</v>
      </c>
      <c r="C298" s="78">
        <v>70</v>
      </c>
      <c r="D298" s="79" t="s">
        <v>5</v>
      </c>
      <c r="E298" s="79" t="s">
        <v>1451</v>
      </c>
      <c r="F298" s="79" t="s">
        <v>1773</v>
      </c>
      <c r="G298" s="79" t="s">
        <v>18</v>
      </c>
      <c r="H298" s="81">
        <v>0.625</v>
      </c>
      <c r="I298" s="79" t="s">
        <v>10</v>
      </c>
      <c r="J298" s="82">
        <v>46055</v>
      </c>
      <c r="K298" s="82">
        <v>46173</v>
      </c>
      <c r="L298" s="78">
        <f>IF(ISBLANK(DATA[[#This Row],[DISCHARGE DATE]]), "NO DATE", DATA[[#This Row],[DISCHARGE DATE]]-DATA[[#This Row],[ADMISSION DATE]]+1)</f>
        <v>119</v>
      </c>
      <c r="M298" s="83">
        <v>350</v>
      </c>
      <c r="N298" s="83"/>
      <c r="O298" s="93">
        <v>302</v>
      </c>
      <c r="P298" s="93"/>
      <c r="Q298" s="84">
        <f>IF(DATA[[#This Row],[Column1]]="Normal", 13 * DATA[[#This Row],[STORAGE DAYS]], 20 * DATA[[#This Row],[STORAGE DAYS]])</f>
        <v>1547</v>
      </c>
      <c r="R298" s="84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 t="shared" si="4"/>
        <v>349</v>
      </c>
      <c r="U298" s="112">
        <v>2026</v>
      </c>
      <c r="V298" s="112" t="s">
        <v>1915</v>
      </c>
      <c r="W298" s="112">
        <v>2026</v>
      </c>
      <c r="X298" s="112" t="s">
        <v>1913</v>
      </c>
    </row>
    <row r="299" spans="1:24" s="37" customFormat="1" ht="16.5" customHeight="1" x14ac:dyDescent="0.25">
      <c r="A299" s="77" t="s">
        <v>1453</v>
      </c>
      <c r="B299" s="78" t="s">
        <v>1454</v>
      </c>
      <c r="C299" s="78">
        <v>73</v>
      </c>
      <c r="D299" s="79" t="s">
        <v>5</v>
      </c>
      <c r="E299" s="79" t="s">
        <v>1451</v>
      </c>
      <c r="F299" s="79" t="s">
        <v>1455</v>
      </c>
      <c r="G299" s="79" t="s">
        <v>26</v>
      </c>
      <c r="H299" s="81">
        <v>0.35555555555555557</v>
      </c>
      <c r="I299" s="79" t="s">
        <v>12</v>
      </c>
      <c r="J299" s="82">
        <v>46068</v>
      </c>
      <c r="K299" s="82">
        <v>46171</v>
      </c>
      <c r="L299" s="78">
        <f>IF(ISBLANK(DATA[[#This Row],[DISCHARGE DATE]]), "NO DATE", DATA[[#This Row],[DISCHARGE DATE]]-DATA[[#This Row],[ADMISSION DATE]]+1)</f>
        <v>104</v>
      </c>
      <c r="M299" s="83">
        <v>350</v>
      </c>
      <c r="N299" s="83">
        <v>2080</v>
      </c>
      <c r="O299" s="93">
        <v>303</v>
      </c>
      <c r="P299" s="93">
        <v>303</v>
      </c>
      <c r="Q299" s="84">
        <f>IF(DATA[[#This Row],[Column1]]="Normal", 13 * DATA[[#This Row],[STORAGE DAYS]], 20 * DATA[[#This Row],[STORAGE DAYS]])</f>
        <v>2080</v>
      </c>
      <c r="R299" s="84">
        <f>DATA[[#This Row],[COLDROOM FEE]]-DATA[[#This Row],[STORAGE FEE]]</f>
        <v>0</v>
      </c>
      <c r="S299" s="149" t="str">
        <f>IF(ISBLANK(DATA[[#This Row],[COLDROOM RECEIPT]]), "IN CUSTODY", "DISCHARGED")</f>
        <v>DISCHARGED</v>
      </c>
      <c r="T299" s="36">
        <f t="shared" si="4"/>
        <v>349</v>
      </c>
      <c r="U299" s="112">
        <v>2026</v>
      </c>
      <c r="V299" s="112" t="s">
        <v>1915</v>
      </c>
      <c r="W299" s="112">
        <v>2026</v>
      </c>
      <c r="X299" s="112" t="s">
        <v>1913</v>
      </c>
    </row>
    <row r="300" spans="1:24" s="37" customFormat="1" ht="16.5" hidden="1" customHeight="1" x14ac:dyDescent="0.25">
      <c r="A300" s="77" t="s">
        <v>1462</v>
      </c>
      <c r="B300" s="78" t="s">
        <v>1516</v>
      </c>
      <c r="C300" s="78">
        <v>62</v>
      </c>
      <c r="D300" s="79" t="s">
        <v>5</v>
      </c>
      <c r="E300" s="79" t="s">
        <v>1463</v>
      </c>
      <c r="F300" s="79" t="s">
        <v>1774</v>
      </c>
      <c r="G300" s="79" t="s">
        <v>27</v>
      </c>
      <c r="H300" s="81">
        <v>0.3923611111111111</v>
      </c>
      <c r="I300" s="79" t="s">
        <v>10</v>
      </c>
      <c r="J300" s="82">
        <v>46076</v>
      </c>
      <c r="K300" s="82">
        <v>46143</v>
      </c>
      <c r="L300" s="78">
        <f>IF(ISBLANK(DATA[[#This Row],[DISCHARGE DATE]]), "NO DATE", DATA[[#This Row],[DISCHARGE DATE]]-DATA[[#This Row],[ADMISSION DATE]]+1)</f>
        <v>68</v>
      </c>
      <c r="M300" s="83">
        <v>350</v>
      </c>
      <c r="N300" s="83">
        <v>884</v>
      </c>
      <c r="O300" s="93">
        <v>304</v>
      </c>
      <c r="P300" s="93">
        <v>295</v>
      </c>
      <c r="Q300" s="84">
        <f>IF(DATA[[#This Row],[Column1]]="Normal", 13 * DATA[[#This Row],[STORAGE DAYS]], 20 * DATA[[#This Row],[STORAGE DAYS]])</f>
        <v>884</v>
      </c>
      <c r="R300" s="84">
        <f>DATA[[#This Row],[COLDROOM FEE]]-DATA[[#This Row],[STORAGE FEE]]</f>
        <v>0</v>
      </c>
      <c r="S300" s="149" t="str">
        <f>IF(ISBLANK(DATA[[#This Row],[COLDROOM RECEIPT]]), "IN CUSTODY", "DISCHARGED")</f>
        <v>DISCHARGED</v>
      </c>
      <c r="T300" s="36">
        <f t="shared" si="4"/>
        <v>349</v>
      </c>
      <c r="U300" s="112">
        <v>2026</v>
      </c>
      <c r="V300" s="112" t="s">
        <v>1915</v>
      </c>
      <c r="W300" s="112">
        <v>2026</v>
      </c>
      <c r="X300" s="112" t="s">
        <v>1913</v>
      </c>
    </row>
    <row r="301" spans="1:24" s="37" customFormat="1" ht="16.5" hidden="1" customHeight="1" x14ac:dyDescent="0.25">
      <c r="A301" s="77" t="s">
        <v>1464</v>
      </c>
      <c r="B301" s="78" t="s">
        <v>1465</v>
      </c>
      <c r="C301" s="78">
        <v>104</v>
      </c>
      <c r="D301" s="79" t="s">
        <v>4</v>
      </c>
      <c r="E301" s="79" t="s">
        <v>1466</v>
      </c>
      <c r="F301" s="79" t="s">
        <v>1702</v>
      </c>
      <c r="G301" s="79" t="s">
        <v>27</v>
      </c>
      <c r="H301" s="81">
        <v>0.37708333333333333</v>
      </c>
      <c r="I301" s="79" t="s">
        <v>12</v>
      </c>
      <c r="J301" s="82">
        <v>46074</v>
      </c>
      <c r="K301" s="82"/>
      <c r="L301" s="78" t="str">
        <f>IF(ISBLANK(DATA[[#This Row],[DISCHARGE DATE]]), "NO DATE", DATA[[#This Row],[DISCHARGE DATE]]-DATA[[#This Row],[ADMISSION DATE]]+1)</f>
        <v>NO DATE</v>
      </c>
      <c r="M301" s="83">
        <v>350</v>
      </c>
      <c r="N301" s="83"/>
      <c r="O301" s="93">
        <v>305</v>
      </c>
      <c r="P301" s="93"/>
      <c r="Q301" s="84" t="e">
        <f>IF(DATA[[#This Row],[Column1]]="Normal", 13 * DATA[[#This Row],[STORAGE DAYS]], 20 * DATA[[#This Row],[STORAGE DAYS]])</f>
        <v>#VALUE!</v>
      </c>
      <c r="R301" s="84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 t="shared" si="4"/>
        <v>349</v>
      </c>
      <c r="U301" s="112">
        <v>2026</v>
      </c>
      <c r="V301" s="112" t="s">
        <v>1915</v>
      </c>
      <c r="W301" s="112">
        <v>1900</v>
      </c>
      <c r="X301" s="112" t="s">
        <v>1874</v>
      </c>
    </row>
    <row r="302" spans="1:24" s="37" customFormat="1" ht="16.5" hidden="1" customHeight="1" x14ac:dyDescent="0.25">
      <c r="A302" s="77" t="s">
        <v>1470</v>
      </c>
      <c r="B302" s="78" t="s">
        <v>1471</v>
      </c>
      <c r="C302" s="78">
        <v>65</v>
      </c>
      <c r="D302" s="79" t="s">
        <v>4</v>
      </c>
      <c r="E302" s="79" t="s">
        <v>1472</v>
      </c>
      <c r="F302" s="79" t="s">
        <v>1775</v>
      </c>
      <c r="G302" s="79" t="s">
        <v>26</v>
      </c>
      <c r="H302" s="81">
        <v>0.39583333333333331</v>
      </c>
      <c r="I302" s="79" t="s">
        <v>10</v>
      </c>
      <c r="J302" s="82">
        <v>46074</v>
      </c>
      <c r="K302" s="82"/>
      <c r="L302" s="78" t="str">
        <f>IF(ISBLANK(DATA[[#This Row],[DISCHARGE DATE]]), "NO DATE", DATA[[#This Row],[DISCHARGE DATE]]-DATA[[#This Row],[ADMISSION DATE]]+1)</f>
        <v>NO DATE</v>
      </c>
      <c r="M302" s="83">
        <v>350</v>
      </c>
      <c r="N302" s="83"/>
      <c r="O302" s="93">
        <v>306</v>
      </c>
      <c r="P302" s="93"/>
      <c r="Q302" s="84" t="e">
        <f>IF(DATA[[#This Row],[Column1]]="Normal", 13 * DATA[[#This Row],[STORAGE DAYS]], 20 * DATA[[#This Row],[STORAGE DAYS]])</f>
        <v>#VALUE!</v>
      </c>
      <c r="R302" s="84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 t="shared" si="4"/>
        <v>349</v>
      </c>
      <c r="U302" s="112">
        <v>2026</v>
      </c>
      <c r="V302" s="112" t="s">
        <v>1915</v>
      </c>
      <c r="W302" s="112">
        <v>1900</v>
      </c>
      <c r="X302" s="112" t="s">
        <v>1874</v>
      </c>
    </row>
    <row r="303" spans="1:24" s="37" customFormat="1" ht="16.5" hidden="1" customHeight="1" x14ac:dyDescent="0.25">
      <c r="A303" s="77" t="s">
        <v>1467</v>
      </c>
      <c r="B303" s="78" t="s">
        <v>1468</v>
      </c>
      <c r="C303" s="78">
        <v>64</v>
      </c>
      <c r="D303" s="79" t="s">
        <v>4</v>
      </c>
      <c r="E303" s="79" t="s">
        <v>1469</v>
      </c>
      <c r="F303" s="79" t="s">
        <v>1776</v>
      </c>
      <c r="G303" s="79" t="s">
        <v>27</v>
      </c>
      <c r="H303" s="81">
        <v>0.38611111111111113</v>
      </c>
      <c r="I303" s="79" t="s">
        <v>12</v>
      </c>
      <c r="J303" s="82">
        <v>46074</v>
      </c>
      <c r="K303" s="82">
        <v>46108</v>
      </c>
      <c r="L303" s="78">
        <f>IF(ISBLANK(DATA[[#This Row],[DISCHARGE DATE]]), "NO DATE", DATA[[#This Row],[DISCHARGE DATE]]-DATA[[#This Row],[ADMISSION DATE]]+1)</f>
        <v>35</v>
      </c>
      <c r="M303" s="83">
        <v>350</v>
      </c>
      <c r="N303" s="83">
        <v>700</v>
      </c>
      <c r="O303" s="93">
        <v>307</v>
      </c>
      <c r="P303" s="93">
        <v>260</v>
      </c>
      <c r="Q303" s="84">
        <f>IF(DATA[[#This Row],[Column1]]="Normal", 13 * DATA[[#This Row],[STORAGE DAYS]], 20 * DATA[[#This Row],[STORAGE DAYS]])</f>
        <v>700</v>
      </c>
      <c r="R303" s="84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 t="shared" si="4"/>
        <v>349</v>
      </c>
      <c r="U303" s="112">
        <v>2026</v>
      </c>
      <c r="V303" s="112" t="s">
        <v>1915</v>
      </c>
      <c r="W303" s="112">
        <v>2026</v>
      </c>
      <c r="X303" s="112" t="s">
        <v>1912</v>
      </c>
    </row>
    <row r="304" spans="1:24" s="37" customFormat="1" ht="16.5" hidden="1" customHeight="1" x14ac:dyDescent="0.25">
      <c r="A304" s="77" t="s">
        <v>1473</v>
      </c>
      <c r="B304" s="78" t="s">
        <v>1474</v>
      </c>
      <c r="C304" s="78">
        <v>69</v>
      </c>
      <c r="D304" s="79" t="s">
        <v>4</v>
      </c>
      <c r="E304" s="79" t="s">
        <v>110</v>
      </c>
      <c r="F304" s="79" t="s">
        <v>1777</v>
      </c>
      <c r="G304" s="79" t="s">
        <v>27</v>
      </c>
      <c r="H304" s="81">
        <v>0.62569444444444444</v>
      </c>
      <c r="I304" s="79" t="s">
        <v>12</v>
      </c>
      <c r="J304" s="82">
        <v>46076</v>
      </c>
      <c r="K304" s="82">
        <v>46199</v>
      </c>
      <c r="L304" s="78">
        <f>IF(ISBLANK(DATA[[#This Row],[DISCHARGE DATE]]), "NO DATE", DATA[[#This Row],[DISCHARGE DATE]]-DATA[[#This Row],[ADMISSION DATE]]+1)</f>
        <v>124</v>
      </c>
      <c r="M304" s="83">
        <v>350</v>
      </c>
      <c r="N304" s="83"/>
      <c r="O304" s="93">
        <v>308</v>
      </c>
      <c r="P304" s="93"/>
      <c r="Q304" s="84">
        <f>IF(DATA[[#This Row],[Column1]]="Normal", 13 * DATA[[#This Row],[STORAGE DAYS]], 20 * DATA[[#This Row],[STORAGE DAYS]])</f>
        <v>2480</v>
      </c>
      <c r="R304" s="84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 t="shared" si="4"/>
        <v>349</v>
      </c>
      <c r="U304" s="112">
        <v>2026</v>
      </c>
      <c r="V304" s="112" t="s">
        <v>1915</v>
      </c>
      <c r="W304" s="112">
        <v>1900</v>
      </c>
      <c r="X304" s="112" t="s">
        <v>1874</v>
      </c>
    </row>
    <row r="305" spans="1:24" s="37" customFormat="1" ht="16.5" hidden="1" customHeight="1" x14ac:dyDescent="0.25">
      <c r="A305" s="77" t="s">
        <v>1475</v>
      </c>
      <c r="B305" s="78" t="s">
        <v>1476</v>
      </c>
      <c r="C305" s="78">
        <v>65</v>
      </c>
      <c r="D305" s="79" t="s">
        <v>4</v>
      </c>
      <c r="E305" s="79" t="s">
        <v>1477</v>
      </c>
      <c r="F305" s="79" t="s">
        <v>1778</v>
      </c>
      <c r="G305" s="79" t="s">
        <v>25</v>
      </c>
      <c r="H305" s="81">
        <v>0.79166666666666663</v>
      </c>
      <c r="I305" s="79" t="s">
        <v>10</v>
      </c>
      <c r="J305" s="82">
        <v>46076</v>
      </c>
      <c r="K305" s="82"/>
      <c r="L305" s="78" t="str">
        <f>IF(ISBLANK(DATA[[#This Row],[DISCHARGE DATE]]), "NO DATE", DATA[[#This Row],[DISCHARGE DATE]]-DATA[[#This Row],[ADMISSION DATE]]+1)</f>
        <v>NO DATE</v>
      </c>
      <c r="M305" s="83">
        <v>350</v>
      </c>
      <c r="N305" s="83"/>
      <c r="O305" s="93">
        <v>309</v>
      </c>
      <c r="P305" s="93"/>
      <c r="Q305" s="84" t="e">
        <f>IF(DATA[[#This Row],[Column1]]="Normal", 13 * DATA[[#This Row],[STORAGE DAYS]], 20 * DATA[[#This Row],[STORAGE DAYS]])</f>
        <v>#VALUE!</v>
      </c>
      <c r="R305" s="84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 t="shared" si="4"/>
        <v>349</v>
      </c>
      <c r="U305" s="112">
        <v>2026</v>
      </c>
      <c r="V305" s="112" t="s">
        <v>1915</v>
      </c>
      <c r="W305" s="112">
        <v>1900</v>
      </c>
      <c r="X305" s="112" t="s">
        <v>1874</v>
      </c>
    </row>
    <row r="306" spans="1:24" s="37" customFormat="1" ht="16.5" hidden="1" customHeight="1" x14ac:dyDescent="0.25">
      <c r="A306" s="77" t="s">
        <v>1478</v>
      </c>
      <c r="B306" s="78" t="s">
        <v>1479</v>
      </c>
      <c r="C306" s="78">
        <v>62</v>
      </c>
      <c r="D306" s="79" t="s">
        <v>5</v>
      </c>
      <c r="E306" s="79" t="s">
        <v>1480</v>
      </c>
      <c r="F306" s="79" t="s">
        <v>1779</v>
      </c>
      <c r="G306" s="79" t="s">
        <v>27</v>
      </c>
      <c r="H306" s="81">
        <v>0.50694444444444442</v>
      </c>
      <c r="I306" s="79" t="s">
        <v>12</v>
      </c>
      <c r="J306" s="82">
        <v>46077</v>
      </c>
      <c r="K306" s="82"/>
      <c r="L306" s="78" t="str">
        <f>IF(ISBLANK(DATA[[#This Row],[DISCHARGE DATE]]), "NO DATE", DATA[[#This Row],[DISCHARGE DATE]]-DATA[[#This Row],[ADMISSION DATE]]+1)</f>
        <v>NO DATE</v>
      </c>
      <c r="M306" s="83">
        <v>350</v>
      </c>
      <c r="N306" s="83"/>
      <c r="O306" s="93">
        <v>310</v>
      </c>
      <c r="P306" s="93"/>
      <c r="Q306" s="84" t="e">
        <f>IF(DATA[[#This Row],[Column1]]="Normal", 13 * DATA[[#This Row],[STORAGE DAYS]], 20 * DATA[[#This Row],[STORAGE DAYS]])</f>
        <v>#VALUE!</v>
      </c>
      <c r="R306" s="84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 t="shared" si="4"/>
        <v>349</v>
      </c>
      <c r="U306" s="112">
        <v>2026</v>
      </c>
      <c r="V306" s="112" t="s">
        <v>1915</v>
      </c>
      <c r="W306" s="112">
        <v>1900</v>
      </c>
      <c r="X306" s="112" t="s">
        <v>1874</v>
      </c>
    </row>
    <row r="307" spans="1:24" s="37" customFormat="1" ht="16.5" hidden="1" customHeight="1" x14ac:dyDescent="0.25">
      <c r="A307" s="77" t="s">
        <v>1481</v>
      </c>
      <c r="B307" s="78" t="s">
        <v>1482</v>
      </c>
      <c r="C307" s="78">
        <v>70</v>
      </c>
      <c r="D307" s="79" t="s">
        <v>4</v>
      </c>
      <c r="E307" s="79" t="s">
        <v>1195</v>
      </c>
      <c r="F307" s="79" t="s">
        <v>1196</v>
      </c>
      <c r="G307" s="79" t="s">
        <v>1483</v>
      </c>
      <c r="H307" s="81">
        <v>0.77083333333333337</v>
      </c>
      <c r="I307" s="79" t="s">
        <v>12</v>
      </c>
      <c r="J307" s="82">
        <v>46077</v>
      </c>
      <c r="K307" s="82">
        <v>46234</v>
      </c>
      <c r="L307" s="78">
        <f>IF(ISBLANK(DATA[[#This Row],[DISCHARGE DATE]]), "NO DATE", DATA[[#This Row],[DISCHARGE DATE]]-DATA[[#This Row],[ADMISSION DATE]]+1)</f>
        <v>158</v>
      </c>
      <c r="M307" s="83">
        <v>350</v>
      </c>
      <c r="N307" s="83"/>
      <c r="O307" s="93">
        <v>311</v>
      </c>
      <c r="P307" s="93"/>
      <c r="Q307" s="84">
        <f>IF(DATA[[#This Row],[Column1]]="Normal", 13 * DATA[[#This Row],[STORAGE DAYS]], 20 * DATA[[#This Row],[STORAGE DAYS]])</f>
        <v>3160</v>
      </c>
      <c r="R307" s="84">
        <f>DATA[[#This Row],[COLDROOM FEE]]-DATA[[#This Row],[STORAGE FEE]]</f>
        <v>-3160</v>
      </c>
      <c r="S307" s="149" t="str">
        <f>IF(ISBLANK(DATA[[#This Row],[COLDROOM RECEIPT]]), "IN CUSTODY", "DISCHARGED")</f>
        <v>IN CUSTODY</v>
      </c>
      <c r="T307" s="36">
        <f t="shared" si="4"/>
        <v>349</v>
      </c>
      <c r="U307" s="112">
        <v>2026</v>
      </c>
      <c r="V307" s="112" t="s">
        <v>1915</v>
      </c>
      <c r="W307" s="112">
        <v>1900</v>
      </c>
      <c r="X307" s="112" t="s">
        <v>1874</v>
      </c>
    </row>
    <row r="308" spans="1:24" s="37" customFormat="1" ht="16.5" hidden="1" customHeight="1" x14ac:dyDescent="0.25">
      <c r="A308" s="77" t="s">
        <v>1484</v>
      </c>
      <c r="B308" s="78" t="s">
        <v>1485</v>
      </c>
      <c r="C308" s="78">
        <v>81</v>
      </c>
      <c r="D308" s="79" t="s">
        <v>4</v>
      </c>
      <c r="E308" s="79" t="s">
        <v>1486</v>
      </c>
      <c r="F308" s="79" t="s">
        <v>1780</v>
      </c>
      <c r="G308" s="79" t="s">
        <v>18</v>
      </c>
      <c r="H308" s="81">
        <v>0.20833333333333334</v>
      </c>
      <c r="I308" s="79" t="s">
        <v>12</v>
      </c>
      <c r="J308" s="82">
        <v>46078</v>
      </c>
      <c r="K308" s="82"/>
      <c r="L308" s="78" t="str">
        <f>IF(ISBLANK(DATA[[#This Row],[DISCHARGE DATE]]), "NO DATE", DATA[[#This Row],[DISCHARGE DATE]]-DATA[[#This Row],[ADMISSION DATE]]+1)</f>
        <v>NO DATE</v>
      </c>
      <c r="M308" s="83">
        <v>350</v>
      </c>
      <c r="N308" s="83"/>
      <c r="O308" s="93">
        <v>312</v>
      </c>
      <c r="P308" s="93"/>
      <c r="Q308" s="84" t="e">
        <f>IF(DATA[[#This Row],[Column1]]="Normal", 13 * DATA[[#This Row],[STORAGE DAYS]], 20 * DATA[[#This Row],[STORAGE DAYS]])</f>
        <v>#VALUE!</v>
      </c>
      <c r="R308" s="84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 t="shared" si="4"/>
        <v>349</v>
      </c>
      <c r="U308" s="112">
        <v>2026</v>
      </c>
      <c r="V308" s="112" t="s">
        <v>1915</v>
      </c>
      <c r="W308" s="112">
        <v>1900</v>
      </c>
      <c r="X308" s="112" t="s">
        <v>1874</v>
      </c>
    </row>
    <row r="309" spans="1:24" s="37" customFormat="1" ht="16.5" hidden="1" customHeight="1" x14ac:dyDescent="0.25">
      <c r="A309" s="77" t="s">
        <v>1487</v>
      </c>
      <c r="B309" s="78" t="s">
        <v>1488</v>
      </c>
      <c r="C309" s="78">
        <v>74</v>
      </c>
      <c r="D309" s="79" t="s">
        <v>4</v>
      </c>
      <c r="E309" s="79" t="s">
        <v>1489</v>
      </c>
      <c r="F309" s="79" t="s">
        <v>1781</v>
      </c>
      <c r="G309" s="79" t="s">
        <v>25</v>
      </c>
      <c r="H309" s="81">
        <v>0.8125</v>
      </c>
      <c r="I309" s="79" t="s">
        <v>12</v>
      </c>
      <c r="J309" s="82">
        <v>46077</v>
      </c>
      <c r="K309" s="82">
        <v>46199</v>
      </c>
      <c r="L309" s="78">
        <f>IF(ISBLANK(DATA[[#This Row],[DISCHARGE DATE]]), "NO DATE", DATA[[#This Row],[DISCHARGE DATE]]-DATA[[#This Row],[ADMISSION DATE]]+1)</f>
        <v>123</v>
      </c>
      <c r="M309" s="83">
        <v>350</v>
      </c>
      <c r="N309" s="83">
        <v>1500</v>
      </c>
      <c r="O309" s="93">
        <v>313</v>
      </c>
      <c r="P309" s="93"/>
      <c r="Q309" s="84">
        <f>IF(DATA[[#This Row],[Column1]]="Normal", 13 * DATA[[#This Row],[STORAGE DAYS]], 20 * DATA[[#This Row],[STORAGE DAYS]])</f>
        <v>2460</v>
      </c>
      <c r="R309" s="84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 t="shared" si="4"/>
        <v>349</v>
      </c>
      <c r="U309" s="112">
        <v>2026</v>
      </c>
      <c r="V309" s="112" t="s">
        <v>1915</v>
      </c>
      <c r="W309" s="112">
        <v>2026</v>
      </c>
      <c r="X309" s="112" t="s">
        <v>1917</v>
      </c>
    </row>
    <row r="310" spans="1:24" s="37" customFormat="1" ht="16.5" customHeight="1" x14ac:dyDescent="0.25">
      <c r="A310" s="77" t="s">
        <v>1490</v>
      </c>
      <c r="B310" s="78" t="s">
        <v>1491</v>
      </c>
      <c r="C310" s="78">
        <v>70</v>
      </c>
      <c r="D310" s="79" t="s">
        <v>5</v>
      </c>
      <c r="E310" s="79" t="s">
        <v>101</v>
      </c>
      <c r="F310" s="79" t="s">
        <v>1782</v>
      </c>
      <c r="G310" s="79" t="s">
        <v>27</v>
      </c>
      <c r="H310" s="81">
        <v>4.1666666666666664E-2</v>
      </c>
      <c r="I310" s="79" t="s">
        <v>10</v>
      </c>
      <c r="J310" s="82">
        <v>46078</v>
      </c>
      <c r="K310" s="82">
        <v>46171</v>
      </c>
      <c r="L310" s="78">
        <f>IF(ISBLANK(DATA[[#This Row],[DISCHARGE DATE]]), "NO DATE", DATA[[#This Row],[DISCHARGE DATE]]-DATA[[#This Row],[ADMISSION DATE]]+1)</f>
        <v>94</v>
      </c>
      <c r="M310" s="83">
        <v>350</v>
      </c>
      <c r="N310" s="83"/>
      <c r="O310" s="93">
        <v>314</v>
      </c>
      <c r="P310" s="93"/>
      <c r="Q310" s="84">
        <f>IF(DATA[[#This Row],[Column1]]="Normal", 13 * DATA[[#This Row],[STORAGE DAYS]], 20 * DATA[[#This Row],[STORAGE DAYS]])</f>
        <v>1222</v>
      </c>
      <c r="R310" s="84">
        <f>DATA[[#This Row],[COLDROOM FEE]]-DATA[[#This Row],[STORAGE FEE]]</f>
        <v>-1222</v>
      </c>
      <c r="S310" s="149" t="str">
        <f>IF(ISBLANK(DATA[[#This Row],[COLDROOM RECEIPT]]), "IN CUSTODY", "DISCHARGED")</f>
        <v>IN CUSTODY</v>
      </c>
      <c r="T310" s="36">
        <f t="shared" si="4"/>
        <v>349</v>
      </c>
      <c r="U310" s="112">
        <v>2026</v>
      </c>
      <c r="V310" s="112" t="s">
        <v>1915</v>
      </c>
      <c r="W310" s="112">
        <v>2026</v>
      </c>
      <c r="X310" s="112" t="s">
        <v>1913</v>
      </c>
    </row>
    <row r="311" spans="1:24" s="37" customFormat="1" ht="16.5" hidden="1" customHeight="1" x14ac:dyDescent="0.25">
      <c r="A311" s="77" t="s">
        <v>1492</v>
      </c>
      <c r="B311" s="78" t="s">
        <v>1493</v>
      </c>
      <c r="C311" s="78">
        <v>68</v>
      </c>
      <c r="D311" s="79" t="s">
        <v>4</v>
      </c>
      <c r="E311" s="79" t="s">
        <v>1494</v>
      </c>
      <c r="F311" s="79" t="s">
        <v>1783</v>
      </c>
      <c r="G311" s="79" t="s">
        <v>27</v>
      </c>
      <c r="H311" s="81">
        <v>0.73263888888888884</v>
      </c>
      <c r="I311" s="79" t="s">
        <v>10</v>
      </c>
      <c r="J311" s="82">
        <v>46080</v>
      </c>
      <c r="K311" s="82">
        <v>46234</v>
      </c>
      <c r="L311" s="78">
        <f>IF(ISBLANK(DATA[[#This Row],[DISCHARGE DATE]]), "NO DATE", DATA[[#This Row],[DISCHARGE DATE]]-DATA[[#This Row],[ADMISSION DATE]]+1)</f>
        <v>155</v>
      </c>
      <c r="M311" s="83">
        <v>350</v>
      </c>
      <c r="N311" s="83"/>
      <c r="O311" s="93">
        <v>315</v>
      </c>
      <c r="P311" s="93"/>
      <c r="Q311" s="84">
        <f>IF(DATA[[#This Row],[Column1]]="Normal", 13 * DATA[[#This Row],[STORAGE DAYS]], 20 * DATA[[#This Row],[STORAGE DAYS]])</f>
        <v>2015</v>
      </c>
      <c r="R311" s="84">
        <f>DATA[[#This Row],[COLDROOM FEE]]-DATA[[#This Row],[STORAGE FEE]]</f>
        <v>-2015</v>
      </c>
      <c r="S311" s="149" t="str">
        <f>IF(ISBLANK(DATA[[#This Row],[COLDROOM RECEIPT]]), "IN CUSTODY", "DISCHARGED")</f>
        <v>IN CUSTODY</v>
      </c>
      <c r="T311" s="36">
        <f t="shared" si="4"/>
        <v>349</v>
      </c>
      <c r="U311" s="112">
        <v>2026</v>
      </c>
      <c r="V311" s="112" t="s">
        <v>1915</v>
      </c>
      <c r="W311" s="112">
        <v>1900</v>
      </c>
      <c r="X311" s="112" t="s">
        <v>1874</v>
      </c>
    </row>
    <row r="312" spans="1:24" s="37" customFormat="1" ht="16.5" hidden="1" customHeight="1" x14ac:dyDescent="0.25">
      <c r="A312" s="77" t="s">
        <v>1495</v>
      </c>
      <c r="B312" s="78" t="s">
        <v>1496</v>
      </c>
      <c r="C312" s="78">
        <v>73</v>
      </c>
      <c r="D312" s="79" t="s">
        <v>4</v>
      </c>
      <c r="E312" s="79" t="s">
        <v>1480</v>
      </c>
      <c r="F312" s="79" t="s">
        <v>1784</v>
      </c>
      <c r="G312" s="79" t="s">
        <v>25</v>
      </c>
      <c r="H312" s="81">
        <v>0.8125</v>
      </c>
      <c r="I312" s="79" t="s">
        <v>12</v>
      </c>
      <c r="J312" s="82">
        <v>46080</v>
      </c>
      <c r="K312" s="82"/>
      <c r="L312" s="78" t="str">
        <f>IF(ISBLANK(DATA[[#This Row],[DISCHARGE DATE]]), "NO DATE", DATA[[#This Row],[DISCHARGE DATE]]-DATA[[#This Row],[ADMISSION DATE]]+1)</f>
        <v>NO DATE</v>
      </c>
      <c r="M312" s="83">
        <v>350</v>
      </c>
      <c r="N312" s="83"/>
      <c r="O312" s="93">
        <v>316</v>
      </c>
      <c r="P312" s="93"/>
      <c r="Q312" s="84" t="e">
        <f>IF(DATA[[#This Row],[Column1]]="Normal", 13 * DATA[[#This Row],[STORAGE DAYS]], 20 * DATA[[#This Row],[STORAGE DAYS]])</f>
        <v>#VALUE!</v>
      </c>
      <c r="R312" s="84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 t="shared" si="4"/>
        <v>349</v>
      </c>
      <c r="U312" s="112">
        <v>2026</v>
      </c>
      <c r="V312" s="112" t="s">
        <v>1915</v>
      </c>
      <c r="W312" s="112">
        <v>1900</v>
      </c>
      <c r="X312" s="112" t="s">
        <v>1874</v>
      </c>
    </row>
    <row r="313" spans="1:24" s="37" customFormat="1" ht="16.5" hidden="1" customHeight="1" x14ac:dyDescent="0.25">
      <c r="A313" s="77" t="s">
        <v>1497</v>
      </c>
      <c r="B313" s="78" t="s">
        <v>1498</v>
      </c>
      <c r="C313" s="78">
        <v>79</v>
      </c>
      <c r="D313" s="79" t="s">
        <v>5</v>
      </c>
      <c r="E313" s="79" t="s">
        <v>1499</v>
      </c>
      <c r="F313" s="79" t="s">
        <v>1785</v>
      </c>
      <c r="G313" s="79" t="s">
        <v>27</v>
      </c>
      <c r="H313" s="81">
        <v>0.3125</v>
      </c>
      <c r="I313" s="79" t="s">
        <v>10</v>
      </c>
      <c r="J313" s="82">
        <v>46083</v>
      </c>
      <c r="K313" s="82"/>
      <c r="L313" s="78" t="str">
        <f>IF(ISBLANK(DATA[[#This Row],[DISCHARGE DATE]]), "NO DATE", DATA[[#This Row],[DISCHARGE DATE]]-DATA[[#This Row],[ADMISSION DATE]]+1)</f>
        <v>NO DATE</v>
      </c>
      <c r="M313" s="83">
        <v>350</v>
      </c>
      <c r="N313" s="83"/>
      <c r="O313" s="93">
        <v>317</v>
      </c>
      <c r="P313" s="93"/>
      <c r="Q313" s="84" t="e">
        <f>IF(DATA[[#This Row],[Column1]]="Normal", 13 * DATA[[#This Row],[STORAGE DAYS]], 20 * DATA[[#This Row],[STORAGE DAYS]])</f>
        <v>#VALUE!</v>
      </c>
      <c r="R313" s="84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 t="shared" si="4"/>
        <v>349</v>
      </c>
      <c r="U313" s="112">
        <v>2026</v>
      </c>
      <c r="V313" s="112" t="s">
        <v>1912</v>
      </c>
      <c r="W313" s="112">
        <v>1900</v>
      </c>
      <c r="X313" s="112" t="s">
        <v>1874</v>
      </c>
    </row>
    <row r="314" spans="1:24" s="37" customFormat="1" ht="16.5" hidden="1" customHeight="1" x14ac:dyDescent="0.25">
      <c r="A314" s="77" t="s">
        <v>1500</v>
      </c>
      <c r="B314" s="78" t="s">
        <v>1501</v>
      </c>
      <c r="C314" s="78">
        <v>67</v>
      </c>
      <c r="D314" s="79" t="s">
        <v>5</v>
      </c>
      <c r="E314" s="79" t="s">
        <v>1502</v>
      </c>
      <c r="F314" s="79" t="s">
        <v>1786</v>
      </c>
      <c r="G314" s="79" t="s">
        <v>27</v>
      </c>
      <c r="H314" s="81">
        <v>0.72916666666666663</v>
      </c>
      <c r="I314" s="79" t="s">
        <v>10</v>
      </c>
      <c r="J314" s="82">
        <v>46084</v>
      </c>
      <c r="K314" s="82">
        <v>46206</v>
      </c>
      <c r="L314" s="78">
        <f>IF(ISBLANK(DATA[[#This Row],[DISCHARGE DATE]]), "NO DATE", DATA[[#This Row],[DISCHARGE DATE]]-DATA[[#This Row],[ADMISSION DATE]]+1)</f>
        <v>123</v>
      </c>
      <c r="M314" s="83">
        <v>350</v>
      </c>
      <c r="N314" s="83"/>
      <c r="O314" s="93">
        <v>318</v>
      </c>
      <c r="P314" s="93"/>
      <c r="Q314" s="84">
        <f>IF(DATA[[#This Row],[Column1]]="Normal", 13 * DATA[[#This Row],[STORAGE DAYS]], 20 * DATA[[#This Row],[STORAGE DAYS]])</f>
        <v>1599</v>
      </c>
      <c r="R314" s="84">
        <f>DATA[[#This Row],[COLDROOM FEE]]-DATA[[#This Row],[STORAGE FEE]]</f>
        <v>-1599</v>
      </c>
      <c r="S314" s="149" t="str">
        <f>IF(ISBLANK(DATA[[#This Row],[COLDROOM RECEIPT]]), "IN CUSTODY", "DISCHARGED")</f>
        <v>IN CUSTODY</v>
      </c>
      <c r="T314" s="36">
        <f t="shared" si="4"/>
        <v>349</v>
      </c>
      <c r="U314" s="112">
        <v>2026</v>
      </c>
      <c r="V314" s="112" t="s">
        <v>1912</v>
      </c>
      <c r="W314" s="112">
        <v>1900</v>
      </c>
      <c r="X314" s="112" t="s">
        <v>1874</v>
      </c>
    </row>
    <row r="315" spans="1:24" s="37" customFormat="1" ht="16.5" hidden="1" customHeight="1" x14ac:dyDescent="0.25">
      <c r="A315" s="77" t="s">
        <v>1504</v>
      </c>
      <c r="B315" s="78" t="s">
        <v>1505</v>
      </c>
      <c r="C315" s="78">
        <v>82</v>
      </c>
      <c r="D315" s="79" t="s">
        <v>5</v>
      </c>
      <c r="E315" s="79" t="s">
        <v>1506</v>
      </c>
      <c r="F315" s="79" t="s">
        <v>1787</v>
      </c>
      <c r="G315" s="79" t="s">
        <v>27</v>
      </c>
      <c r="H315" s="81">
        <v>0.375</v>
      </c>
      <c r="I315" s="79" t="s">
        <v>12</v>
      </c>
      <c r="J315" s="82">
        <v>46088</v>
      </c>
      <c r="K315" s="82">
        <v>46118</v>
      </c>
      <c r="L315" s="78">
        <f>IF(ISBLANK(DATA[[#This Row],[DISCHARGE DATE]]), "NO DATE", DATA[[#This Row],[DISCHARGE DATE]]-DATA[[#This Row],[ADMISSION DATE]]+1)</f>
        <v>31</v>
      </c>
      <c r="M315" s="83">
        <v>350</v>
      </c>
      <c r="N315" s="83">
        <v>620</v>
      </c>
      <c r="O315" s="93">
        <v>319</v>
      </c>
      <c r="P315" s="93">
        <v>269</v>
      </c>
      <c r="Q315" s="84">
        <f>IF(DATA[[#This Row],[Column1]]="Normal", 13 * DATA[[#This Row],[STORAGE DAYS]], 20 * DATA[[#This Row],[STORAGE DAYS]])</f>
        <v>620</v>
      </c>
      <c r="R315" s="84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 t="shared" si="4"/>
        <v>349</v>
      </c>
      <c r="U315" s="112">
        <v>2026</v>
      </c>
      <c r="V315" s="112" t="s">
        <v>1912</v>
      </c>
      <c r="W315" s="112">
        <v>2026</v>
      </c>
      <c r="X315" s="112" t="s">
        <v>1873</v>
      </c>
    </row>
    <row r="316" spans="1:24" s="37" customFormat="1" ht="16.5" hidden="1" customHeight="1" x14ac:dyDescent="0.25">
      <c r="A316" s="77" t="s">
        <v>1507</v>
      </c>
      <c r="B316" s="78" t="s">
        <v>1508</v>
      </c>
      <c r="C316" s="78">
        <v>43</v>
      </c>
      <c r="D316" s="79" t="s">
        <v>5</v>
      </c>
      <c r="E316" s="79" t="s">
        <v>1509</v>
      </c>
      <c r="F316" s="79" t="s">
        <v>1510</v>
      </c>
      <c r="G316" s="79" t="s">
        <v>27</v>
      </c>
      <c r="H316" s="81">
        <v>0.45833333333333331</v>
      </c>
      <c r="I316" s="79" t="s">
        <v>10</v>
      </c>
      <c r="J316" s="82">
        <v>46089</v>
      </c>
      <c r="K316" s="82">
        <v>46143</v>
      </c>
      <c r="L316" s="78">
        <f>IF(ISBLANK(DATA[[#This Row],[DISCHARGE DATE]]), "NO DATE", DATA[[#This Row],[DISCHARGE DATE]]-DATA[[#This Row],[ADMISSION DATE]]+1)</f>
        <v>55</v>
      </c>
      <c r="M316" s="83">
        <v>350</v>
      </c>
      <c r="N316" s="83">
        <v>715</v>
      </c>
      <c r="O316" s="93">
        <v>320</v>
      </c>
      <c r="P316" s="93">
        <v>279</v>
      </c>
      <c r="Q316" s="84">
        <f>IF(DATA[[#This Row],[Column1]]="Normal", 13 * DATA[[#This Row],[STORAGE DAYS]], 20 * DATA[[#This Row],[STORAGE DAYS]])</f>
        <v>715</v>
      </c>
      <c r="R316" s="84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 t="shared" si="4"/>
        <v>349</v>
      </c>
      <c r="U316" s="112">
        <v>2026</v>
      </c>
      <c r="V316" s="112" t="s">
        <v>1912</v>
      </c>
      <c r="W316" s="112">
        <v>2026</v>
      </c>
      <c r="X316" s="112" t="s">
        <v>1913</v>
      </c>
    </row>
    <row r="317" spans="1:24" s="37" customFormat="1" ht="16.5" hidden="1" customHeight="1" x14ac:dyDescent="0.25">
      <c r="A317" s="77" t="s">
        <v>1535</v>
      </c>
      <c r="B317" s="78" t="s">
        <v>1536</v>
      </c>
      <c r="C317" s="78">
        <v>105</v>
      </c>
      <c r="D317" s="79" t="s">
        <v>4</v>
      </c>
      <c r="E317" s="79" t="s">
        <v>1537</v>
      </c>
      <c r="F317" s="79" t="s">
        <v>1538</v>
      </c>
      <c r="G317" s="79" t="s">
        <v>27</v>
      </c>
      <c r="H317" s="81">
        <v>0.22916666666666666</v>
      </c>
      <c r="I317" s="79" t="s">
        <v>12</v>
      </c>
      <c r="J317" s="82">
        <v>46099</v>
      </c>
      <c r="K317" s="82"/>
      <c r="L317" s="78" t="str">
        <f>IF(ISBLANK(DATA[[#This Row],[DISCHARGE DATE]]), "NO DATE", DATA[[#This Row],[DISCHARGE DATE]]-DATA[[#This Row],[ADMISSION DATE]]+1)</f>
        <v>NO DATE</v>
      </c>
      <c r="M317" s="83">
        <v>350</v>
      </c>
      <c r="N317" s="83"/>
      <c r="O317" s="93">
        <v>321</v>
      </c>
      <c r="P317" s="93"/>
      <c r="Q317" s="84" t="e">
        <f>IF(DATA[[#This Row],[Column1]]="Normal", 13 * DATA[[#This Row],[STORAGE DAYS]], 20 * DATA[[#This Row],[STORAGE DAYS]])</f>
        <v>#VALUE!</v>
      </c>
      <c r="R317" s="84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 t="shared" si="4"/>
        <v>349</v>
      </c>
      <c r="U317" s="112">
        <v>2026</v>
      </c>
      <c r="V317" s="112" t="s">
        <v>1912</v>
      </c>
      <c r="W317" s="112">
        <v>1900</v>
      </c>
      <c r="X317" s="112" t="s">
        <v>1874</v>
      </c>
    </row>
    <row r="318" spans="1:24" s="37" customFormat="1" ht="16.5" hidden="1" customHeight="1" x14ac:dyDescent="0.25">
      <c r="A318" s="77" t="s">
        <v>1539</v>
      </c>
      <c r="B318" s="78" t="s">
        <v>1540</v>
      </c>
      <c r="C318" s="78">
        <v>68</v>
      </c>
      <c r="D318" s="79" t="s">
        <v>5</v>
      </c>
      <c r="E318" s="79" t="s">
        <v>1541</v>
      </c>
      <c r="F318" s="79" t="s">
        <v>1788</v>
      </c>
      <c r="G318" s="79" t="s">
        <v>27</v>
      </c>
      <c r="H318" s="81">
        <v>0.5</v>
      </c>
      <c r="I318" s="79" t="s">
        <v>12</v>
      </c>
      <c r="J318" s="82">
        <v>46100</v>
      </c>
      <c r="K318" s="82"/>
      <c r="L318" s="78" t="str">
        <f>IF(ISBLANK(DATA[[#This Row],[DISCHARGE DATE]]), "NO DATE", DATA[[#This Row],[DISCHARGE DATE]]-DATA[[#This Row],[ADMISSION DATE]]+1)</f>
        <v>NO DATE</v>
      </c>
      <c r="M318" s="83">
        <v>350</v>
      </c>
      <c r="N318" s="83"/>
      <c r="O318" s="93">
        <v>322</v>
      </c>
      <c r="P318" s="93"/>
      <c r="Q318" s="84" t="e">
        <f>IF(DATA[[#This Row],[Column1]]="Normal", 13 * DATA[[#This Row],[STORAGE DAYS]], 20 * DATA[[#This Row],[STORAGE DAYS]])</f>
        <v>#VALUE!</v>
      </c>
      <c r="R318" s="84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 t="shared" si="4"/>
        <v>349</v>
      </c>
      <c r="U318" s="112">
        <v>2026</v>
      </c>
      <c r="V318" s="112" t="s">
        <v>1912</v>
      </c>
      <c r="W318" s="112">
        <v>2026</v>
      </c>
      <c r="X318" s="112" t="s">
        <v>1911</v>
      </c>
    </row>
    <row r="319" spans="1:24" s="37" customFormat="1" ht="16.5" hidden="1" customHeight="1" x14ac:dyDescent="0.25">
      <c r="A319" s="77" t="s">
        <v>1542</v>
      </c>
      <c r="B319" s="78" t="s">
        <v>1543</v>
      </c>
      <c r="C319" s="78">
        <v>87</v>
      </c>
      <c r="D319" s="79" t="s">
        <v>4</v>
      </c>
      <c r="E319" s="79" t="s">
        <v>1544</v>
      </c>
      <c r="F319" s="79" t="s">
        <v>1789</v>
      </c>
      <c r="G319" s="79" t="s">
        <v>26</v>
      </c>
      <c r="H319" s="81">
        <v>0.75</v>
      </c>
      <c r="I319" s="79" t="s">
        <v>12</v>
      </c>
      <c r="J319" s="82">
        <v>46099</v>
      </c>
      <c r="K319" s="82"/>
      <c r="L319" s="78" t="str">
        <f>IF(ISBLANK(DATA[[#This Row],[DISCHARGE DATE]]), "NO DATE", DATA[[#This Row],[DISCHARGE DATE]]-DATA[[#This Row],[ADMISSION DATE]]+1)</f>
        <v>NO DATE</v>
      </c>
      <c r="M319" s="83">
        <v>350</v>
      </c>
      <c r="N319" s="83"/>
      <c r="O319" s="93">
        <v>323</v>
      </c>
      <c r="P319" s="93"/>
      <c r="Q319" s="84" t="e">
        <f>IF(DATA[[#This Row],[Column1]]="Normal", 13 * DATA[[#This Row],[STORAGE DAYS]], 20 * DATA[[#This Row],[STORAGE DAYS]])</f>
        <v>#VALUE!</v>
      </c>
      <c r="R319" s="84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 t="shared" si="4"/>
        <v>349</v>
      </c>
      <c r="U319" s="112">
        <v>2026</v>
      </c>
      <c r="V319" s="112" t="s">
        <v>1912</v>
      </c>
      <c r="W319" s="112">
        <v>1900</v>
      </c>
      <c r="X319" s="112" t="s">
        <v>1874</v>
      </c>
    </row>
    <row r="320" spans="1:24" s="37" customFormat="1" ht="16.5" hidden="1" customHeight="1" x14ac:dyDescent="0.25">
      <c r="A320" s="77" t="s">
        <v>1547</v>
      </c>
      <c r="B320" s="78" t="s">
        <v>1548</v>
      </c>
      <c r="C320" s="78">
        <v>65</v>
      </c>
      <c r="D320" s="79" t="s">
        <v>4</v>
      </c>
      <c r="E320" s="79" t="s">
        <v>1549</v>
      </c>
      <c r="F320" s="79" t="s">
        <v>1790</v>
      </c>
      <c r="G320" s="79" t="s">
        <v>27</v>
      </c>
      <c r="H320" s="81">
        <v>0.58333333333333337</v>
      </c>
      <c r="I320" s="79" t="s">
        <v>10</v>
      </c>
      <c r="J320" s="82">
        <v>46101</v>
      </c>
      <c r="K320" s="82">
        <v>46157</v>
      </c>
      <c r="L320" s="78">
        <f>IF(ISBLANK(DATA[[#This Row],[DISCHARGE DATE]]), "NO DATE", DATA[[#This Row],[DISCHARGE DATE]]-DATA[[#This Row],[ADMISSION DATE]]+1)</f>
        <v>57</v>
      </c>
      <c r="M320" s="83">
        <v>350</v>
      </c>
      <c r="N320" s="83">
        <v>741</v>
      </c>
      <c r="O320" s="93">
        <v>324</v>
      </c>
      <c r="P320" s="93">
        <v>300</v>
      </c>
      <c r="Q320" s="84">
        <f>IF(DATA[[#This Row],[Column1]]="Normal", 13 * DATA[[#This Row],[STORAGE DAYS]], 20 * DATA[[#This Row],[STORAGE DAYS]])</f>
        <v>741</v>
      </c>
      <c r="R320" s="84">
        <f>DATA[[#This Row],[COLDROOM FEE]]-DATA[[#This Row],[STORAGE FEE]]</f>
        <v>0</v>
      </c>
      <c r="S320" s="149" t="str">
        <f>IF(ISBLANK(DATA[[#This Row],[COLDROOM RECEIPT]]), "IN CUSTODY", "DISCHARGED")</f>
        <v>DISCHARGED</v>
      </c>
      <c r="T320" s="36">
        <f t="shared" si="4"/>
        <v>349</v>
      </c>
      <c r="U320" s="112">
        <v>2026</v>
      </c>
      <c r="V320" s="112" t="s">
        <v>1912</v>
      </c>
      <c r="W320" s="112">
        <v>1900</v>
      </c>
      <c r="X320" s="112" t="s">
        <v>1874</v>
      </c>
    </row>
    <row r="321" spans="1:24" s="37" customFormat="1" ht="16.5" hidden="1" customHeight="1" x14ac:dyDescent="0.25">
      <c r="A321" s="77" t="s">
        <v>1815</v>
      </c>
      <c r="B321" s="78" t="s">
        <v>1816</v>
      </c>
      <c r="C321" s="78">
        <v>80</v>
      </c>
      <c r="D321" s="79" t="s">
        <v>4</v>
      </c>
      <c r="E321" s="79" t="s">
        <v>1817</v>
      </c>
      <c r="F321" s="79" t="s">
        <v>1818</v>
      </c>
      <c r="G321" s="79" t="s">
        <v>25</v>
      </c>
      <c r="H321" s="81">
        <v>0.3125</v>
      </c>
      <c r="I321" s="79" t="s">
        <v>12</v>
      </c>
      <c r="J321" s="82">
        <v>46107</v>
      </c>
      <c r="K321" s="82"/>
      <c r="L321" s="78" t="str">
        <f>IF(ISBLANK(DATA[[#This Row],[DISCHARGE DATE]]), "NO DATE", DATA[[#This Row],[DISCHARGE DATE]]-DATA[[#This Row],[ADMISSION DATE]]+1)</f>
        <v>NO DATE</v>
      </c>
      <c r="M321" s="83">
        <v>350</v>
      </c>
      <c r="N321" s="83"/>
      <c r="O321" s="93">
        <v>325</v>
      </c>
      <c r="P321" s="93"/>
      <c r="Q321" s="84" t="e">
        <f>IF(DATA[[#This Row],[Column1]]="Normal", 13 * DATA[[#This Row],[STORAGE DAYS]], 20 * DATA[[#This Row],[STORAGE DAYS]])</f>
        <v>#VALUE!</v>
      </c>
      <c r="R321" s="84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 t="shared" si="4"/>
        <v>349</v>
      </c>
      <c r="U321" s="112">
        <v>2026</v>
      </c>
      <c r="V321" s="112" t="s">
        <v>1912</v>
      </c>
      <c r="W321" s="112">
        <v>1900</v>
      </c>
      <c r="X321" s="112" t="s">
        <v>1874</v>
      </c>
    </row>
    <row r="322" spans="1:24" s="37" customFormat="1" ht="16.5" hidden="1" customHeight="1" x14ac:dyDescent="0.25">
      <c r="A322" s="77" t="s">
        <v>1814</v>
      </c>
      <c r="B322" s="78" t="s">
        <v>1819</v>
      </c>
      <c r="C322" s="78">
        <v>42</v>
      </c>
      <c r="D322" s="79" t="s">
        <v>5</v>
      </c>
      <c r="E322" s="79" t="s">
        <v>1820</v>
      </c>
      <c r="F322" s="79" t="s">
        <v>1821</v>
      </c>
      <c r="G322" s="79" t="s">
        <v>15</v>
      </c>
      <c r="H322" s="81">
        <v>0.47916666666666669</v>
      </c>
      <c r="I322" s="79" t="s">
        <v>12</v>
      </c>
      <c r="J322" s="82">
        <v>46107</v>
      </c>
      <c r="K322" s="82"/>
      <c r="L322" s="78" t="str">
        <f>IF(ISBLANK(DATA[[#This Row],[DISCHARGE DATE]]), "NO DATE", DATA[[#This Row],[DISCHARGE DATE]]-DATA[[#This Row],[ADMISSION DATE]]+1)</f>
        <v>NO DATE</v>
      </c>
      <c r="M322" s="83">
        <v>350</v>
      </c>
      <c r="N322" s="83"/>
      <c r="O322" s="93">
        <v>326</v>
      </c>
      <c r="P322" s="93"/>
      <c r="Q322" s="84" t="e">
        <f>IF(DATA[[#This Row],[Column1]]="Normal", 13 * DATA[[#This Row],[STORAGE DAYS]], 20 * DATA[[#This Row],[STORAGE DAYS]])</f>
        <v>#VALUE!</v>
      </c>
      <c r="R322" s="84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 t="shared" ref="T322:T334" si="5">COUNTA(A:A)-2</f>
        <v>349</v>
      </c>
      <c r="U322" s="112">
        <v>2026</v>
      </c>
      <c r="V322" s="112" t="s">
        <v>1912</v>
      </c>
      <c r="W322" s="112">
        <v>1900</v>
      </c>
      <c r="X322" s="112" t="s">
        <v>1874</v>
      </c>
    </row>
    <row r="323" spans="1:24" s="37" customFormat="1" ht="16.5" customHeight="1" x14ac:dyDescent="0.25">
      <c r="A323" s="77" t="s">
        <v>1822</v>
      </c>
      <c r="B323" s="78" t="s">
        <v>96</v>
      </c>
      <c r="C323" s="78">
        <v>85</v>
      </c>
      <c r="D323" s="79" t="s">
        <v>5</v>
      </c>
      <c r="E323" s="79" t="s">
        <v>1823</v>
      </c>
      <c r="F323" s="79" t="s">
        <v>1824</v>
      </c>
      <c r="G323" s="79" t="s">
        <v>27</v>
      </c>
      <c r="H323" s="81">
        <v>0.33333333333333331</v>
      </c>
      <c r="I323" s="79" t="s">
        <v>10</v>
      </c>
      <c r="J323" s="82">
        <v>46109</v>
      </c>
      <c r="K323" s="82">
        <v>46171</v>
      </c>
      <c r="L323" s="78">
        <f>IF(ISBLANK(DATA[[#This Row],[DISCHARGE DATE]]), "NO DATE", DATA[[#This Row],[DISCHARGE DATE]]-DATA[[#This Row],[ADMISSION DATE]]+1)</f>
        <v>63</v>
      </c>
      <c r="M323" s="83">
        <v>350</v>
      </c>
      <c r="N323" s="83">
        <v>819</v>
      </c>
      <c r="O323" s="93">
        <v>327</v>
      </c>
      <c r="P323" s="93">
        <v>309</v>
      </c>
      <c r="Q323" s="84">
        <f>IF(DATA[[#This Row],[Column1]]="Normal", 13 * DATA[[#This Row],[STORAGE DAYS]], 20 * DATA[[#This Row],[STORAGE DAYS]])</f>
        <v>819</v>
      </c>
      <c r="R323" s="84">
        <f>DATA[[#This Row],[COLDROOM FEE]]-DATA[[#This Row],[STORAGE FEE]]</f>
        <v>0</v>
      </c>
      <c r="S323" s="149" t="str">
        <f>IF(ISBLANK(DATA[[#This Row],[COLDROOM RECEIPT]]), "IN CUSTODY", "DISCHARGED")</f>
        <v>DISCHARGED</v>
      </c>
      <c r="T323" s="36">
        <f t="shared" si="5"/>
        <v>349</v>
      </c>
      <c r="U323" s="112">
        <v>2026</v>
      </c>
      <c r="V323" s="112" t="s">
        <v>1912</v>
      </c>
      <c r="W323" s="112">
        <v>1900</v>
      </c>
      <c r="X323" s="112" t="s">
        <v>1874</v>
      </c>
    </row>
    <row r="324" spans="1:24" s="37" customFormat="1" ht="16.5" hidden="1" customHeight="1" x14ac:dyDescent="0.25">
      <c r="A324" s="77" t="s">
        <v>1825</v>
      </c>
      <c r="B324" s="78" t="s">
        <v>1826</v>
      </c>
      <c r="C324" s="78">
        <v>43</v>
      </c>
      <c r="D324" s="79" t="s">
        <v>5</v>
      </c>
      <c r="E324" s="79" t="s">
        <v>1827</v>
      </c>
      <c r="F324" s="79" t="s">
        <v>1828</v>
      </c>
      <c r="G324" s="79" t="s">
        <v>24</v>
      </c>
      <c r="H324" s="81">
        <v>0.72916666666666663</v>
      </c>
      <c r="I324" s="79" t="s">
        <v>12</v>
      </c>
      <c r="J324" s="82">
        <v>46113</v>
      </c>
      <c r="K324" s="82">
        <v>46164</v>
      </c>
      <c r="L324" s="78">
        <f>IF(ISBLANK(DATA[[#This Row],[DISCHARGE DATE]]), "NO DATE", DATA[[#This Row],[DISCHARGE DATE]]-DATA[[#This Row],[ADMISSION DATE]]+1)</f>
        <v>52</v>
      </c>
      <c r="M324" s="83">
        <v>350</v>
      </c>
      <c r="N324" s="83">
        <v>1040</v>
      </c>
      <c r="O324" s="93">
        <v>328</v>
      </c>
      <c r="P324" s="93">
        <v>304</v>
      </c>
      <c r="Q324" s="84">
        <f>IF(DATA[[#This Row],[Column1]]="Normal", 13 * DATA[[#This Row],[STORAGE DAYS]], 20 * DATA[[#This Row],[STORAGE DAYS]])</f>
        <v>1040</v>
      </c>
      <c r="R324" s="84">
        <f>DATA[[#This Row],[COLDROOM FEE]]-DATA[[#This Row],[STORAGE FEE]]</f>
        <v>0</v>
      </c>
      <c r="S324" s="149" t="str">
        <f>IF(ISBLANK(DATA[[#This Row],[COLDROOM RECEIPT]]), "IN CUSTODY", "DISCHARGED")</f>
        <v>DISCHARGED</v>
      </c>
      <c r="T324" s="36">
        <f t="shared" si="5"/>
        <v>349</v>
      </c>
      <c r="U324" s="112">
        <v>2026</v>
      </c>
      <c r="V324" s="112" t="s">
        <v>1873</v>
      </c>
      <c r="W324" s="112">
        <v>1900</v>
      </c>
      <c r="X324" s="112" t="s">
        <v>1874</v>
      </c>
    </row>
    <row r="325" spans="1:24" s="37" customFormat="1" ht="16.5" hidden="1" customHeight="1" x14ac:dyDescent="0.25">
      <c r="A325" s="77" t="s">
        <v>1832</v>
      </c>
      <c r="B325" s="78" t="s">
        <v>1833</v>
      </c>
      <c r="C325" s="78">
        <v>54</v>
      </c>
      <c r="D325" s="79" t="s">
        <v>5</v>
      </c>
      <c r="E325" s="79" t="s">
        <v>1834</v>
      </c>
      <c r="F325" s="79" t="s">
        <v>1599</v>
      </c>
      <c r="G325" s="79" t="s">
        <v>26</v>
      </c>
      <c r="H325" s="81">
        <v>0.83333333333333337</v>
      </c>
      <c r="I325" s="79" t="s">
        <v>12</v>
      </c>
      <c r="J325" s="82">
        <v>46114</v>
      </c>
      <c r="K325" s="82"/>
      <c r="L325" s="78" t="str">
        <f>IF(ISBLANK(DATA[[#This Row],[DISCHARGE DATE]]), "NO DATE", DATA[[#This Row],[DISCHARGE DATE]]-DATA[[#This Row],[ADMISSION DATE]]+1)</f>
        <v>NO DATE</v>
      </c>
      <c r="M325" s="83">
        <v>350</v>
      </c>
      <c r="N325" s="83"/>
      <c r="O325" s="93">
        <v>329</v>
      </c>
      <c r="P325" s="93"/>
      <c r="Q325" s="84" t="e">
        <f>IF(DATA[[#This Row],[Column1]]="Normal", 13 * DATA[[#This Row],[STORAGE DAYS]], 20 * DATA[[#This Row],[STORAGE DAYS]])</f>
        <v>#VALUE!</v>
      </c>
      <c r="R325" s="84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 t="shared" si="5"/>
        <v>349</v>
      </c>
      <c r="U325" s="112">
        <v>2026</v>
      </c>
      <c r="V325" s="112" t="s">
        <v>1873</v>
      </c>
      <c r="W325" s="112">
        <v>1900</v>
      </c>
      <c r="X325" s="112" t="s">
        <v>1874</v>
      </c>
    </row>
    <row r="326" spans="1:24" s="37" customFormat="1" ht="16.5" hidden="1" customHeight="1" x14ac:dyDescent="0.25">
      <c r="A326" s="77" t="s">
        <v>1836</v>
      </c>
      <c r="B326" s="78" t="s">
        <v>1837</v>
      </c>
      <c r="C326" s="78">
        <v>63</v>
      </c>
      <c r="D326" s="79" t="s">
        <v>5</v>
      </c>
      <c r="E326" s="79" t="s">
        <v>1838</v>
      </c>
      <c r="F326" s="79" t="s">
        <v>1839</v>
      </c>
      <c r="G326" s="79" t="s">
        <v>18</v>
      </c>
      <c r="H326" s="81">
        <v>0.64722222222222225</v>
      </c>
      <c r="I326" s="79" t="s">
        <v>10</v>
      </c>
      <c r="J326" s="82">
        <v>46117</v>
      </c>
      <c r="K326" s="82"/>
      <c r="L326" s="78" t="str">
        <f>IF(ISBLANK(DATA[[#This Row],[DISCHARGE DATE]]), "NO DATE", DATA[[#This Row],[DISCHARGE DATE]]-DATA[[#This Row],[ADMISSION DATE]]+1)</f>
        <v>NO DATE</v>
      </c>
      <c r="M326" s="83">
        <v>350</v>
      </c>
      <c r="N326" s="83"/>
      <c r="O326" s="93">
        <v>330</v>
      </c>
      <c r="P326" s="93"/>
      <c r="Q326" s="84" t="e">
        <f>IF(DATA[[#This Row],[Column1]]="Normal", 13 * DATA[[#This Row],[STORAGE DAYS]], 20 * DATA[[#This Row],[STORAGE DAYS]])</f>
        <v>#VALUE!</v>
      </c>
      <c r="R326" s="84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 t="shared" si="5"/>
        <v>349</v>
      </c>
      <c r="U326" s="112">
        <v>2026</v>
      </c>
      <c r="V326" s="112" t="s">
        <v>1873</v>
      </c>
      <c r="W326" s="112">
        <v>1900</v>
      </c>
      <c r="X326" s="112" t="s">
        <v>1874</v>
      </c>
    </row>
    <row r="327" spans="1:24" s="37" customFormat="1" ht="16.5" hidden="1" customHeight="1" x14ac:dyDescent="0.25">
      <c r="A327" s="77" t="s">
        <v>1840</v>
      </c>
      <c r="B327" s="78" t="s">
        <v>1841</v>
      </c>
      <c r="C327" s="78">
        <v>54</v>
      </c>
      <c r="D327" s="79" t="s">
        <v>4</v>
      </c>
      <c r="E327" s="79" t="s">
        <v>96</v>
      </c>
      <c r="F327" s="79" t="s">
        <v>1568</v>
      </c>
      <c r="G327" s="79" t="s">
        <v>27</v>
      </c>
      <c r="H327" s="81">
        <v>0.4826388888888889</v>
      </c>
      <c r="I327" s="79" t="s">
        <v>12</v>
      </c>
      <c r="J327" s="82">
        <v>46118</v>
      </c>
      <c r="K327" s="82">
        <v>46143</v>
      </c>
      <c r="L327" s="78">
        <f>IF(ISBLANK(DATA[[#This Row],[DISCHARGE DATE]]), "NO DATE", DATA[[#This Row],[DISCHARGE DATE]]-DATA[[#This Row],[ADMISSION DATE]]+1)</f>
        <v>26</v>
      </c>
      <c r="M327" s="83">
        <v>350</v>
      </c>
      <c r="N327" s="83">
        <v>520</v>
      </c>
      <c r="O327" s="93">
        <v>331</v>
      </c>
      <c r="P327" s="93">
        <v>273</v>
      </c>
      <c r="Q327" s="84">
        <f>IF(DATA[[#This Row],[Column1]]="Normal", 13 * DATA[[#This Row],[STORAGE DAYS]], 20 * DATA[[#This Row],[STORAGE DAYS]])</f>
        <v>520</v>
      </c>
      <c r="R327" s="84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 t="shared" si="5"/>
        <v>349</v>
      </c>
      <c r="U327" s="112">
        <v>2026</v>
      </c>
      <c r="V327" s="112" t="s">
        <v>1873</v>
      </c>
      <c r="W327" s="112">
        <v>2026</v>
      </c>
      <c r="X327" s="112" t="s">
        <v>1913</v>
      </c>
    </row>
    <row r="328" spans="1:24" s="37" customFormat="1" ht="16.5" hidden="1" customHeight="1" x14ac:dyDescent="0.25">
      <c r="A328" s="77" t="s">
        <v>1844</v>
      </c>
      <c r="B328" s="78" t="s">
        <v>1845</v>
      </c>
      <c r="C328" s="78">
        <v>66</v>
      </c>
      <c r="D328" s="79" t="s">
        <v>4</v>
      </c>
      <c r="E328" s="79" t="s">
        <v>1846</v>
      </c>
      <c r="F328" s="79" t="s">
        <v>1847</v>
      </c>
      <c r="G328" s="79" t="s">
        <v>27</v>
      </c>
      <c r="H328" s="81">
        <v>0.4236111111111111</v>
      </c>
      <c r="I328" s="79" t="s">
        <v>12</v>
      </c>
      <c r="J328" s="82">
        <v>46125</v>
      </c>
      <c r="K328" s="82">
        <v>46199</v>
      </c>
      <c r="L328" s="78">
        <f>IF(ISBLANK(DATA[[#This Row],[DISCHARGE DATE]]), "NO DATE", DATA[[#This Row],[DISCHARGE DATE]]-DATA[[#This Row],[ADMISSION DATE]]+1)</f>
        <v>75</v>
      </c>
      <c r="M328" s="83">
        <v>350</v>
      </c>
      <c r="N328" s="83"/>
      <c r="O328" s="93">
        <v>332</v>
      </c>
      <c r="P328" s="93"/>
      <c r="Q328" s="84">
        <f>IF(DATA[[#This Row],[Column1]]="Normal", 13 * DATA[[#This Row],[STORAGE DAYS]], 20 * DATA[[#This Row],[STORAGE DAYS]])</f>
        <v>1500</v>
      </c>
      <c r="R328" s="84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 t="shared" si="5"/>
        <v>349</v>
      </c>
      <c r="U328" s="112">
        <v>2026</v>
      </c>
      <c r="V328" s="112" t="s">
        <v>1873</v>
      </c>
      <c r="W328" s="112">
        <v>1900</v>
      </c>
      <c r="X328" s="112" t="s">
        <v>1874</v>
      </c>
    </row>
    <row r="329" spans="1:24" s="37" customFormat="1" ht="16.5" hidden="1" customHeight="1" x14ac:dyDescent="0.25">
      <c r="A329" s="79" t="s">
        <v>1850</v>
      </c>
      <c r="B329" s="78" t="s">
        <v>1851</v>
      </c>
      <c r="C329" s="78">
        <v>87</v>
      </c>
      <c r="D329" s="79" t="s">
        <v>4</v>
      </c>
      <c r="E329" s="79" t="s">
        <v>1852</v>
      </c>
      <c r="F329" s="80">
        <v>536831856</v>
      </c>
      <c r="G329" s="79" t="s">
        <v>25</v>
      </c>
      <c r="H329" s="81">
        <v>0.3125</v>
      </c>
      <c r="I329" s="79" t="s">
        <v>12</v>
      </c>
      <c r="J329" s="82">
        <v>46128</v>
      </c>
      <c r="K329" s="82"/>
      <c r="L329" s="78" t="str">
        <f>IF(ISBLANK(DATA[[#This Row],[DISCHARGE DATE]]), "NO DATE", DATA[[#This Row],[DISCHARGE DATE]]-DATA[[#This Row],[ADMISSION DATE]]+1)</f>
        <v>NO DATE</v>
      </c>
      <c r="M329" s="83">
        <v>350</v>
      </c>
      <c r="N329" s="83"/>
      <c r="O329" s="93">
        <v>333</v>
      </c>
      <c r="P329" s="93"/>
      <c r="Q329" s="84" t="e">
        <f>IF(DATA[[#This Row],[Column1]]="Normal", 13 * DATA[[#This Row],[STORAGE DAYS]], 20 * DATA[[#This Row],[STORAGE DAYS]])</f>
        <v>#VALUE!</v>
      </c>
      <c r="R329" s="84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 t="shared" si="5"/>
        <v>349</v>
      </c>
      <c r="U329" s="112">
        <v>2026</v>
      </c>
      <c r="V329" s="112" t="s">
        <v>1873</v>
      </c>
      <c r="W329" s="112">
        <v>1900</v>
      </c>
      <c r="X329" s="112" t="s">
        <v>1874</v>
      </c>
    </row>
    <row r="330" spans="1:24" s="37" customFormat="1" ht="16.5" hidden="1" customHeight="1" x14ac:dyDescent="0.25">
      <c r="A330" s="79" t="s">
        <v>1853</v>
      </c>
      <c r="B330" s="78" t="s">
        <v>1854</v>
      </c>
      <c r="C330" s="78">
        <v>90</v>
      </c>
      <c r="D330" s="79" t="s">
        <v>4</v>
      </c>
      <c r="E330" s="79" t="s">
        <v>1073</v>
      </c>
      <c r="F330" s="80">
        <v>246992460</v>
      </c>
      <c r="G330" s="79" t="s">
        <v>1298</v>
      </c>
      <c r="H330" s="81">
        <v>0.85416666666666663</v>
      </c>
      <c r="I330" s="79" t="s">
        <v>10</v>
      </c>
      <c r="J330" s="82">
        <v>46128</v>
      </c>
      <c r="K330" s="82"/>
      <c r="L330" s="78" t="str">
        <f>IF(ISBLANK(DATA[[#This Row],[DISCHARGE DATE]]), "NO DATE", DATA[[#This Row],[DISCHARGE DATE]]-DATA[[#This Row],[ADMISSION DATE]]+1)</f>
        <v>NO DATE</v>
      </c>
      <c r="M330" s="83">
        <v>350</v>
      </c>
      <c r="N330" s="83"/>
      <c r="O330" s="93">
        <v>334</v>
      </c>
      <c r="P330" s="93"/>
      <c r="Q330" s="84" t="e">
        <f>IF(DATA[[#This Row],[Column1]]="Normal", 13 * DATA[[#This Row],[STORAGE DAYS]], 20 * DATA[[#This Row],[STORAGE DAYS]])</f>
        <v>#VALUE!</v>
      </c>
      <c r="R330" s="84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 t="shared" si="5"/>
        <v>349</v>
      </c>
      <c r="U330" s="112">
        <v>2026</v>
      </c>
      <c r="V330" s="112" t="s">
        <v>1873</v>
      </c>
      <c r="W330" s="112">
        <v>1900</v>
      </c>
      <c r="X330" s="112" t="s">
        <v>1874</v>
      </c>
    </row>
    <row r="331" spans="1:24" s="37" customFormat="1" ht="16.5" hidden="1" customHeight="1" x14ac:dyDescent="0.25">
      <c r="A331" s="79" t="s">
        <v>1855</v>
      </c>
      <c r="B331" s="78" t="s">
        <v>1856</v>
      </c>
      <c r="C331" s="78">
        <v>41</v>
      </c>
      <c r="D331" s="79" t="s">
        <v>4</v>
      </c>
      <c r="E331" s="79" t="s">
        <v>1857</v>
      </c>
      <c r="F331" s="80">
        <v>558603367</v>
      </c>
      <c r="G331" s="79" t="s">
        <v>25</v>
      </c>
      <c r="H331" s="81">
        <v>0.3125</v>
      </c>
      <c r="I331" s="79" t="s">
        <v>10</v>
      </c>
      <c r="J331" s="82">
        <v>46130</v>
      </c>
      <c r="K331" s="82"/>
      <c r="L331" s="78" t="str">
        <f>IF(ISBLANK(DATA[[#This Row],[DISCHARGE DATE]]), "NO DATE", DATA[[#This Row],[DISCHARGE DATE]]-DATA[[#This Row],[ADMISSION DATE]]+1)</f>
        <v>NO DATE</v>
      </c>
      <c r="M331" s="83">
        <v>350</v>
      </c>
      <c r="N331" s="83"/>
      <c r="O331" s="93">
        <v>335</v>
      </c>
      <c r="P331" s="93"/>
      <c r="Q331" s="84" t="e">
        <f>IF(DATA[[#This Row],[Column1]]="Normal", 13 * DATA[[#This Row],[STORAGE DAYS]], 20 * DATA[[#This Row],[STORAGE DAYS]])</f>
        <v>#VALUE!</v>
      </c>
      <c r="R331" s="84" t="e">
        <f>DATA[[#This Row],[COLDROOM FEE]]-DATA[[#This Row],[STORAGE FEE]]</f>
        <v>#VALUE!</v>
      </c>
      <c r="S331" s="149" t="str">
        <f>IF(ISBLANK(DATA[[#This Row],[COLDROOM RECEIPT]]), "IN CUSTODY", "DISCHARGED")</f>
        <v>IN CUSTODY</v>
      </c>
      <c r="T331" s="36">
        <f t="shared" si="5"/>
        <v>349</v>
      </c>
      <c r="U331" s="112">
        <v>2026</v>
      </c>
      <c r="V331" s="112" t="s">
        <v>1873</v>
      </c>
      <c r="W331" s="112">
        <v>2026</v>
      </c>
      <c r="X331" s="112" t="s">
        <v>1913</v>
      </c>
    </row>
    <row r="332" spans="1:24" s="37" customFormat="1" ht="16.5" hidden="1" customHeight="1" x14ac:dyDescent="0.25">
      <c r="A332" s="79" t="s">
        <v>1858</v>
      </c>
      <c r="B332" s="78" t="s">
        <v>1859</v>
      </c>
      <c r="C332" s="78">
        <v>57</v>
      </c>
      <c r="D332" s="79" t="s">
        <v>4</v>
      </c>
      <c r="E332" s="79" t="s">
        <v>1860</v>
      </c>
      <c r="F332" s="80">
        <v>248657543</v>
      </c>
      <c r="G332" s="79" t="s">
        <v>27</v>
      </c>
      <c r="H332" s="81">
        <v>0.57638888888888884</v>
      </c>
      <c r="I332" s="79" t="s">
        <v>10</v>
      </c>
      <c r="J332" s="82">
        <v>46132</v>
      </c>
      <c r="K332" s="82">
        <v>46269</v>
      </c>
      <c r="L332" s="78">
        <f>IF(ISBLANK(DATA[[#This Row],[DISCHARGE DATE]]), "NO DATE", DATA[[#This Row],[DISCHARGE DATE]]-DATA[[#This Row],[ADMISSION DATE]]+1)</f>
        <v>138</v>
      </c>
      <c r="M332" s="83">
        <v>350</v>
      </c>
      <c r="N332" s="83"/>
      <c r="O332" s="93">
        <v>336</v>
      </c>
      <c r="P332" s="93"/>
      <c r="Q332" s="84">
        <f>IF(DATA[[#This Row],[Column1]]="Normal", 13 * DATA[[#This Row],[STORAGE DAYS]], 20 * DATA[[#This Row],[STORAGE DAYS]])</f>
        <v>1794</v>
      </c>
      <c r="R332" s="84">
        <f>DATA[[#This Row],[COLDROOM FEE]]-DATA[[#This Row],[STORAGE FEE]]</f>
        <v>-1794</v>
      </c>
      <c r="S332" s="149" t="str">
        <f>IF(ISBLANK(DATA[[#This Row],[COLDROOM RECEIPT]]), "IN CUSTODY", "DISCHARGED")</f>
        <v>IN CUSTODY</v>
      </c>
      <c r="T332" s="36">
        <f t="shared" si="5"/>
        <v>349</v>
      </c>
      <c r="U332" s="112">
        <v>2026</v>
      </c>
      <c r="V332" s="112" t="s">
        <v>1873</v>
      </c>
      <c r="W332" s="112">
        <v>1900</v>
      </c>
      <c r="X332" s="112" t="s">
        <v>1874</v>
      </c>
    </row>
    <row r="333" spans="1:24" s="37" customFormat="1" ht="16.5" hidden="1" customHeight="1" x14ac:dyDescent="0.25">
      <c r="A333" s="79" t="s">
        <v>1861</v>
      </c>
      <c r="B333" s="78" t="s">
        <v>1862</v>
      </c>
      <c r="C333" s="78">
        <v>48</v>
      </c>
      <c r="D333" s="79" t="s">
        <v>4</v>
      </c>
      <c r="E333" s="79" t="s">
        <v>489</v>
      </c>
      <c r="F333" s="80">
        <v>556474751</v>
      </c>
      <c r="G333" s="79" t="s">
        <v>27</v>
      </c>
      <c r="H333" s="81">
        <v>0.89583333333333337</v>
      </c>
      <c r="I333" s="79" t="s">
        <v>12</v>
      </c>
      <c r="J333" s="82">
        <v>46132</v>
      </c>
      <c r="K333" s="82">
        <v>46206</v>
      </c>
      <c r="L333" s="78">
        <f>IF(ISBLANK(DATA[[#This Row],[DISCHARGE DATE]]), "NO DATE", DATA[[#This Row],[DISCHARGE DATE]]-DATA[[#This Row],[ADMISSION DATE]]+1)</f>
        <v>75</v>
      </c>
      <c r="M333" s="83">
        <v>350</v>
      </c>
      <c r="N333" s="83"/>
      <c r="O333" s="93">
        <v>337</v>
      </c>
      <c r="P333" s="93"/>
      <c r="Q333" s="84">
        <f>IF(DATA[[#This Row],[Column1]]="Normal", 13 * DATA[[#This Row],[STORAGE DAYS]], 20 * DATA[[#This Row],[STORAGE DAYS]])</f>
        <v>1500</v>
      </c>
      <c r="R333" s="84">
        <f>DATA[[#This Row],[COLDROOM FEE]]-DATA[[#This Row],[STORAGE FEE]]</f>
        <v>-1500</v>
      </c>
      <c r="S333" s="149" t="str">
        <f>IF(ISBLANK(DATA[[#This Row],[COLDROOM RECEIPT]]), "IN CUSTODY", "DISCHARGED")</f>
        <v>IN CUSTODY</v>
      </c>
      <c r="T333" s="36">
        <f t="shared" si="5"/>
        <v>349</v>
      </c>
      <c r="U333" s="112">
        <v>2026</v>
      </c>
      <c r="V333" s="112" t="s">
        <v>1873</v>
      </c>
      <c r="W333" s="112">
        <v>1900</v>
      </c>
      <c r="X333" s="112" t="s">
        <v>1874</v>
      </c>
    </row>
    <row r="334" spans="1:24" s="37" customFormat="1" ht="16.5" hidden="1" customHeight="1" x14ac:dyDescent="0.25">
      <c r="A334" s="79" t="s">
        <v>1863</v>
      </c>
      <c r="B334" s="78" t="s">
        <v>1864</v>
      </c>
      <c r="C334" s="78">
        <v>45</v>
      </c>
      <c r="D334" s="79" t="s">
        <v>5</v>
      </c>
      <c r="E334" s="79" t="s">
        <v>1865</v>
      </c>
      <c r="F334" s="80">
        <v>543343484</v>
      </c>
      <c r="G334" s="79" t="s">
        <v>27</v>
      </c>
      <c r="H334" s="81">
        <v>0.1875</v>
      </c>
      <c r="I334" s="79" t="s">
        <v>10</v>
      </c>
      <c r="J334" s="82">
        <v>46133</v>
      </c>
      <c r="K334" s="82">
        <v>46206</v>
      </c>
      <c r="L334" s="78">
        <f>IF(ISBLANK(DATA[[#This Row],[DISCHARGE DATE]]), "NO DATE", DATA[[#This Row],[DISCHARGE DATE]]-DATA[[#This Row],[ADMISSION DATE]]+1)</f>
        <v>74</v>
      </c>
      <c r="M334" s="83">
        <v>350</v>
      </c>
      <c r="N334" s="83"/>
      <c r="O334" s="93">
        <v>338</v>
      </c>
      <c r="P334" s="93"/>
      <c r="Q334" s="84">
        <f>IF(DATA[[#This Row],[Column1]]="Normal", 13 * DATA[[#This Row],[STORAGE DAYS]], 20 * DATA[[#This Row],[STORAGE DAYS]])</f>
        <v>962</v>
      </c>
      <c r="R334" s="84">
        <f>DATA[[#This Row],[COLDROOM FEE]]-DATA[[#This Row],[STORAGE FEE]]</f>
        <v>-962</v>
      </c>
      <c r="S334" s="149" t="str">
        <f>IF(ISBLANK(DATA[[#This Row],[COLDROOM RECEIPT]]), "IN CUSTODY", "DISCHARGED")</f>
        <v>IN CUSTODY</v>
      </c>
      <c r="T334" s="36">
        <f t="shared" si="5"/>
        <v>349</v>
      </c>
      <c r="U334" s="112">
        <v>2026</v>
      </c>
      <c r="V334" s="112" t="s">
        <v>1873</v>
      </c>
      <c r="W334" s="112">
        <v>1900</v>
      </c>
      <c r="X334" s="112" t="s">
        <v>1874</v>
      </c>
    </row>
    <row r="335" spans="1:24" s="153" customFormat="1" ht="16.5" hidden="1" customHeight="1" x14ac:dyDescent="0.25">
      <c r="A335" s="77" t="s">
        <v>1870</v>
      </c>
      <c r="B335" s="78" t="s">
        <v>1871</v>
      </c>
      <c r="C335" s="78">
        <v>33</v>
      </c>
      <c r="D335" s="79" t="s">
        <v>4</v>
      </c>
      <c r="E335" s="79" t="s">
        <v>1872</v>
      </c>
      <c r="F335" s="80">
        <v>544489271</v>
      </c>
      <c r="G335" s="79" t="s">
        <v>25</v>
      </c>
      <c r="H335" s="81">
        <v>0.8125</v>
      </c>
      <c r="I335" s="79" t="s">
        <v>12</v>
      </c>
      <c r="J335" s="82">
        <v>46132</v>
      </c>
      <c r="K335" s="82"/>
      <c r="L335" s="78" t="str">
        <f>IF(ISBLANK(DATA[[#This Row],[DISCHARGE DATE]]), "NO DATE", DATA[[#This Row],[DISCHARGE DATE]]-DATA[[#This Row],[ADMISSION DATE]]+1)</f>
        <v>NO DATE</v>
      </c>
      <c r="M335" s="83">
        <v>350</v>
      </c>
      <c r="N335" s="83"/>
      <c r="O335" s="93">
        <v>339</v>
      </c>
      <c r="P335" s="93"/>
      <c r="Q335" s="84" t="e">
        <f>IF(DATA[[#This Row],[Column1]]="Normal", 13 * DATA[[#This Row],[STORAGE DAYS]], 20 * DATA[[#This Row],[STORAGE DAYS]])</f>
        <v>#VALUE!</v>
      </c>
      <c r="R335" s="84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1873</v>
      </c>
      <c r="W335" s="151">
        <v>1900</v>
      </c>
      <c r="X335" s="152" t="s">
        <v>1874</v>
      </c>
    </row>
    <row r="336" spans="1:24" s="153" customFormat="1" ht="16.5" hidden="1" customHeight="1" x14ac:dyDescent="0.25">
      <c r="A336" s="77" t="s">
        <v>1875</v>
      </c>
      <c r="B336" s="78" t="s">
        <v>1876</v>
      </c>
      <c r="C336" s="78">
        <v>86</v>
      </c>
      <c r="D336" s="79" t="s">
        <v>4</v>
      </c>
      <c r="E336" s="79" t="s">
        <v>512</v>
      </c>
      <c r="F336" s="80">
        <v>532089205</v>
      </c>
      <c r="G336" s="79" t="s">
        <v>26</v>
      </c>
      <c r="H336" s="81">
        <v>0.70833333333333337</v>
      </c>
      <c r="I336" s="79" t="s">
        <v>12</v>
      </c>
      <c r="J336" s="82">
        <v>46134</v>
      </c>
      <c r="K336" s="82">
        <v>46262</v>
      </c>
      <c r="L336" s="78">
        <f>IF(ISBLANK(DATA[[#This Row],[DISCHARGE DATE]]), "NO DATE", DATA[[#This Row],[DISCHARGE DATE]]-DATA[[#This Row],[ADMISSION DATE]]+1)</f>
        <v>129</v>
      </c>
      <c r="M336" s="83">
        <v>350</v>
      </c>
      <c r="N336" s="83"/>
      <c r="O336" s="93">
        <v>340</v>
      </c>
      <c r="P336" s="93"/>
      <c r="Q336" s="84">
        <f>IF(DATA[[#This Row],[Column1]]="Normal", 13 * DATA[[#This Row],[STORAGE DAYS]], 20 * DATA[[#This Row],[STORAGE DAYS]])</f>
        <v>2580</v>
      </c>
      <c r="R336" s="84">
        <f>DATA[[#This Row],[COLDROOM FEE]]-DATA[[#This Row],[STORAGE FEE]]</f>
        <v>-2580</v>
      </c>
      <c r="S336" s="149" t="str">
        <f>IF(ISBLANK(DATA[[#This Row],[COLDROOM RECEIPT]]), "IN CUSTODY", "DISCHARGED")</f>
        <v>IN CUSTODY</v>
      </c>
      <c r="T336" s="150">
        <f t="shared" ref="T336:T350" si="6">COUNTA(A:A)-2</f>
        <v>349</v>
      </c>
      <c r="U336" s="151">
        <v>2026</v>
      </c>
      <c r="V336" s="152" t="s">
        <v>1873</v>
      </c>
      <c r="W336" s="151">
        <v>2026</v>
      </c>
      <c r="X336" s="152" t="s">
        <v>1909</v>
      </c>
    </row>
    <row r="337" spans="1:24" s="153" customFormat="1" ht="16.5" hidden="1" customHeight="1" x14ac:dyDescent="0.25">
      <c r="A337" s="77" t="s">
        <v>1877</v>
      </c>
      <c r="B337" s="78" t="s">
        <v>1878</v>
      </c>
      <c r="C337" s="78">
        <v>70</v>
      </c>
      <c r="D337" s="79" t="s">
        <v>4</v>
      </c>
      <c r="E337" s="79" t="s">
        <v>1879</v>
      </c>
      <c r="F337" s="80">
        <v>543779606</v>
      </c>
      <c r="G337" s="79" t="s">
        <v>17</v>
      </c>
      <c r="H337" s="81">
        <v>4.1666666666666664E-2</v>
      </c>
      <c r="I337" s="79" t="s">
        <v>12</v>
      </c>
      <c r="J337" s="82">
        <v>46136</v>
      </c>
      <c r="K337" s="82"/>
      <c r="L337" s="78" t="str">
        <f>IF(ISBLANK(DATA[[#This Row],[DISCHARGE DATE]]), "NO DATE", DATA[[#This Row],[DISCHARGE DATE]]-DATA[[#This Row],[ADMISSION DATE]]+1)</f>
        <v>NO DATE</v>
      </c>
      <c r="M337" s="83">
        <v>350</v>
      </c>
      <c r="N337" s="83"/>
      <c r="O337" s="93">
        <v>341</v>
      </c>
      <c r="P337" s="93"/>
      <c r="Q337" s="84" t="e">
        <f>IF(DATA[[#This Row],[Column1]]="Normal", 13 * DATA[[#This Row],[STORAGE DAYS]], 20 * DATA[[#This Row],[STORAGE DAYS]])</f>
        <v>#VALUE!</v>
      </c>
      <c r="R337" s="84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 t="shared" si="6"/>
        <v>349</v>
      </c>
      <c r="U337" s="151">
        <v>2026</v>
      </c>
      <c r="V337" s="152" t="s">
        <v>1873</v>
      </c>
      <c r="W337" s="151">
        <v>1900</v>
      </c>
      <c r="X337" s="152" t="s">
        <v>1874</v>
      </c>
    </row>
    <row r="338" spans="1:24" s="153" customFormat="1" ht="16.5" hidden="1" customHeight="1" x14ac:dyDescent="0.25">
      <c r="A338" s="77" t="s">
        <v>1880</v>
      </c>
      <c r="B338" s="78" t="s">
        <v>1881</v>
      </c>
      <c r="C338" s="78">
        <v>72</v>
      </c>
      <c r="D338" s="79" t="s">
        <v>4</v>
      </c>
      <c r="E338" s="79" t="s">
        <v>1882</v>
      </c>
      <c r="F338" s="80">
        <v>248514599</v>
      </c>
      <c r="G338" s="79" t="s">
        <v>18</v>
      </c>
      <c r="H338" s="81">
        <v>0.59027777777777779</v>
      </c>
      <c r="I338" s="79" t="s">
        <v>12</v>
      </c>
      <c r="J338" s="82">
        <v>46136</v>
      </c>
      <c r="K338" s="82">
        <v>46234</v>
      </c>
      <c r="L338" s="78">
        <f>IF(ISBLANK(DATA[[#This Row],[DISCHARGE DATE]]), "NO DATE", DATA[[#This Row],[DISCHARGE DATE]]-DATA[[#This Row],[ADMISSION DATE]]+1)</f>
        <v>99</v>
      </c>
      <c r="M338" s="83">
        <v>350</v>
      </c>
      <c r="N338" s="83"/>
      <c r="O338" s="93">
        <v>342</v>
      </c>
      <c r="P338" s="93"/>
      <c r="Q338" s="84">
        <f>IF(DATA[[#This Row],[Column1]]="Normal", 13 * DATA[[#This Row],[STORAGE DAYS]], 20 * DATA[[#This Row],[STORAGE DAYS]])</f>
        <v>1980</v>
      </c>
      <c r="R338" s="84">
        <f>DATA[[#This Row],[COLDROOM FEE]]-DATA[[#This Row],[STORAGE FEE]]</f>
        <v>-1980</v>
      </c>
      <c r="S338" s="149" t="str">
        <f>IF(ISBLANK(DATA[[#This Row],[COLDROOM RECEIPT]]), "IN CUSTODY", "DISCHARGED")</f>
        <v>IN CUSTODY</v>
      </c>
      <c r="T338" s="150">
        <f t="shared" si="6"/>
        <v>349</v>
      </c>
      <c r="U338" s="151">
        <v>2026</v>
      </c>
      <c r="V338" s="152" t="s">
        <v>1873</v>
      </c>
      <c r="W338" s="151">
        <v>1900</v>
      </c>
      <c r="X338" s="152" t="s">
        <v>1874</v>
      </c>
    </row>
    <row r="339" spans="1:24" s="153" customFormat="1" ht="16.5" hidden="1" customHeight="1" x14ac:dyDescent="0.25">
      <c r="A339" s="77" t="s">
        <v>1890</v>
      </c>
      <c r="B339" s="78" t="s">
        <v>1891</v>
      </c>
      <c r="C339" s="78">
        <v>46</v>
      </c>
      <c r="D339" s="79" t="s">
        <v>4</v>
      </c>
      <c r="E339" s="79" t="s">
        <v>1892</v>
      </c>
      <c r="F339" s="80">
        <v>247239374</v>
      </c>
      <c r="G339" s="79" t="s">
        <v>27</v>
      </c>
      <c r="H339" s="81">
        <v>0.69097222222222221</v>
      </c>
      <c r="I339" s="79" t="s">
        <v>10</v>
      </c>
      <c r="J339" s="82">
        <v>46143</v>
      </c>
      <c r="K339" s="82"/>
      <c r="L339" s="78" t="str">
        <f>IF(ISBLANK(DATA[[#This Row],[DISCHARGE DATE]]), "NO DATE", DATA[[#This Row],[DISCHARGE DATE]]-DATA[[#This Row],[ADMISSION DATE]]+1)</f>
        <v>NO DATE</v>
      </c>
      <c r="M339" s="83">
        <v>350</v>
      </c>
      <c r="N339" s="83"/>
      <c r="O339" s="93">
        <v>343</v>
      </c>
      <c r="P339" s="93"/>
      <c r="Q339" s="84" t="e">
        <f>IF(DATA[[#This Row],[Column1]]="Normal", 13 * DATA[[#This Row],[STORAGE DAYS]], 20 * DATA[[#This Row],[STORAGE DAYS]])</f>
        <v>#VALUE!</v>
      </c>
      <c r="R339" s="84" t="e">
        <f>DATA[[#This Row],[COLDROOM FEE]]-DATA[[#This Row],[STORAGE FEE]]</f>
        <v>#VALUE!</v>
      </c>
      <c r="S339" s="149" t="str">
        <f>IF(ISBLANK(DATA[[#This Row],[COLDROOM RECEIPT]]), "IN CUSTODY", "DISCHARGED")</f>
        <v>IN CUSTODY</v>
      </c>
      <c r="T339" s="36">
        <f t="shared" si="6"/>
        <v>349</v>
      </c>
      <c r="U339" s="112">
        <v>2026</v>
      </c>
      <c r="V339" s="112" t="s">
        <v>1913</v>
      </c>
      <c r="W339" s="112">
        <v>1900</v>
      </c>
      <c r="X339" s="112" t="s">
        <v>1874</v>
      </c>
    </row>
    <row r="340" spans="1:24" s="153" customFormat="1" ht="16.5" hidden="1" customHeight="1" x14ac:dyDescent="0.25">
      <c r="A340" s="77" t="s">
        <v>1889</v>
      </c>
      <c r="B340" s="78" t="s">
        <v>1893</v>
      </c>
      <c r="C340" s="78">
        <v>42</v>
      </c>
      <c r="D340" s="79" t="s">
        <v>4</v>
      </c>
      <c r="E340" s="79" t="s">
        <v>1894</v>
      </c>
      <c r="F340" s="80">
        <v>541500105</v>
      </c>
      <c r="G340" s="79" t="s">
        <v>25</v>
      </c>
      <c r="H340" s="81">
        <v>0.9375</v>
      </c>
      <c r="I340" s="79" t="s">
        <v>10</v>
      </c>
      <c r="J340" s="82">
        <v>46144</v>
      </c>
      <c r="K340" s="82">
        <v>46199</v>
      </c>
      <c r="L340" s="78">
        <f>IF(ISBLANK(DATA[[#This Row],[DISCHARGE DATE]]), "NO DATE", DATA[[#This Row],[DISCHARGE DATE]]-DATA[[#This Row],[ADMISSION DATE]]+1)</f>
        <v>56</v>
      </c>
      <c r="M340" s="83">
        <v>350</v>
      </c>
      <c r="N340" s="83"/>
      <c r="O340" s="93">
        <v>344</v>
      </c>
      <c r="P340" s="93"/>
      <c r="Q340" s="84">
        <f>IF(DATA[[#This Row],[Column1]]="Normal", 13 * DATA[[#This Row],[STORAGE DAYS]], 20 * DATA[[#This Row],[STORAGE DAYS]])</f>
        <v>728</v>
      </c>
      <c r="R340" s="84">
        <f>DATA[[#This Row],[COLDROOM FEE]]-DATA[[#This Row],[STORAGE FEE]]</f>
        <v>-728</v>
      </c>
      <c r="S340" s="149" t="str">
        <f>IF(ISBLANK(DATA[[#This Row],[COLDROOM RECEIPT]]), "IN CUSTODY", "DISCHARGED")</f>
        <v>IN CUSTODY</v>
      </c>
      <c r="T340" s="36">
        <f t="shared" si="6"/>
        <v>349</v>
      </c>
      <c r="U340" s="112">
        <v>2026</v>
      </c>
      <c r="V340" s="112" t="s">
        <v>1913</v>
      </c>
      <c r="W340" s="112">
        <v>1900</v>
      </c>
      <c r="X340" s="112" t="s">
        <v>1874</v>
      </c>
    </row>
    <row r="341" spans="1:24" s="153" customFormat="1" ht="16.5" hidden="1" customHeight="1" x14ac:dyDescent="0.25">
      <c r="A341" s="77" t="s">
        <v>1895</v>
      </c>
      <c r="B341" s="78" t="s">
        <v>1896</v>
      </c>
      <c r="C341" s="78">
        <v>62</v>
      </c>
      <c r="D341" s="79" t="s">
        <v>5</v>
      </c>
      <c r="E341" s="79" t="s">
        <v>209</v>
      </c>
      <c r="F341" s="80">
        <v>592684635</v>
      </c>
      <c r="G341" s="79" t="s">
        <v>26</v>
      </c>
      <c r="H341" s="81">
        <v>0.875</v>
      </c>
      <c r="I341" s="79" t="s">
        <v>10</v>
      </c>
      <c r="J341" s="82">
        <v>46144</v>
      </c>
      <c r="K341" s="82"/>
      <c r="L341" s="78" t="str">
        <f>IF(ISBLANK(DATA[[#This Row],[DISCHARGE DATE]]), "NO DATE", DATA[[#This Row],[DISCHARGE DATE]]-DATA[[#This Row],[ADMISSION DATE]]+1)</f>
        <v>NO DATE</v>
      </c>
      <c r="M341" s="83">
        <v>350</v>
      </c>
      <c r="N341" s="83"/>
      <c r="O341" s="93">
        <v>345</v>
      </c>
      <c r="P341" s="93"/>
      <c r="Q341" s="84" t="e">
        <f>IF(DATA[[#This Row],[Column1]]="Normal", 13 * DATA[[#This Row],[STORAGE DAYS]], 20 * DATA[[#This Row],[STORAGE DAYS]])</f>
        <v>#VALUE!</v>
      </c>
      <c r="R341" s="84" t="e">
        <f>DATA[[#This Row],[COLDROOM FEE]]-DATA[[#This Row],[STORAGE FEE]]</f>
        <v>#VALUE!</v>
      </c>
      <c r="S341" s="149" t="str">
        <f>IF(ISBLANK(DATA[[#This Row],[COLDROOM RECEIPT]]), "IN CUSTODY", "DISCHARGED")</f>
        <v>IN CUSTODY</v>
      </c>
      <c r="T341" s="36">
        <f t="shared" si="6"/>
        <v>349</v>
      </c>
      <c r="U341" s="112">
        <v>2026</v>
      </c>
      <c r="V341" s="112" t="s">
        <v>1913</v>
      </c>
      <c r="W341" s="112">
        <v>1900</v>
      </c>
      <c r="X341" s="112" t="s">
        <v>1874</v>
      </c>
    </row>
    <row r="342" spans="1:24" s="153" customFormat="1" ht="16.5" hidden="1" customHeight="1" x14ac:dyDescent="0.25">
      <c r="A342" s="77" t="s">
        <v>1897</v>
      </c>
      <c r="B342" s="78" t="s">
        <v>1901</v>
      </c>
      <c r="C342" s="78">
        <v>83</v>
      </c>
      <c r="D342" s="79" t="s">
        <v>4</v>
      </c>
      <c r="E342" s="79" t="s">
        <v>1902</v>
      </c>
      <c r="F342" s="80">
        <v>503472718</v>
      </c>
      <c r="G342" s="79" t="s">
        <v>25</v>
      </c>
      <c r="H342" s="81">
        <v>0.29166666666666669</v>
      </c>
      <c r="I342" s="79" t="s">
        <v>12</v>
      </c>
      <c r="J342" s="82">
        <v>46147</v>
      </c>
      <c r="K342" s="82"/>
      <c r="L342" s="78"/>
      <c r="M342" s="83"/>
      <c r="N342" s="83"/>
      <c r="O342" s="93"/>
      <c r="P342" s="93"/>
      <c r="Q342" s="84">
        <f>IF(DATA[[#This Row],[Column1]]="Normal", 13 * DATA[[#This Row],[STORAGE DAYS]], 20 * DATA[[#This Row],[STORAGE DAYS]])</f>
        <v>0</v>
      </c>
      <c r="R342" s="84">
        <f>DATA[[#This Row],[COLDROOM FEE]]-DATA[[#This Row],[STORAGE FEE]]</f>
        <v>0</v>
      </c>
      <c r="S342" s="149" t="str">
        <f>IF(ISBLANK(DATA[[#This Row],[COLDROOM RECEIPT]]), "IN CUSTODY", "DISCHARGED")</f>
        <v>IN CUSTODY</v>
      </c>
      <c r="T342" s="36">
        <f t="shared" si="6"/>
        <v>349</v>
      </c>
      <c r="U342" s="112">
        <v>2026</v>
      </c>
      <c r="V342" s="112" t="s">
        <v>1913</v>
      </c>
      <c r="W342" s="112">
        <v>1900</v>
      </c>
      <c r="X342" s="112" t="s">
        <v>1874</v>
      </c>
    </row>
    <row r="343" spans="1:24" s="153" customFormat="1" ht="16.5" hidden="1" customHeight="1" x14ac:dyDescent="0.25">
      <c r="A343" s="77" t="s">
        <v>1900</v>
      </c>
      <c r="B343" s="78" t="s">
        <v>1898</v>
      </c>
      <c r="C343" s="78">
        <v>80</v>
      </c>
      <c r="D343" s="79" t="s">
        <v>4</v>
      </c>
      <c r="E343" s="79" t="s">
        <v>1899</v>
      </c>
      <c r="F343" s="80">
        <v>557797063</v>
      </c>
      <c r="G343" s="79" t="s">
        <v>27</v>
      </c>
      <c r="H343" s="81">
        <v>0.72916666666666663</v>
      </c>
      <c r="I343" s="79" t="s">
        <v>12</v>
      </c>
      <c r="J343" s="82">
        <v>46146</v>
      </c>
      <c r="K343" s="82">
        <v>46325</v>
      </c>
      <c r="L343" s="78">
        <f>IF(ISBLANK(DATA[[#This Row],[DISCHARGE DATE]]), "NO DATE", DATA[[#This Row],[DISCHARGE DATE]]-DATA[[#This Row],[ADMISSION DATE]]+1)</f>
        <v>180</v>
      </c>
      <c r="M343" s="83">
        <v>350</v>
      </c>
      <c r="N343" s="83"/>
      <c r="O343" s="93"/>
      <c r="P343" s="93"/>
      <c r="Q343" s="84">
        <f>IF(DATA[[#This Row],[Column1]]="Normal", 13 * DATA[[#This Row],[STORAGE DAYS]], 20 * DATA[[#This Row],[STORAGE DAYS]])</f>
        <v>3600</v>
      </c>
      <c r="R343" s="84">
        <f>DATA[[#This Row],[COLDROOM FEE]]-DATA[[#This Row],[STORAGE FEE]]</f>
        <v>-3600</v>
      </c>
      <c r="S343" s="149" t="str">
        <f>IF(ISBLANK(DATA[[#This Row],[COLDROOM RECEIPT]]), "IN CUSTODY", "DISCHARGED")</f>
        <v>IN CUSTODY</v>
      </c>
      <c r="T343" s="36">
        <f t="shared" si="6"/>
        <v>349</v>
      </c>
      <c r="U343" s="112">
        <v>2026</v>
      </c>
      <c r="V343" s="112" t="s">
        <v>1913</v>
      </c>
      <c r="W343" s="112">
        <v>2026</v>
      </c>
      <c r="X343" s="112" t="s">
        <v>1917</v>
      </c>
    </row>
    <row r="344" spans="1:24" s="153" customFormat="1" ht="16.5" hidden="1" customHeight="1" x14ac:dyDescent="0.25">
      <c r="A344" s="77" t="s">
        <v>1903</v>
      </c>
      <c r="B344" s="78" t="s">
        <v>1904</v>
      </c>
      <c r="C344" s="78">
        <v>95</v>
      </c>
      <c r="D344" s="79" t="s">
        <v>4</v>
      </c>
      <c r="E344" s="79" t="s">
        <v>1905</v>
      </c>
      <c r="F344" s="80">
        <v>243035633</v>
      </c>
      <c r="G344" s="79" t="s">
        <v>27</v>
      </c>
      <c r="H344" s="81">
        <v>0.64652777777777781</v>
      </c>
      <c r="I344" s="79" t="s">
        <v>10</v>
      </c>
      <c r="J344" s="82">
        <v>46151</v>
      </c>
      <c r="K344" s="82"/>
      <c r="L344" s="78"/>
      <c r="M344" s="83"/>
      <c r="N344" s="83"/>
      <c r="O344" s="93"/>
      <c r="P344" s="93"/>
      <c r="Q344" s="84">
        <f>IF(DATA[[#This Row],[Column1]]="Normal", 13 * DATA[[#This Row],[STORAGE DAYS]], 20 * DATA[[#This Row],[STORAGE DAYS]])</f>
        <v>0</v>
      </c>
      <c r="R344" s="84">
        <f>DATA[[#This Row],[COLDROOM FEE]]-DATA[[#This Row],[STORAGE FEE]]</f>
        <v>0</v>
      </c>
      <c r="S344" s="149" t="str">
        <f>IF(ISBLANK(DATA[[#This Row],[COLDROOM RECEIPT]]), "IN CUSTODY", "DISCHARGED")</f>
        <v>IN CUSTODY</v>
      </c>
      <c r="T344" s="36">
        <f t="shared" si="6"/>
        <v>349</v>
      </c>
      <c r="U344" s="112">
        <v>2026</v>
      </c>
      <c r="V344" s="112" t="s">
        <v>1913</v>
      </c>
      <c r="W344" s="112">
        <v>1900</v>
      </c>
      <c r="X344" s="112" t="s">
        <v>1874</v>
      </c>
    </row>
    <row r="345" spans="1:24" s="153" customFormat="1" ht="16.5" hidden="1" customHeight="1" x14ac:dyDescent="0.25">
      <c r="A345" s="77" t="s">
        <v>1906</v>
      </c>
      <c r="B345" s="78" t="s">
        <v>1907</v>
      </c>
      <c r="C345" s="78">
        <v>54</v>
      </c>
      <c r="D345" s="79" t="s">
        <v>4</v>
      </c>
      <c r="E345" s="79" t="s">
        <v>536</v>
      </c>
      <c r="F345" s="80">
        <v>530694499</v>
      </c>
      <c r="G345" s="79" t="s">
        <v>26</v>
      </c>
      <c r="H345" s="81">
        <v>0.6479166666666667</v>
      </c>
      <c r="I345" s="79" t="s">
        <v>12</v>
      </c>
      <c r="J345" s="82">
        <v>46151</v>
      </c>
      <c r="K345" s="82"/>
      <c r="L345" s="78"/>
      <c r="M345" s="83"/>
      <c r="N345" s="83"/>
      <c r="O345" s="93"/>
      <c r="P345" s="93"/>
      <c r="Q345" s="84">
        <f>IF(DATA[[#This Row],[Column1]]="Normal", 13 * DATA[[#This Row],[STORAGE DAYS]], 20 * DATA[[#This Row],[STORAGE DAYS]])</f>
        <v>0</v>
      </c>
      <c r="R345" s="84">
        <f>DATA[[#This Row],[COLDROOM FEE]]-DATA[[#This Row],[STORAGE FEE]]</f>
        <v>0</v>
      </c>
      <c r="S345" s="149" t="str">
        <f>IF(ISBLANK(DATA[[#This Row],[COLDROOM RECEIPT]]), "IN CUSTODY", "DISCHARGED")</f>
        <v>IN CUSTODY</v>
      </c>
      <c r="T345" s="36">
        <f t="shared" si="6"/>
        <v>349</v>
      </c>
      <c r="U345" s="112">
        <v>2026</v>
      </c>
      <c r="V345" s="112" t="s">
        <v>1913</v>
      </c>
      <c r="W345" s="112">
        <v>1900</v>
      </c>
      <c r="X345" s="112" t="s">
        <v>1874</v>
      </c>
    </row>
    <row r="346" spans="1:24" s="153" customFormat="1" ht="16.5" hidden="1" customHeight="1" x14ac:dyDescent="0.25">
      <c r="A346" s="77" t="s">
        <v>1918</v>
      </c>
      <c r="B346" s="78" t="s">
        <v>1919</v>
      </c>
      <c r="C346" s="78">
        <v>84</v>
      </c>
      <c r="D346" s="79" t="s">
        <v>4</v>
      </c>
      <c r="E346" s="79" t="s">
        <v>1920</v>
      </c>
      <c r="F346" s="80">
        <v>591492663</v>
      </c>
      <c r="G346" s="79" t="s">
        <v>25</v>
      </c>
      <c r="H346" s="81">
        <v>0.49513888888888891</v>
      </c>
      <c r="I346" s="79" t="s">
        <v>10</v>
      </c>
      <c r="J346" s="82">
        <v>46155</v>
      </c>
      <c r="K346" s="82"/>
      <c r="L346" s="78"/>
      <c r="M346" s="83"/>
      <c r="N346" s="83"/>
      <c r="O346" s="93"/>
      <c r="P346" s="93"/>
      <c r="Q346" s="84">
        <f>IF(DATA[[#This Row],[Column1]]="Normal", 13 * DATA[[#This Row],[STORAGE DAYS]], 20 * DATA[[#This Row],[STORAGE DAYS]])</f>
        <v>0</v>
      </c>
      <c r="R346" s="84">
        <f>DATA[[#This Row],[COLDROOM FEE]]-DATA[[#This Row],[STORAGE FEE]]</f>
        <v>0</v>
      </c>
      <c r="S346" s="149" t="str">
        <f>IF(ISBLANK(DATA[[#This Row],[COLDROOM RECEIPT]]), "IN CUSTODY", "DISCHARGED")</f>
        <v>IN CUSTODY</v>
      </c>
      <c r="T346" s="36">
        <f t="shared" si="6"/>
        <v>349</v>
      </c>
      <c r="U346" s="112"/>
      <c r="V346" s="112"/>
      <c r="W346" s="112"/>
      <c r="X346" s="112"/>
    </row>
    <row r="347" spans="1:24" s="153" customFormat="1" ht="16.5" hidden="1" customHeight="1" x14ac:dyDescent="0.25">
      <c r="A347" s="77" t="s">
        <v>1921</v>
      </c>
      <c r="B347" s="78" t="s">
        <v>1923</v>
      </c>
      <c r="C347" s="78">
        <v>70</v>
      </c>
      <c r="D347" s="79" t="s">
        <v>5</v>
      </c>
      <c r="E347" s="79" t="s">
        <v>1924</v>
      </c>
      <c r="F347" s="80">
        <v>533486141</v>
      </c>
      <c r="G347" s="79" t="s">
        <v>26</v>
      </c>
      <c r="H347" s="81">
        <v>0.79166666666666663</v>
      </c>
      <c r="I347" s="79" t="s">
        <v>10</v>
      </c>
      <c r="J347" s="82">
        <v>46155</v>
      </c>
      <c r="K347" s="82"/>
      <c r="L347" s="78"/>
      <c r="M347" s="83"/>
      <c r="N347" s="83"/>
      <c r="O347" s="93"/>
      <c r="P347" s="93"/>
      <c r="Q347" s="84">
        <f>IF(DATA[[#This Row],[Column1]]="Normal", 13 * DATA[[#This Row],[STORAGE DAYS]], 20 * DATA[[#This Row],[STORAGE DAYS]])</f>
        <v>0</v>
      </c>
      <c r="R347" s="84">
        <f>DATA[[#This Row],[COLDROOM FEE]]-DATA[[#This Row],[STORAGE FEE]]</f>
        <v>0</v>
      </c>
      <c r="S347" s="149" t="str">
        <f>IF(ISBLANK(DATA[[#This Row],[COLDROOM RECEIPT]]), "IN CUSTODY", "DISCHARGED")</f>
        <v>IN CUSTODY</v>
      </c>
      <c r="T347" s="36">
        <f t="shared" si="6"/>
        <v>349</v>
      </c>
      <c r="U347" s="112"/>
      <c r="V347" s="112"/>
      <c r="W347" s="112"/>
      <c r="X347" s="112"/>
    </row>
    <row r="348" spans="1:24" s="153" customFormat="1" ht="16.5" hidden="1" customHeight="1" x14ac:dyDescent="0.25">
      <c r="A348" s="77" t="s">
        <v>1925</v>
      </c>
      <c r="B348" s="78" t="s">
        <v>1926</v>
      </c>
      <c r="C348" s="78">
        <v>57</v>
      </c>
      <c r="D348" s="79" t="s">
        <v>4</v>
      </c>
      <c r="E348" s="79" t="s">
        <v>1827</v>
      </c>
      <c r="F348" s="80">
        <v>242019918</v>
      </c>
      <c r="G348" s="79" t="s">
        <v>24</v>
      </c>
      <c r="H348" s="81">
        <v>0.4375</v>
      </c>
      <c r="I348" s="79" t="s">
        <v>10</v>
      </c>
      <c r="J348" s="82">
        <v>46160</v>
      </c>
      <c r="K348" s="82"/>
      <c r="L348" s="78"/>
      <c r="M348" s="83"/>
      <c r="N348" s="83"/>
      <c r="O348" s="93"/>
      <c r="P348" s="93"/>
      <c r="Q348" s="84">
        <f>IF(DATA[[#This Row],[Column1]]="Normal", 13 * DATA[[#This Row],[STORAGE DAYS]], 20 * DATA[[#This Row],[STORAGE DAYS]])</f>
        <v>0</v>
      </c>
      <c r="R348" s="84">
        <f>DATA[[#This Row],[COLDROOM FEE]]-DATA[[#This Row],[STORAGE FEE]]</f>
        <v>0</v>
      </c>
      <c r="S348" s="149" t="str">
        <f>IF(ISBLANK(DATA[[#This Row],[COLDROOM RECEIPT]]), "IN CUSTODY", "DISCHARGED")</f>
        <v>IN CUSTODY</v>
      </c>
      <c r="T348" s="36">
        <f t="shared" si="6"/>
        <v>349</v>
      </c>
      <c r="U348" s="112"/>
      <c r="V348" s="112"/>
      <c r="W348" s="112"/>
      <c r="X348" s="112"/>
    </row>
    <row r="349" spans="1:24" s="153" customFormat="1" ht="16.5" hidden="1" customHeight="1" x14ac:dyDescent="0.25">
      <c r="A349" s="77" t="s">
        <v>1928</v>
      </c>
      <c r="B349" s="78" t="s">
        <v>1929</v>
      </c>
      <c r="C349" s="78">
        <v>75</v>
      </c>
      <c r="D349" s="79" t="s">
        <v>5</v>
      </c>
      <c r="E349" s="79" t="s">
        <v>1930</v>
      </c>
      <c r="F349" s="80">
        <v>248112601</v>
      </c>
      <c r="G349" s="79" t="s">
        <v>27</v>
      </c>
      <c r="H349" s="81">
        <v>0.83333333333333337</v>
      </c>
      <c r="I349" s="79" t="s">
        <v>10</v>
      </c>
      <c r="J349" s="82">
        <v>46160</v>
      </c>
      <c r="K349" s="82"/>
      <c r="L349" s="78"/>
      <c r="M349" s="83"/>
      <c r="N349" s="83"/>
      <c r="O349" s="93"/>
      <c r="P349" s="93"/>
      <c r="Q349" s="84">
        <f>IF(DATA[[#This Row],[Column1]]="Normal", 13 * DATA[[#This Row],[STORAGE DAYS]], 20 * DATA[[#This Row],[STORAGE DAYS]])</f>
        <v>0</v>
      </c>
      <c r="R349" s="84">
        <f>DATA[[#This Row],[COLDROOM FEE]]-DATA[[#This Row],[STORAGE FEE]]</f>
        <v>0</v>
      </c>
      <c r="S349" s="149" t="str">
        <f>IF(ISBLANK(DATA[[#This Row],[COLDROOM RECEIPT]]), "IN CUSTODY", "DISCHARGED")</f>
        <v>IN CUSTODY</v>
      </c>
      <c r="T349" s="36">
        <f t="shared" si="6"/>
        <v>349</v>
      </c>
      <c r="U349" s="112"/>
      <c r="V349" s="112"/>
      <c r="W349" s="112"/>
      <c r="X349" s="112"/>
    </row>
    <row r="350" spans="1:24" s="153" customFormat="1" ht="16.5" hidden="1" customHeight="1" x14ac:dyDescent="0.25">
      <c r="A350" s="77" t="s">
        <v>1931</v>
      </c>
      <c r="B350" s="78" t="s">
        <v>1932</v>
      </c>
      <c r="C350" s="78">
        <v>38</v>
      </c>
      <c r="D350" s="79" t="s">
        <v>5</v>
      </c>
      <c r="E350" s="79" t="s">
        <v>1933</v>
      </c>
      <c r="F350" s="80">
        <v>243089765</v>
      </c>
      <c r="G350" s="79" t="s">
        <v>25</v>
      </c>
      <c r="H350" s="81">
        <v>0.91666666666666663</v>
      </c>
      <c r="I350" s="79" t="s">
        <v>10</v>
      </c>
      <c r="J350" s="82">
        <v>46162</v>
      </c>
      <c r="K350" s="82"/>
      <c r="L350" s="78"/>
      <c r="M350" s="83"/>
      <c r="N350" s="83"/>
      <c r="O350" s="93"/>
      <c r="P350" s="93"/>
      <c r="Q350" s="84">
        <f>IF(DATA[[#This Row],[Column1]]="Normal", 13 * DATA[[#This Row],[STORAGE DAYS]], 20 * DATA[[#This Row],[STORAGE DAYS]])</f>
        <v>0</v>
      </c>
      <c r="R350" s="84">
        <f>DATA[[#This Row],[COLDROOM FEE]]-DATA[[#This Row],[STORAGE FEE]]</f>
        <v>0</v>
      </c>
      <c r="S350" s="149" t="str">
        <f>IF(ISBLANK(DATA[[#This Row],[COLDROOM RECEIPT]]), "IN CUSTODY", "DISCHARGED")</f>
        <v>IN CUSTODY</v>
      </c>
      <c r="T350" s="36">
        <f t="shared" si="6"/>
        <v>349</v>
      </c>
      <c r="U350" s="112"/>
      <c r="V350" s="112"/>
      <c r="W350" s="112"/>
      <c r="X350" s="112"/>
    </row>
    <row r="351" spans="1:24" s="37" customFormat="1" ht="16.5" customHeight="1" x14ac:dyDescent="0.25">
      <c r="A351" s="61" t="s">
        <v>831</v>
      </c>
      <c r="B351" s="86"/>
      <c r="C351" s="171"/>
      <c r="D351" s="88"/>
      <c r="E351" s="89"/>
      <c r="F351" s="89"/>
      <c r="G351" s="89"/>
      <c r="H351" s="90"/>
      <c r="I351" s="89"/>
      <c r="J351" s="91"/>
      <c r="K351" s="91"/>
      <c r="L351"/>
      <c r="M351" s="83">
        <f>SUBTOTAL(109,DATA[EMBALMING FEE])</f>
        <v>4200</v>
      </c>
      <c r="N351" s="83">
        <f>SUBTOTAL(109,DATA[COLDROOM FEE])</f>
        <v>19280</v>
      </c>
      <c r="O351" s="94"/>
      <c r="P351" s="94"/>
      <c r="Q351" s="11">
        <f>SUBTOTAL(109,DATA[STORAGE FEE])</f>
        <v>24210</v>
      </c>
      <c r="R351" s="24">
        <f>SUBTOTAL(109,DATA[DIFFERENCE])</f>
        <v>-4930</v>
      </c>
      <c r="S351" s="33"/>
      <c r="T351" s="33"/>
      <c r="U351" s="33"/>
      <c r="V351" s="33"/>
      <c r="W351" s="33"/>
      <c r="X351" s="33"/>
    </row>
    <row r="352" spans="1:24" s="37" customFormat="1" ht="16.5" customHeight="1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Q352" s="34"/>
      <c r="R352" s="45"/>
      <c r="S352" s="40"/>
      <c r="V352" s="109"/>
      <c r="X352" s="109"/>
    </row>
    <row r="353" spans="1:24" s="37" customFormat="1" ht="16.5" customHeight="1" x14ac:dyDescent="0.25">
      <c r="A353" s="43"/>
      <c r="B353" s="34"/>
      <c r="C353" s="42"/>
      <c r="D353" s="38"/>
      <c r="E353" s="115"/>
      <c r="F353" s="43"/>
      <c r="G353" s="43"/>
      <c r="I353" s="38"/>
      <c r="J353" s="44"/>
      <c r="K353" s="44"/>
      <c r="L353" s="46"/>
      <c r="M353" s="45"/>
      <c r="N353" s="47"/>
      <c r="Q353" s="34"/>
      <c r="R353" s="45"/>
      <c r="S353" s="40"/>
      <c r="V353" s="109"/>
      <c r="X353" s="109"/>
    </row>
    <row r="354" spans="1:24" s="37" customFormat="1" ht="16.5" customHeight="1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Q354" s="34"/>
      <c r="R354" s="45"/>
      <c r="S354" s="40"/>
      <c r="V354" s="109"/>
      <c r="X354" s="109"/>
    </row>
    <row r="355" spans="1:24" s="37" customFormat="1" ht="16.5" customHeight="1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O355" s="47"/>
      <c r="Q355" s="34"/>
      <c r="R355" s="45"/>
      <c r="S355" s="40"/>
      <c r="V355" s="109"/>
      <c r="X355" s="109"/>
    </row>
    <row r="356" spans="1:24" s="37" customFormat="1" ht="16.5" customHeight="1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09"/>
      <c r="X356" s="109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O357" s="48"/>
      <c r="P357" s="48"/>
      <c r="Q357" s="34"/>
      <c r="R357" s="45"/>
      <c r="S357" s="40"/>
      <c r="V357" s="109"/>
      <c r="X357" s="109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O358" s="48"/>
      <c r="P358" s="48"/>
      <c r="Q358" s="34"/>
      <c r="R358" s="45"/>
      <c r="S358" s="40"/>
      <c r="V358" s="109"/>
      <c r="X358" s="109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09"/>
      <c r="X359" s="109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09"/>
      <c r="X360" s="109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09"/>
      <c r="X361" s="109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ht="14.25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Q374" s="34"/>
      <c r="R374" s="45"/>
      <c r="S374" s="40"/>
      <c r="V374" s="110"/>
      <c r="X374" s="110"/>
    </row>
    <row r="375" spans="1:24" s="37" customFormat="1" ht="14.25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Q375" s="34"/>
      <c r="R375" s="45"/>
      <c r="S375" s="40"/>
      <c r="V375" s="110"/>
      <c r="X375" s="110"/>
    </row>
    <row r="376" spans="1:24" s="37" customFormat="1" ht="14.25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Q376" s="34"/>
      <c r="R376" s="45"/>
      <c r="S376" s="40"/>
      <c r="V376" s="110"/>
      <c r="X376" s="110"/>
    </row>
    <row r="377" spans="1:24" s="37" customFormat="1" ht="14.25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Q377" s="34"/>
      <c r="R377" s="45"/>
      <c r="S377" s="40"/>
      <c r="V377" s="110"/>
      <c r="X377" s="110"/>
    </row>
    <row r="378" spans="1:24" s="37" customFormat="1" ht="14.25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Q378" s="34"/>
      <c r="R378" s="45"/>
      <c r="S378" s="40"/>
      <c r="V378" s="110"/>
      <c r="X378" s="110"/>
    </row>
    <row r="379" spans="1:24" s="37" customFormat="1" ht="14.25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Q379" s="34"/>
      <c r="R379" s="45"/>
      <c r="S379" s="40"/>
      <c r="V379" s="110"/>
      <c r="X379" s="110"/>
    </row>
    <row r="380" spans="1:24" s="37" customFormat="1" ht="14.25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Q380" s="34"/>
      <c r="R380" s="45"/>
      <c r="S380" s="40"/>
      <c r="V380" s="110"/>
      <c r="X380" s="110"/>
    </row>
    <row r="381" spans="1:24" s="37" customFormat="1" ht="14.25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Q381" s="34"/>
      <c r="R381" s="45"/>
      <c r="S381" s="40"/>
      <c r="V381" s="110"/>
      <c r="X381" s="110"/>
    </row>
    <row r="382" spans="1:24" s="37" customFormat="1" ht="14.25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Q382" s="34"/>
      <c r="R382" s="45"/>
      <c r="S382" s="40"/>
      <c r="V382" s="110"/>
      <c r="X382" s="110"/>
    </row>
    <row r="383" spans="1:24" s="37" customFormat="1" ht="14.25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Q383" s="34"/>
      <c r="R383" s="45"/>
      <c r="S383" s="40"/>
      <c r="V383" s="110"/>
      <c r="X383" s="110"/>
    </row>
    <row r="384" spans="1:24" s="37" customFormat="1" ht="14.25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Q384" s="34"/>
      <c r="R384" s="45"/>
      <c r="S384" s="40"/>
      <c r="V384" s="110"/>
      <c r="X384" s="110"/>
    </row>
    <row r="385" spans="1:24" s="37" customFormat="1" ht="14.25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s="37" customFormat="1" x14ac:dyDescent="0.25">
      <c r="A1490" s="43"/>
      <c r="B1490" s="34"/>
      <c r="C1490" s="42"/>
      <c r="D1490" s="38"/>
      <c r="E1490" s="43"/>
      <c r="F1490" s="43"/>
      <c r="G1490" s="43"/>
      <c r="I1490" s="38"/>
      <c r="J1490" s="44"/>
      <c r="K1490" s="44"/>
      <c r="L1490" s="46"/>
      <c r="M1490" s="45"/>
      <c r="N1490" s="47"/>
      <c r="O1490" s="49"/>
      <c r="P1490" s="50"/>
      <c r="Q1490" s="34"/>
      <c r="R1490" s="45"/>
      <c r="S1490" s="40"/>
      <c r="V1490" s="110"/>
      <c r="X1490" s="110"/>
    </row>
    <row r="1491" spans="1:24" s="37" customFormat="1" x14ac:dyDescent="0.25">
      <c r="A1491" s="43"/>
      <c r="B1491" s="34"/>
      <c r="C1491" s="42"/>
      <c r="D1491" s="38"/>
      <c r="E1491" s="43"/>
      <c r="F1491" s="43"/>
      <c r="G1491" s="43"/>
      <c r="I1491" s="38"/>
      <c r="J1491" s="44"/>
      <c r="K1491" s="44"/>
      <c r="L1491" s="46"/>
      <c r="M1491" s="45"/>
      <c r="N1491" s="47"/>
      <c r="O1491" s="49"/>
      <c r="P1491" s="50"/>
      <c r="Q1491" s="34"/>
      <c r="R1491" s="45"/>
      <c r="S1491" s="40"/>
      <c r="V1491" s="110"/>
      <c r="X1491" s="110"/>
    </row>
    <row r="1492" spans="1:24" s="37" customFormat="1" x14ac:dyDescent="0.25">
      <c r="A1492" s="43"/>
      <c r="B1492" s="34"/>
      <c r="C1492" s="42"/>
      <c r="D1492" s="38"/>
      <c r="E1492" s="43"/>
      <c r="F1492" s="43"/>
      <c r="G1492" s="43"/>
      <c r="I1492" s="38"/>
      <c r="J1492" s="44"/>
      <c r="K1492" s="44"/>
      <c r="L1492" s="46"/>
      <c r="M1492" s="45"/>
      <c r="N1492" s="47"/>
      <c r="O1492" s="49"/>
      <c r="P1492" s="50"/>
      <c r="Q1492" s="34"/>
      <c r="R1492" s="45"/>
      <c r="S1492" s="40"/>
      <c r="V1492" s="110"/>
      <c r="X1492" s="110"/>
    </row>
    <row r="1493" spans="1:24" s="37" customFormat="1" x14ac:dyDescent="0.25">
      <c r="A1493" s="43"/>
      <c r="B1493" s="34"/>
      <c r="C1493" s="42"/>
      <c r="D1493" s="38"/>
      <c r="E1493" s="43"/>
      <c r="F1493" s="43"/>
      <c r="G1493" s="43"/>
      <c r="I1493" s="38"/>
      <c r="J1493" s="44"/>
      <c r="K1493" s="44"/>
      <c r="L1493" s="46"/>
      <c r="M1493" s="45"/>
      <c r="N1493" s="47"/>
      <c r="O1493" s="49"/>
      <c r="P1493" s="50"/>
      <c r="Q1493" s="34"/>
      <c r="R1493" s="45"/>
      <c r="S1493" s="40"/>
      <c r="V1493" s="110"/>
      <c r="X1493" s="110"/>
    </row>
    <row r="1494" spans="1:24" s="37" customFormat="1" x14ac:dyDescent="0.25">
      <c r="A1494" s="43"/>
      <c r="B1494" s="34"/>
      <c r="C1494" s="42"/>
      <c r="D1494" s="38"/>
      <c r="E1494" s="43"/>
      <c r="F1494" s="43"/>
      <c r="G1494" s="43"/>
      <c r="I1494" s="38"/>
      <c r="J1494" s="44"/>
      <c r="K1494" s="44"/>
      <c r="L1494" s="46"/>
      <c r="M1494" s="45"/>
      <c r="N1494" s="47"/>
      <c r="O1494" s="49"/>
      <c r="P1494" s="50"/>
      <c r="Q1494" s="34"/>
      <c r="R1494" s="45"/>
      <c r="S1494" s="40"/>
      <c r="V1494" s="110"/>
      <c r="X1494" s="110"/>
    </row>
    <row r="1495" spans="1:24" s="37" customFormat="1" x14ac:dyDescent="0.25">
      <c r="A1495" s="43"/>
      <c r="B1495" s="34"/>
      <c r="C1495" s="42"/>
      <c r="D1495" s="38"/>
      <c r="E1495" s="43"/>
      <c r="F1495" s="43"/>
      <c r="G1495" s="43"/>
      <c r="I1495" s="38"/>
      <c r="J1495" s="44"/>
      <c r="K1495" s="44"/>
      <c r="L1495" s="46"/>
      <c r="M1495" s="45"/>
      <c r="N1495" s="47"/>
      <c r="O1495" s="49"/>
      <c r="P1495" s="50"/>
      <c r="Q1495" s="34"/>
      <c r="R1495" s="45"/>
      <c r="S1495" s="40"/>
      <c r="V1495" s="110"/>
      <c r="X1495" s="110"/>
    </row>
    <row r="1496" spans="1:24" s="37" customFormat="1" x14ac:dyDescent="0.25">
      <c r="A1496" s="43"/>
      <c r="B1496" s="34"/>
      <c r="C1496" s="42"/>
      <c r="D1496" s="38"/>
      <c r="E1496" s="43"/>
      <c r="F1496" s="43"/>
      <c r="G1496" s="43"/>
      <c r="I1496" s="38"/>
      <c r="J1496" s="44"/>
      <c r="K1496" s="44"/>
      <c r="L1496" s="46"/>
      <c r="M1496" s="45"/>
      <c r="N1496" s="47"/>
      <c r="O1496" s="49"/>
      <c r="P1496" s="50"/>
      <c r="Q1496" s="34"/>
      <c r="R1496" s="45"/>
      <c r="S1496" s="40"/>
      <c r="V1496" s="110"/>
      <c r="X1496" s="110"/>
    </row>
    <row r="1497" spans="1:24" s="37" customFormat="1" x14ac:dyDescent="0.25">
      <c r="A1497" s="43"/>
      <c r="B1497" s="34"/>
      <c r="C1497" s="42"/>
      <c r="D1497" s="38"/>
      <c r="E1497" s="43"/>
      <c r="F1497" s="43"/>
      <c r="G1497" s="43"/>
      <c r="I1497" s="38"/>
      <c r="J1497" s="44"/>
      <c r="K1497" s="44"/>
      <c r="L1497" s="46"/>
      <c r="M1497" s="45"/>
      <c r="N1497" s="47"/>
      <c r="O1497" s="49"/>
      <c r="P1497" s="50"/>
      <c r="Q1497" s="34"/>
      <c r="R1497" s="45"/>
      <c r="S1497" s="40"/>
      <c r="V1497" s="110"/>
      <c r="X1497" s="110"/>
    </row>
    <row r="1498" spans="1:24" s="37" customFormat="1" x14ac:dyDescent="0.25">
      <c r="A1498" s="43"/>
      <c r="B1498" s="34"/>
      <c r="C1498" s="42"/>
      <c r="D1498" s="38"/>
      <c r="E1498" s="43"/>
      <c r="F1498" s="43"/>
      <c r="G1498" s="43"/>
      <c r="I1498" s="38"/>
      <c r="J1498" s="44"/>
      <c r="K1498" s="44"/>
      <c r="L1498" s="46"/>
      <c r="M1498" s="45"/>
      <c r="N1498" s="47"/>
      <c r="O1498" s="49"/>
      <c r="P1498" s="50"/>
      <c r="Q1498" s="34"/>
      <c r="R1498" s="45"/>
      <c r="S1498" s="40"/>
      <c r="V1498" s="110"/>
      <c r="X1498" s="110"/>
    </row>
    <row r="1499" spans="1:24" s="37" customFormat="1" x14ac:dyDescent="0.25">
      <c r="A1499" s="43"/>
      <c r="B1499" s="34"/>
      <c r="C1499" s="42"/>
      <c r="D1499" s="38"/>
      <c r="E1499" s="43"/>
      <c r="F1499" s="43"/>
      <c r="G1499" s="43"/>
      <c r="I1499" s="38"/>
      <c r="J1499" s="44"/>
      <c r="K1499" s="44"/>
      <c r="L1499" s="46"/>
      <c r="M1499" s="45"/>
      <c r="N1499" s="47"/>
      <c r="O1499" s="49"/>
      <c r="P1499" s="50"/>
      <c r="Q1499" s="34"/>
      <c r="R1499" s="45"/>
      <c r="S1499" s="40"/>
      <c r="V1499" s="110"/>
      <c r="X1499" s="110"/>
    </row>
    <row r="1500" spans="1:24" s="37" customFormat="1" x14ac:dyDescent="0.25">
      <c r="A1500" s="43"/>
      <c r="B1500" s="34"/>
      <c r="C1500" s="42"/>
      <c r="D1500" s="38"/>
      <c r="E1500" s="43"/>
      <c r="F1500" s="43"/>
      <c r="G1500" s="43"/>
      <c r="I1500" s="38"/>
      <c r="J1500" s="44"/>
      <c r="K1500" s="44"/>
      <c r="L1500" s="46"/>
      <c r="M1500" s="45"/>
      <c r="N1500" s="47"/>
      <c r="O1500" s="49"/>
      <c r="P1500" s="50"/>
      <c r="Q1500" s="34"/>
      <c r="R1500" s="45"/>
      <c r="S1500" s="40"/>
      <c r="V1500" s="110"/>
      <c r="X1500" s="110"/>
    </row>
    <row r="1501" spans="1:24" s="37" customFormat="1" x14ac:dyDescent="0.25">
      <c r="A1501" s="43"/>
      <c r="B1501" s="34"/>
      <c r="C1501" s="42"/>
      <c r="D1501" s="38"/>
      <c r="E1501" s="43"/>
      <c r="F1501" s="43"/>
      <c r="G1501" s="43"/>
      <c r="I1501" s="38"/>
      <c r="J1501" s="44"/>
      <c r="K1501" s="44"/>
      <c r="L1501" s="46"/>
      <c r="M1501" s="45"/>
      <c r="N1501" s="47"/>
      <c r="O1501" s="49"/>
      <c r="P1501" s="50"/>
      <c r="Q1501" s="34"/>
      <c r="R1501" s="45"/>
      <c r="S1501" s="40"/>
      <c r="V1501" s="110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T1502" s="37"/>
      <c r="U1502" s="37"/>
      <c r="V1502" s="110"/>
      <c r="W1502" s="37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T1503" s="37"/>
      <c r="U1503" s="37"/>
      <c r="V1503" s="110"/>
      <c r="W1503" s="37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T1504" s="37"/>
      <c r="U1504" s="37"/>
      <c r="V1504" s="110"/>
      <c r="W1504" s="37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T1505" s="37"/>
      <c r="U1505" s="37"/>
      <c r="V1505" s="110"/>
      <c r="W1505" s="37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T1506" s="37"/>
      <c r="U1506" s="37"/>
      <c r="V1506" s="110"/>
      <c r="W1506" s="37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T1507" s="37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S1514" s="40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S1515" s="40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S1516" s="40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S1517" s="40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S1518" s="40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S1519" s="40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S1520" s="40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S1521" s="40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S1522" s="40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S1523" s="40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  <c r="S1524" s="40"/>
      <c r="V1524" s="110"/>
      <c r="X1524" s="110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  <c r="S1525" s="40"/>
      <c r="V1525" s="110"/>
      <c r="X1525" s="110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  <c r="V1526" s="110"/>
      <c r="X1526" s="110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  <c r="V1527" s="110"/>
      <c r="X1527" s="110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  <c r="V1528" s="110"/>
      <c r="X1528" s="110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  <c r="V1529" s="110"/>
      <c r="X1529" s="110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  <c r="V1530" s="110"/>
      <c r="X1530" s="110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  <c r="V1531" s="110"/>
      <c r="X1531" s="110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  <c r="V1532" s="110"/>
      <c r="X1532" s="110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  <c r="V1533" s="110"/>
      <c r="X1533" s="110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  <c r="V1534" s="110"/>
      <c r="X1534" s="110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  <c r="V1535" s="110"/>
      <c r="X1535" s="110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25">
      <c r="A1573" s="43"/>
      <c r="B1573" s="34"/>
      <c r="C1573" s="42"/>
      <c r="D1573" s="38"/>
      <c r="E1573" s="43"/>
      <c r="F1573" s="43"/>
      <c r="G1573" s="43"/>
      <c r="H1573" s="37"/>
      <c r="I1573" s="38"/>
      <c r="L1573" s="46"/>
      <c r="N1573" s="47"/>
      <c r="O1573" s="49"/>
      <c r="Q1573" s="34"/>
      <c r="R1573" s="45"/>
    </row>
    <row r="1574" spans="1:18" x14ac:dyDescent="0.25">
      <c r="A1574" s="43"/>
      <c r="B1574" s="34"/>
      <c r="C1574" s="42"/>
      <c r="D1574" s="38"/>
      <c r="E1574" s="43"/>
      <c r="F1574" s="43"/>
      <c r="G1574" s="43"/>
      <c r="H1574" s="37"/>
      <c r="I1574" s="38"/>
      <c r="L1574" s="46"/>
      <c r="N1574" s="47"/>
      <c r="O1574" s="49"/>
      <c r="Q1574" s="34"/>
      <c r="R1574" s="45"/>
    </row>
    <row r="1575" spans="1:18" x14ac:dyDescent="0.25">
      <c r="A1575" s="43"/>
      <c r="B1575" s="34"/>
      <c r="C1575" s="42"/>
      <c r="D1575" s="38"/>
      <c r="E1575" s="43"/>
      <c r="F1575" s="43"/>
      <c r="G1575" s="43"/>
      <c r="H1575" s="37"/>
      <c r="I1575" s="38"/>
      <c r="L1575" s="46"/>
      <c r="N1575" s="47"/>
      <c r="O1575" s="49"/>
      <c r="Q1575" s="34"/>
      <c r="R1575" s="45"/>
    </row>
    <row r="1576" spans="1:18" x14ac:dyDescent="0.25">
      <c r="A1576" s="43"/>
      <c r="B1576" s="34"/>
      <c r="C1576" s="42"/>
      <c r="D1576" s="38"/>
      <c r="E1576" s="43"/>
      <c r="F1576" s="43"/>
      <c r="G1576" s="43"/>
      <c r="H1576" s="37"/>
      <c r="I1576" s="38"/>
      <c r="L1576" s="46"/>
      <c r="N1576" s="47"/>
      <c r="O1576" s="49"/>
      <c r="Q1576" s="34"/>
      <c r="R1576" s="45"/>
    </row>
    <row r="1577" spans="1:18" x14ac:dyDescent="0.25">
      <c r="A1577" s="43"/>
      <c r="B1577" s="34"/>
      <c r="C1577" s="42"/>
      <c r="D1577" s="38"/>
      <c r="E1577" s="43"/>
      <c r="F1577" s="43"/>
      <c r="G1577" s="43"/>
      <c r="H1577" s="37"/>
      <c r="I1577" s="38"/>
      <c r="L1577" s="46"/>
      <c r="N1577" s="47"/>
      <c r="O1577" s="49"/>
      <c r="Q1577" s="34"/>
      <c r="R1577" s="45"/>
    </row>
    <row r="1578" spans="1:18" x14ac:dyDescent="0.25">
      <c r="A1578" s="43"/>
      <c r="B1578" s="34"/>
      <c r="C1578" s="42"/>
      <c r="D1578" s="38"/>
      <c r="E1578" s="43"/>
      <c r="F1578" s="43"/>
      <c r="G1578" s="43"/>
      <c r="H1578" s="37"/>
      <c r="I1578" s="38"/>
      <c r="L1578" s="46"/>
      <c r="N1578" s="47"/>
      <c r="O1578" s="49"/>
      <c r="Q1578" s="34"/>
      <c r="R1578" s="45"/>
    </row>
    <row r="1579" spans="1:18" x14ac:dyDescent="0.25">
      <c r="A1579" s="43"/>
      <c r="B1579" s="34"/>
      <c r="C1579" s="42"/>
      <c r="D1579" s="38"/>
      <c r="E1579" s="43"/>
      <c r="F1579" s="43"/>
      <c r="G1579" s="43"/>
      <c r="H1579" s="37"/>
      <c r="I1579" s="38"/>
      <c r="L1579" s="46"/>
      <c r="N1579" s="47"/>
      <c r="O1579" s="49"/>
      <c r="Q1579" s="34"/>
      <c r="R1579" s="45"/>
    </row>
    <row r="1580" spans="1:18" x14ac:dyDescent="0.25">
      <c r="A1580" s="43"/>
      <c r="B1580" s="34"/>
      <c r="C1580" s="42"/>
      <c r="D1580" s="38"/>
      <c r="E1580" s="43"/>
      <c r="F1580" s="43"/>
      <c r="G1580" s="43"/>
      <c r="H1580" s="37"/>
      <c r="I1580" s="38"/>
      <c r="L1580" s="46"/>
      <c r="N1580" s="47"/>
      <c r="O1580" s="49"/>
      <c r="Q1580" s="34"/>
      <c r="R1580" s="45"/>
    </row>
    <row r="1581" spans="1:18" x14ac:dyDescent="0.25">
      <c r="A1581" s="43"/>
      <c r="B1581" s="34"/>
      <c r="C1581" s="42"/>
      <c r="D1581" s="38"/>
      <c r="E1581" s="43"/>
      <c r="F1581" s="43"/>
      <c r="G1581" s="43"/>
      <c r="H1581" s="37"/>
      <c r="I1581" s="38"/>
      <c r="L1581" s="46"/>
      <c r="N1581" s="47"/>
      <c r="O1581" s="49"/>
      <c r="Q1581" s="34"/>
      <c r="R1581" s="45"/>
    </row>
    <row r="1582" spans="1:18" x14ac:dyDescent="0.25">
      <c r="A1582" s="43"/>
      <c r="B1582" s="34"/>
      <c r="C1582" s="42"/>
      <c r="D1582" s="38"/>
      <c r="E1582" s="43"/>
      <c r="F1582" s="43"/>
      <c r="G1582" s="43"/>
      <c r="H1582" s="37"/>
      <c r="I1582" s="38"/>
      <c r="L1582" s="46"/>
      <c r="N1582" s="47"/>
      <c r="O1582" s="49"/>
      <c r="Q1582" s="34"/>
      <c r="R1582" s="45"/>
    </row>
    <row r="1583" spans="1:18" x14ac:dyDescent="0.25">
      <c r="A1583" s="43"/>
      <c r="B1583" s="34"/>
      <c r="C1583" s="42"/>
      <c r="D1583" s="38"/>
      <c r="E1583" s="43"/>
      <c r="F1583" s="43"/>
      <c r="G1583" s="43"/>
      <c r="H1583" s="37"/>
      <c r="I1583" s="38"/>
      <c r="L1583" s="46"/>
      <c r="N1583" s="47"/>
      <c r="O1583" s="49"/>
      <c r="Q1583" s="34"/>
      <c r="R1583" s="45"/>
    </row>
    <row r="1584" spans="1:18" x14ac:dyDescent="0.25">
      <c r="A1584" s="43"/>
      <c r="B1584" s="34"/>
      <c r="C1584" s="42"/>
      <c r="D1584" s="38"/>
      <c r="E1584" s="43"/>
      <c r="F1584" s="43"/>
      <c r="G1584" s="43"/>
      <c r="H1584" s="37"/>
      <c r="I1584" s="38"/>
      <c r="L1584" s="46"/>
      <c r="N1584" s="47"/>
      <c r="O1584" s="49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  <row r="1602" spans="1:18" x14ac:dyDescent="0.35">
      <c r="A1602" s="43"/>
      <c r="B1602" s="34"/>
      <c r="C1602" s="42"/>
      <c r="D1602" s="38"/>
      <c r="E1602" s="43"/>
      <c r="F1602" s="43"/>
      <c r="G1602" s="43"/>
      <c r="L1602" s="46"/>
      <c r="Q1602" s="34"/>
      <c r="R1602" s="45"/>
    </row>
    <row r="1603" spans="1:18" x14ac:dyDescent="0.35">
      <c r="A1603" s="43"/>
      <c r="B1603" s="34"/>
      <c r="C1603" s="42"/>
      <c r="D1603" s="38"/>
      <c r="E1603" s="43"/>
      <c r="F1603" s="43"/>
      <c r="G1603" s="43"/>
      <c r="L1603" s="46"/>
      <c r="Q1603" s="34"/>
      <c r="R1603" s="45"/>
    </row>
    <row r="1604" spans="1:18" x14ac:dyDescent="0.35">
      <c r="A1604" s="43"/>
      <c r="B1604" s="34"/>
      <c r="C1604" s="42"/>
      <c r="D1604" s="38"/>
      <c r="E1604" s="43"/>
      <c r="F1604" s="43"/>
      <c r="G1604" s="43"/>
      <c r="L1604" s="46"/>
      <c r="Q1604" s="34"/>
      <c r="R1604" s="45"/>
    </row>
    <row r="1605" spans="1:18" x14ac:dyDescent="0.35">
      <c r="A1605" s="43"/>
      <c r="B1605" s="34"/>
      <c r="C1605" s="42"/>
      <c r="D1605" s="38"/>
      <c r="E1605" s="43"/>
      <c r="F1605" s="43"/>
      <c r="G1605" s="43"/>
      <c r="L1605" s="46"/>
      <c r="Q1605" s="34"/>
      <c r="R1605" s="45"/>
    </row>
    <row r="1606" spans="1:18" x14ac:dyDescent="0.35">
      <c r="A1606" s="43"/>
      <c r="B1606" s="34"/>
      <c r="C1606" s="42"/>
      <c r="D1606" s="38"/>
      <c r="E1606" s="43"/>
      <c r="F1606" s="43"/>
      <c r="G1606" s="43"/>
      <c r="L1606" s="46"/>
      <c r="Q1606" s="34"/>
      <c r="R1606" s="45"/>
    </row>
    <row r="1607" spans="1:18" x14ac:dyDescent="0.35">
      <c r="A1607" s="43"/>
      <c r="B1607" s="34"/>
      <c r="C1607" s="42"/>
      <c r="D1607" s="38"/>
      <c r="E1607" s="43"/>
      <c r="F1607" s="43"/>
      <c r="G1607" s="43"/>
      <c r="L1607" s="46"/>
      <c r="Q1607" s="34"/>
      <c r="R1607" s="45"/>
    </row>
    <row r="1608" spans="1:18" x14ac:dyDescent="0.35">
      <c r="A1608" s="43"/>
      <c r="B1608" s="34"/>
      <c r="C1608" s="42"/>
      <c r="D1608" s="38"/>
      <c r="E1608" s="43"/>
      <c r="F1608" s="43"/>
      <c r="G1608" s="43"/>
      <c r="L1608" s="46"/>
      <c r="Q1608" s="34"/>
      <c r="R1608" s="45"/>
    </row>
    <row r="1609" spans="1:18" x14ac:dyDescent="0.35">
      <c r="A1609" s="43"/>
      <c r="B1609" s="34"/>
      <c r="C1609" s="42"/>
      <c r="D1609" s="38"/>
      <c r="E1609" s="43"/>
      <c r="F1609" s="43"/>
      <c r="G1609" s="43"/>
      <c r="L1609" s="46"/>
      <c r="Q1609" s="34"/>
      <c r="R1609" s="45"/>
    </row>
    <row r="1610" spans="1:18" x14ac:dyDescent="0.35">
      <c r="A1610" s="43"/>
      <c r="B1610" s="34"/>
      <c r="C1610" s="42"/>
      <c r="D1610" s="38"/>
      <c r="E1610" s="43"/>
      <c r="F1610" s="43"/>
      <c r="G1610" s="43"/>
      <c r="L1610" s="46"/>
      <c r="Q1610" s="34"/>
      <c r="R1610" s="45"/>
    </row>
    <row r="1611" spans="1:18" x14ac:dyDescent="0.35">
      <c r="A1611" s="43"/>
      <c r="B1611" s="34"/>
      <c r="C1611" s="42"/>
      <c r="D1611" s="38"/>
      <c r="E1611" s="43"/>
      <c r="F1611" s="43"/>
      <c r="G1611" s="43"/>
      <c r="L1611" s="46"/>
      <c r="Q1611" s="34"/>
      <c r="R1611" s="45"/>
    </row>
    <row r="1612" spans="1:18" x14ac:dyDescent="0.35">
      <c r="A1612" s="43"/>
      <c r="B1612" s="34"/>
      <c r="C1612" s="42"/>
      <c r="D1612" s="38"/>
      <c r="E1612" s="43"/>
      <c r="F1612" s="43"/>
      <c r="G1612" s="43"/>
      <c r="L1612" s="46"/>
      <c r="Q1612" s="34"/>
      <c r="R1612" s="45"/>
    </row>
    <row r="1613" spans="1:18" x14ac:dyDescent="0.35">
      <c r="A1613" s="43"/>
      <c r="B1613" s="34"/>
      <c r="C1613" s="42"/>
      <c r="D1613" s="38"/>
      <c r="E1613" s="43"/>
      <c r="F1613" s="43"/>
      <c r="G1613" s="43"/>
      <c r="L1613" s="46"/>
      <c r="Q1613" s="34"/>
      <c r="R1613" s="45"/>
    </row>
  </sheetData>
  <phoneticPr fontId="2" type="noConversion"/>
  <conditionalFormatting sqref="D352:D1048576 D2:D264">
    <cfRule type="containsText" dxfId="203" priority="55" operator="containsText" text="Female">
      <formula>NOT(ISERROR(SEARCH("Female",D2)))</formula>
    </cfRule>
    <cfRule type="containsText" dxfId="202" priority="56" operator="containsText" text="Male">
      <formula>NOT(ISERROR(SEARCH("Male",D2)))</formula>
    </cfRule>
  </conditionalFormatting>
  <conditionalFormatting sqref="J140 I141:J141 J142:J145 K140:K145 J147:K149 J358:K1048576 I1:I264 I335:I350">
    <cfRule type="containsText" dxfId="201" priority="57" operator="containsText" text="VIP">
      <formula>NOT(ISERROR(SEARCH("VIP",I1)))</formula>
    </cfRule>
    <cfRule type="containsText" dxfId="200" priority="58" operator="containsText" text="Normal">
      <formula>NOT(ISERROR(SEARCH("Normal",I1)))</formula>
    </cfRule>
  </conditionalFormatting>
  <conditionalFormatting sqref="R352:R1048576 R2:R350">
    <cfRule type="cellIs" dxfId="199" priority="53" operator="greaterThan">
      <formula>0</formula>
    </cfRule>
    <cfRule type="cellIs" dxfId="198" priority="54" operator="lessThan">
      <formula>0</formula>
    </cfRule>
  </conditionalFormatting>
  <conditionalFormatting sqref="D265:D266">
    <cfRule type="containsText" dxfId="197" priority="31" operator="containsText" text="Female">
      <formula>NOT(ISERROR(SEARCH("Female",D265)))</formula>
    </cfRule>
    <cfRule type="containsText" dxfId="196" priority="32" operator="containsText" text="Male">
      <formula>NOT(ISERROR(SEARCH("Male",D265)))</formula>
    </cfRule>
  </conditionalFormatting>
  <conditionalFormatting sqref="I265:I266">
    <cfRule type="containsText" dxfId="195" priority="33" operator="containsText" text="VIP">
      <formula>NOT(ISERROR(SEARCH("VIP",I265)))</formula>
    </cfRule>
    <cfRule type="containsText" dxfId="194" priority="34" operator="containsText" text="Normal">
      <formula>NOT(ISERROR(SEARCH("Normal",I265)))</formula>
    </cfRule>
  </conditionalFormatting>
  <conditionalFormatting sqref="D267:D288">
    <cfRule type="containsText" dxfId="193" priority="25" operator="containsText" text="Female">
      <formula>NOT(ISERROR(SEARCH("Female",D267)))</formula>
    </cfRule>
    <cfRule type="containsText" dxfId="192" priority="26" operator="containsText" text="Male">
      <formula>NOT(ISERROR(SEARCH("Male",D267)))</formula>
    </cfRule>
  </conditionalFormatting>
  <conditionalFormatting sqref="I267:I288">
    <cfRule type="containsText" dxfId="191" priority="27" operator="containsText" text="VIP">
      <formula>NOT(ISERROR(SEARCH("VIP",I267)))</formula>
    </cfRule>
    <cfRule type="containsText" dxfId="190" priority="28" operator="containsText" text="Normal">
      <formula>NOT(ISERROR(SEARCH("Normal",I267)))</formula>
    </cfRule>
  </conditionalFormatting>
  <conditionalFormatting sqref="D289:D299">
    <cfRule type="containsText" dxfId="189" priority="21" operator="containsText" text="Female">
      <formula>NOT(ISERROR(SEARCH("Female",D289)))</formula>
    </cfRule>
    <cfRule type="containsText" dxfId="188" priority="22" operator="containsText" text="Male">
      <formula>NOT(ISERROR(SEARCH("Male",D289)))</formula>
    </cfRule>
  </conditionalFormatting>
  <conditionalFormatting sqref="I289:I299">
    <cfRule type="containsText" dxfId="187" priority="23" operator="containsText" text="VIP">
      <formula>NOT(ISERROR(SEARCH("VIP",I289)))</formula>
    </cfRule>
    <cfRule type="containsText" dxfId="186" priority="24" operator="containsText" text="Normal">
      <formula>NOT(ISERROR(SEARCH("Normal",I289)))</formula>
    </cfRule>
  </conditionalFormatting>
  <conditionalFormatting sqref="D300:D310">
    <cfRule type="containsText" dxfId="185" priority="17" operator="containsText" text="Female">
      <formula>NOT(ISERROR(SEARCH("Female",D300)))</formula>
    </cfRule>
    <cfRule type="containsText" dxfId="184" priority="18" operator="containsText" text="Male">
      <formula>NOT(ISERROR(SEARCH("Male",D300)))</formula>
    </cfRule>
  </conditionalFormatting>
  <conditionalFormatting sqref="I300:I310">
    <cfRule type="containsText" dxfId="183" priority="19" operator="containsText" text="VIP">
      <formula>NOT(ISERROR(SEARCH("VIP",I300)))</formula>
    </cfRule>
    <cfRule type="containsText" dxfId="182" priority="20" operator="containsText" text="Normal">
      <formula>NOT(ISERROR(SEARCH("Normal",I300)))</formula>
    </cfRule>
  </conditionalFormatting>
  <conditionalFormatting sqref="D311:D314">
    <cfRule type="containsText" dxfId="181" priority="13" operator="containsText" text="Female">
      <formula>NOT(ISERROR(SEARCH("Female",D311)))</formula>
    </cfRule>
    <cfRule type="containsText" dxfId="180" priority="14" operator="containsText" text="Male">
      <formula>NOT(ISERROR(SEARCH("Male",D311)))</formula>
    </cfRule>
  </conditionalFormatting>
  <conditionalFormatting sqref="I311:I314">
    <cfRule type="containsText" dxfId="179" priority="15" operator="containsText" text="VIP">
      <formula>NOT(ISERROR(SEARCH("VIP",I311)))</formula>
    </cfRule>
    <cfRule type="containsText" dxfId="178" priority="16" operator="containsText" text="Normal">
      <formula>NOT(ISERROR(SEARCH("Normal",I311)))</formula>
    </cfRule>
  </conditionalFormatting>
  <conditionalFormatting sqref="D315:D334">
    <cfRule type="containsText" dxfId="177" priority="7" operator="containsText" text="Female">
      <formula>NOT(ISERROR(SEARCH("Female",D315)))</formula>
    </cfRule>
    <cfRule type="containsText" dxfId="176" priority="8" operator="containsText" text="Male">
      <formula>NOT(ISERROR(SEARCH("Male",D315)))</formula>
    </cfRule>
  </conditionalFormatting>
  <conditionalFormatting sqref="I315:I334">
    <cfRule type="containsText" dxfId="175" priority="5" operator="containsText" text="VIP">
      <formula>NOT(ISERROR(SEARCH("VIP",I315)))</formula>
    </cfRule>
    <cfRule type="containsText" dxfId="174" priority="6" operator="containsText" text="Normal">
      <formula>NOT(ISERROR(SEARCH("Normal",I315)))</formula>
    </cfRule>
  </conditionalFormatting>
  <conditionalFormatting sqref="D335:D350">
    <cfRule type="containsText" dxfId="173" priority="3" operator="containsText" text="Female">
      <formula>NOT(ISERROR(SEARCH("Female",D335)))</formula>
    </cfRule>
    <cfRule type="containsText" dxfId="172" priority="4" operator="containsText" text="Male">
      <formula>NOT(ISERROR(SEARCH("Male",D335)))</formula>
    </cfRule>
  </conditionalFormatting>
  <dataValidations disablePrompts="1" count="3">
    <dataValidation type="list" allowBlank="1" showInputMessage="1" showErrorMessage="1" sqref="D352:D1048576 D2:D350" xr:uid="{2CB7FB52-2D15-4B19-92E6-4A17D0DFE476}">
      <formula1>"Male,Female"</formula1>
    </dataValidation>
    <dataValidation type="list" allowBlank="1" showInputMessage="1" showErrorMessage="1" sqref="I2:I350" xr:uid="{48E17F93-1B2E-42A9-8756-A848F0DCC339}">
      <formula1>"Normal,VIP"</formula1>
    </dataValidation>
    <dataValidation type="list" allowBlank="1" showInputMessage="1" showErrorMessage="1" sqref="S2:S350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3.140625" bestFit="1" customWidth="1"/>
    <col min="8" max="8" width="21.85546875" bestFit="1" customWidth="1"/>
    <col min="9" max="9" width="12.14062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75" t="s">
        <v>1922</v>
      </c>
      <c r="C1" s="176"/>
      <c r="D1" s="176"/>
      <c r="E1" s="177"/>
      <c r="F1" s="30">
        <v>15</v>
      </c>
      <c r="H1" s="30" t="s">
        <v>961</v>
      </c>
      <c r="I1" s="31">
        <v>0</v>
      </c>
      <c r="J1" s="32"/>
    </row>
    <row r="2" spans="1:24" ht="21.75" customHeight="1" x14ac:dyDescent="0.25"/>
    <row r="3" spans="1:24" x14ac:dyDescent="0.25">
      <c r="A3" t="s">
        <v>1444</v>
      </c>
      <c r="B3" t="s">
        <v>1445</v>
      </c>
      <c r="C3" t="s">
        <v>1791</v>
      </c>
      <c r="D3" t="s">
        <v>1792</v>
      </c>
      <c r="E3" t="s">
        <v>1793</v>
      </c>
      <c r="F3" t="s">
        <v>1794</v>
      </c>
      <c r="G3" t="s">
        <v>1795</v>
      </c>
      <c r="H3" t="s">
        <v>1796</v>
      </c>
      <c r="I3" t="s">
        <v>1797</v>
      </c>
      <c r="J3" t="s">
        <v>1798</v>
      </c>
      <c r="K3" t="s">
        <v>1799</v>
      </c>
      <c r="L3" t="s">
        <v>1800</v>
      </c>
      <c r="M3" t="s">
        <v>1801</v>
      </c>
      <c r="N3" t="s">
        <v>1802</v>
      </c>
      <c r="O3" t="s">
        <v>1803</v>
      </c>
      <c r="P3" t="s">
        <v>1804</v>
      </c>
      <c r="Q3" t="s">
        <v>1805</v>
      </c>
      <c r="R3" t="s">
        <v>1806</v>
      </c>
      <c r="S3" t="s">
        <v>1807</v>
      </c>
      <c r="T3" t="s">
        <v>1808</v>
      </c>
      <c r="U3" t="s">
        <v>1809</v>
      </c>
      <c r="V3" t="s">
        <v>1810</v>
      </c>
      <c r="W3" t="s">
        <v>1811</v>
      </c>
      <c r="X3" t="s">
        <v>1812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144" priority="277" operator="containsText" text="VIP">
      <formula>NOT(ISERROR(SEARCH("VIP",I27)))</formula>
    </cfRule>
    <cfRule type="containsText" dxfId="143" priority="278" operator="containsText" text="Normal">
      <formula>NOT(ISERROR(SEARCH("Normal",I27)))</formula>
    </cfRule>
  </conditionalFormatting>
  <conditionalFormatting sqref="D27">
    <cfRule type="containsText" dxfId="142" priority="275" operator="containsText" text="Female">
      <formula>NOT(ISERROR(SEARCH("Female",D27)))</formula>
    </cfRule>
    <cfRule type="containsText" dxfId="141" priority="276" operator="containsText" text="Male">
      <formula>NOT(ISERROR(SEARCH("Male",D27)))</formula>
    </cfRule>
  </conditionalFormatting>
  <conditionalFormatting sqref="R27">
    <cfRule type="cellIs" dxfId="140" priority="273" operator="greaterThan">
      <formula>0</formula>
    </cfRule>
    <cfRule type="cellIs" dxfId="139" priority="274" operator="lessThan">
      <formula>0</formula>
    </cfRule>
  </conditionalFormatting>
  <conditionalFormatting sqref="I24:I25">
    <cfRule type="containsText" dxfId="138" priority="255" operator="containsText" text="VIP">
      <formula>NOT(ISERROR(SEARCH("VIP",I24)))</formula>
    </cfRule>
    <cfRule type="containsText" dxfId="137" priority="256" operator="containsText" text="Normal">
      <formula>NOT(ISERROR(SEARCH("Normal",I24)))</formula>
    </cfRule>
  </conditionalFormatting>
  <conditionalFormatting sqref="D24:D25">
    <cfRule type="containsText" dxfId="136" priority="253" operator="containsText" text="Female">
      <formula>NOT(ISERROR(SEARCH("Female",D24)))</formula>
    </cfRule>
    <cfRule type="containsText" dxfId="135" priority="254" operator="containsText" text="Male">
      <formula>NOT(ISERROR(SEARCH("Male",D24)))</formula>
    </cfRule>
  </conditionalFormatting>
  <conditionalFormatting sqref="R24:R25">
    <cfRule type="cellIs" dxfId="134" priority="251" operator="greaterThan">
      <formula>0</formula>
    </cfRule>
    <cfRule type="cellIs" dxfId="133" priority="252" operator="lessThan">
      <formula>0</formula>
    </cfRule>
  </conditionalFormatting>
  <conditionalFormatting sqref="D20:D22">
    <cfRule type="containsText" dxfId="132" priority="201" operator="containsText" text="Female">
      <formula>NOT(ISERROR(SEARCH("Female",D20)))</formula>
    </cfRule>
    <cfRule type="containsText" dxfId="131" priority="202" operator="containsText" text="Male">
      <formula>NOT(ISERROR(SEARCH("Male",D20)))</formula>
    </cfRule>
  </conditionalFormatting>
  <conditionalFormatting sqref="I20:I22">
    <cfRule type="containsText" dxfId="130" priority="203" operator="containsText" text="VIP">
      <formula>NOT(ISERROR(SEARCH("VIP",I20)))</formula>
    </cfRule>
    <cfRule type="containsText" dxfId="129" priority="204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H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32.140625" bestFit="1" customWidth="1"/>
    <col min="3" max="3" width="11.28515625" customWidth="1"/>
    <col min="4" max="4" width="13.42578125" bestFit="1" customWidth="1"/>
    <col min="5" max="5" width="29.4257812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24.8554687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78" t="s">
        <v>1886</v>
      </c>
      <c r="C1" s="179"/>
      <c r="D1" s="179"/>
      <c r="E1" s="180"/>
      <c r="F1" s="27">
        <v>28</v>
      </c>
      <c r="H1" s="27" t="s">
        <v>961</v>
      </c>
      <c r="I1" s="28">
        <v>45679</v>
      </c>
    </row>
    <row r="3" spans="1:24" x14ac:dyDescent="0.25">
      <c r="A3" t="s">
        <v>1444</v>
      </c>
      <c r="B3" t="s">
        <v>1445</v>
      </c>
      <c r="C3" t="s">
        <v>1791</v>
      </c>
      <c r="D3" t="s">
        <v>1792</v>
      </c>
      <c r="E3" t="s">
        <v>1793</v>
      </c>
      <c r="F3" t="s">
        <v>1794</v>
      </c>
      <c r="G3" t="s">
        <v>1795</v>
      </c>
      <c r="H3" t="s">
        <v>1796</v>
      </c>
      <c r="I3" t="s">
        <v>1797</v>
      </c>
      <c r="J3" t="s">
        <v>1798</v>
      </c>
      <c r="K3" t="s">
        <v>1799</v>
      </c>
      <c r="L3" t="s">
        <v>1800</v>
      </c>
      <c r="M3" t="s">
        <v>1801</v>
      </c>
      <c r="N3" t="s">
        <v>1802</v>
      </c>
      <c r="O3" t="s">
        <v>1803</v>
      </c>
      <c r="P3" t="s">
        <v>1804</v>
      </c>
      <c r="Q3" t="s">
        <v>1805</v>
      </c>
      <c r="R3" t="s">
        <v>1806</v>
      </c>
      <c r="S3" t="s">
        <v>1807</v>
      </c>
      <c r="T3" t="s">
        <v>1808</v>
      </c>
      <c r="U3" t="s">
        <v>1809</v>
      </c>
      <c r="V3" t="s">
        <v>1810</v>
      </c>
      <c r="W3" t="s">
        <v>1811</v>
      </c>
      <c r="X3" t="s">
        <v>1812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832</v>
      </c>
      <c r="B1" t="s">
        <v>833</v>
      </c>
      <c r="C1" t="s">
        <v>834</v>
      </c>
      <c r="D1" t="s">
        <v>835</v>
      </c>
      <c r="E1" t="s">
        <v>836</v>
      </c>
      <c r="F1" t="s">
        <v>837</v>
      </c>
    </row>
    <row r="2" spans="1:6" x14ac:dyDescent="0.25">
      <c r="A2">
        <v>1</v>
      </c>
      <c r="B2" s="14">
        <v>45514</v>
      </c>
      <c r="C2" t="s">
        <v>838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839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840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841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842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843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844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845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846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847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848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849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850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851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852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853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854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855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856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857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858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859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854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855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856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860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845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861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862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863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842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864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865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866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867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868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869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870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871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872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873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874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875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876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866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877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857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878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857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879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857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876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880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881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882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883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841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860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884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885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886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887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888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889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890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891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892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893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894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895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896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897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898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899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900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901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902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903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904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905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906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907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908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909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910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842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911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912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913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914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915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912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916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893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917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906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918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919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920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917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906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918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921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922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923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924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860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925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926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927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928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929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930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888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892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914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931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932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933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934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935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936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888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857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937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860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925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938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939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940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925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915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919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860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914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941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906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942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943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866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922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944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923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945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946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947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947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911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948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949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948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884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939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860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925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939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950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925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914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895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906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951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884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952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953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925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950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954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955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831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833</v>
      </c>
      <c r="B1" s="96" t="s">
        <v>834</v>
      </c>
      <c r="C1" s="96" t="s">
        <v>835</v>
      </c>
      <c r="D1" s="96" t="s">
        <v>836</v>
      </c>
      <c r="E1" s="96" t="s">
        <v>837</v>
      </c>
      <c r="G1" s="95" t="s">
        <v>833</v>
      </c>
      <c r="H1" s="96" t="s">
        <v>834</v>
      </c>
      <c r="I1" s="96" t="s">
        <v>835</v>
      </c>
      <c r="J1" s="96" t="s">
        <v>836</v>
      </c>
      <c r="K1" s="96" t="s">
        <v>837</v>
      </c>
    </row>
    <row r="2" spans="1:11" ht="24" x14ac:dyDescent="0.4">
      <c r="A2" s="99">
        <v>46114</v>
      </c>
      <c r="B2" s="100" t="s">
        <v>1813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950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1830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1829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1831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831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1835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1842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1842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831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48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1884</v>
      </c>
      <c r="B1">
        <f>COUNTIF(DATA!S:S,"IN CUSTODY")</f>
        <v>54</v>
      </c>
      <c r="E1" t="str" cm="1">
        <f t="array" ref="E1:E26">_xlfn.UNIQUE(DATA[PLACE])</f>
        <v>Asuom</v>
      </c>
      <c r="F1" s="61" t="str" cm="1">
        <f t="array" ref="F1:F349">DATA[NAME OF DECEASED]</f>
        <v>Kwame Agbanyi</v>
      </c>
      <c r="H1" s="14"/>
      <c r="J1" s="24"/>
    </row>
    <row r="2" spans="1:13" x14ac:dyDescent="0.25">
      <c r="A2" t="s">
        <v>1885</v>
      </c>
      <c r="B2">
        <f>COUNTIF(DATA!S:S, "DISCHARGED")</f>
        <v>295</v>
      </c>
      <c r="E2" t="str">
        <v>Abaam</v>
      </c>
      <c r="F2" s="61" t="str">
        <v>Kwabena Nyame</v>
      </c>
      <c r="G2" s="61"/>
      <c r="H2" s="14"/>
      <c r="J2" s="24"/>
      <c r="M2" s="24"/>
    </row>
    <row r="3" spans="1:13" x14ac:dyDescent="0.25">
      <c r="E3" t="str">
        <v>Tweapease</v>
      </c>
      <c r="F3" s="61" t="str">
        <v>Joseph Awuah Gyimah</v>
      </c>
    </row>
    <row r="4" spans="1:13" x14ac:dyDescent="0.25">
      <c r="E4" t="str">
        <v>Bomso</v>
      </c>
      <c r="F4" s="61" t="str">
        <v>Akos Aboagyewaa</v>
      </c>
      <c r="H4" s="14"/>
      <c r="J4" s="24"/>
      <c r="L4" t="s">
        <v>1048</v>
      </c>
      <c r="M4">
        <v>500</v>
      </c>
    </row>
    <row r="5" spans="1:13" x14ac:dyDescent="0.25">
      <c r="E5" t="str">
        <v>Atobiriso</v>
      </c>
      <c r="F5" s="61" t="str">
        <v>Kwame</v>
      </c>
      <c r="H5" s="14"/>
      <c r="J5" s="24"/>
      <c r="L5" t="s">
        <v>1049</v>
      </c>
      <c r="M5" s="24">
        <v>2000</v>
      </c>
    </row>
    <row r="6" spans="1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1:13" x14ac:dyDescent="0.25">
      <c r="E7" t="str">
        <v>Akyemkroso</v>
      </c>
      <c r="F7" s="61" t="str">
        <v>Kwabena Asiamah</v>
      </c>
      <c r="H7" s="14"/>
      <c r="J7" s="24"/>
      <c r="L7" t="s">
        <v>1013</v>
      </c>
      <c r="M7" s="24">
        <v>4000</v>
      </c>
    </row>
    <row r="8" spans="1:13" x14ac:dyDescent="0.25">
      <c r="E8" t="str">
        <v>Subiriso</v>
      </c>
      <c r="F8" s="61" t="str">
        <v>Dorothy Koranteng</v>
      </c>
      <c r="H8" s="14"/>
      <c r="J8" s="24"/>
    </row>
    <row r="9" spans="1:13" x14ac:dyDescent="0.25">
      <c r="E9" t="str">
        <v>Akawani</v>
      </c>
      <c r="F9" s="61" t="str">
        <v>Nicholas Appiah</v>
      </c>
      <c r="H9" s="14"/>
      <c r="J9" s="24"/>
    </row>
    <row r="10" spans="1:13" x14ac:dyDescent="0.25">
      <c r="E10" t="str">
        <v>Nyantease</v>
      </c>
      <c r="F10" s="61" t="str">
        <v>Frimpong Manso</v>
      </c>
      <c r="H10" s="14"/>
      <c r="J10" s="24"/>
    </row>
    <row r="11" spans="1:13" x14ac:dyDescent="0.25">
      <c r="E11" t="str">
        <v>Akwatia</v>
      </c>
      <c r="F11" s="61" t="str">
        <v>Ama Asiedua</v>
      </c>
      <c r="H11" s="14"/>
      <c r="J11" s="24"/>
    </row>
    <row r="12" spans="1:13" x14ac:dyDescent="0.25">
      <c r="E12" t="str">
        <v>Abenaso</v>
      </c>
      <c r="F12" s="61" t="str">
        <v>Elizabeth Anane</v>
      </c>
      <c r="H12" s="14"/>
      <c r="J12" s="24"/>
    </row>
    <row r="13" spans="1:13" x14ac:dyDescent="0.25">
      <c r="E13" t="str">
        <v>Accra</v>
      </c>
      <c r="F13" s="61" t="str">
        <v>Alex Yeboah</v>
      </c>
      <c r="H13" s="14"/>
      <c r="J13" s="24"/>
    </row>
    <row r="14" spans="1:13" x14ac:dyDescent="0.25">
      <c r="E14" t="str">
        <v>Mampong</v>
      </c>
      <c r="F14" s="61" t="str">
        <v>Teye Louis</v>
      </c>
      <c r="H14" s="14"/>
      <c r="J14" s="24"/>
    </row>
    <row r="15" spans="1:13" x14ac:dyDescent="0.25">
      <c r="E15" t="str">
        <v>Akropong</v>
      </c>
      <c r="F15" s="61" t="str">
        <v>Kwaku Aboagye</v>
      </c>
      <c r="H15" s="14"/>
      <c r="J15" s="24"/>
    </row>
    <row r="16" spans="1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338" spans="6:6" x14ac:dyDescent="0.25">
      <c r="F338" s="61" t="str">
        <v>Florence Amoako Atta</v>
      </c>
    </row>
    <row r="339" spans="6:6" x14ac:dyDescent="0.25">
      <c r="F339" s="61" t="str">
        <v>Charity Boadiwaa</v>
      </c>
    </row>
    <row r="340" spans="6:6" x14ac:dyDescent="0.25">
      <c r="F340" s="61" t="str">
        <v>Kofi Bosompem</v>
      </c>
    </row>
    <row r="341" spans="6:6" x14ac:dyDescent="0.25">
      <c r="F341" s="61" t="str">
        <v>Salomey Akua Buah</v>
      </c>
    </row>
    <row r="342" spans="6:6" x14ac:dyDescent="0.25">
      <c r="F342" s="61" t="str">
        <v>Cecilia Serwaa</v>
      </c>
    </row>
    <row r="343" spans="6:6" x14ac:dyDescent="0.25">
      <c r="F343" s="61" t="str">
        <v>Janet Boadua</v>
      </c>
    </row>
    <row r="344" spans="6:6" x14ac:dyDescent="0.25">
      <c r="F344" s="61" t="str">
        <v>Faustina Ayimaah</v>
      </c>
    </row>
    <row r="345" spans="6:6" x14ac:dyDescent="0.25">
      <c r="F345" s="61" t="str">
        <v>Akosua Pomaah</v>
      </c>
    </row>
    <row r="346" spans="6:6" x14ac:dyDescent="0.25">
      <c r="F346" s="61" t="str">
        <v>Patrick Owusu</v>
      </c>
    </row>
    <row r="347" spans="6:6" x14ac:dyDescent="0.25">
      <c r="F347" s="61" t="str">
        <v>Faustina Doku</v>
      </c>
    </row>
    <row r="348" spans="6:6" x14ac:dyDescent="0.25">
      <c r="F348" s="61" t="str">
        <v>Emmanuel Charles Apenteng</v>
      </c>
    </row>
    <row r="349" spans="6:6" x14ac:dyDescent="0.25">
      <c r="F349" s="61" t="str">
        <v>Maxwell Nimako</v>
      </c>
    </row>
    <row r="50000" spans="6:6" x14ac:dyDescent="0.25">
      <c r="F50000" s="61" t="str" cm="1">
        <f t="array" ref="F50000:F50348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  <row r="50337" spans="6:6" x14ac:dyDescent="0.25">
      <c r="F50337" s="61" t="str">
        <v>338</v>
      </c>
    </row>
    <row r="50338" spans="6:6" x14ac:dyDescent="0.25">
      <c r="F50338" s="61" t="str">
        <v>339</v>
      </c>
    </row>
    <row r="50339" spans="6:6" x14ac:dyDescent="0.25">
      <c r="F50339" s="61" t="str">
        <v>340</v>
      </c>
    </row>
    <row r="50340" spans="6:6" x14ac:dyDescent="0.25">
      <c r="F50340" s="61" t="str">
        <v>341</v>
      </c>
    </row>
    <row r="50341" spans="6:6" x14ac:dyDescent="0.25">
      <c r="F50341" s="61" t="str">
        <v>342</v>
      </c>
    </row>
    <row r="50342" spans="6:6" x14ac:dyDescent="0.25">
      <c r="F50342" s="61" t="str">
        <v>343</v>
      </c>
    </row>
    <row r="50343" spans="6:6" x14ac:dyDescent="0.25">
      <c r="F50343" s="61" t="str">
        <v>344</v>
      </c>
    </row>
    <row r="50344" spans="6:6" x14ac:dyDescent="0.25">
      <c r="F50344" s="61" t="str">
        <v>345</v>
      </c>
    </row>
    <row r="50345" spans="6:6" x14ac:dyDescent="0.25">
      <c r="F50345" s="61" t="str">
        <v>346</v>
      </c>
    </row>
    <row r="50346" spans="6:6" x14ac:dyDescent="0.25">
      <c r="F50346" s="61" t="str">
        <v>347</v>
      </c>
    </row>
    <row r="50347" spans="6:6" x14ac:dyDescent="0.25">
      <c r="F50347" s="61" t="str">
        <v>348</v>
      </c>
    </row>
    <row r="50348" spans="6:6" x14ac:dyDescent="0.25">
      <c r="F50348" s="61" t="str">
        <v>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zoomScaleNormal="100" workbookViewId="0">
      <selection activeCell="H10" sqref="H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81" t="s">
        <v>1348</v>
      </c>
      <c r="C2" s="182"/>
      <c r="D2" s="182"/>
      <c r="E2" s="183"/>
      <c r="G2" s="181" t="s">
        <v>1351</v>
      </c>
      <c r="H2" s="182"/>
      <c r="I2" s="182"/>
      <c r="J2" s="183"/>
    </row>
    <row r="3" spans="1:12" x14ac:dyDescent="0.25">
      <c r="B3" t="s">
        <v>1347</v>
      </c>
      <c r="C3" t="s">
        <v>837</v>
      </c>
      <c r="D3" t="s">
        <v>1368</v>
      </c>
      <c r="E3" t="s">
        <v>1352</v>
      </c>
      <c r="G3" s="10" t="s">
        <v>1353</v>
      </c>
      <c r="H3" s="25" t="s">
        <v>1369</v>
      </c>
      <c r="I3" s="98" t="s">
        <v>1370</v>
      </c>
      <c r="J3" s="25" t="s">
        <v>1352</v>
      </c>
    </row>
    <row r="4" spans="1:12" x14ac:dyDescent="0.25">
      <c r="B4" t="s">
        <v>1346</v>
      </c>
      <c r="C4" s="24">
        <v>2140</v>
      </c>
      <c r="D4" s="24">
        <v>800</v>
      </c>
      <c r="E4" s="24">
        <f>Table16[[#This Row],[AMOUNT]]-Table16[[#This Row],[PAID]]</f>
        <v>1340</v>
      </c>
      <c r="G4" t="s">
        <v>1351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1367</v>
      </c>
      <c r="C5" s="24">
        <f>1165+370</f>
        <v>1535</v>
      </c>
      <c r="D5" s="24">
        <v>0</v>
      </c>
      <c r="E5" s="24">
        <f>Table16[[#This Row],[AMOUNT]]-Table16[[#This Row],[PAID]]</f>
        <v>1535</v>
      </c>
      <c r="G5" t="s">
        <v>1350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1366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831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1381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1883</v>
      </c>
      <c r="C8" s="24">
        <v>400</v>
      </c>
      <c r="D8" s="24">
        <v>0</v>
      </c>
      <c r="E8" s="24">
        <f>Table16[[#This Row],[AMOUNT]]-Table16[[#This Row],[PAID]]</f>
        <v>400</v>
      </c>
      <c r="G8" t="s">
        <v>1266</v>
      </c>
      <c r="H8" s="24" t="s">
        <v>837</v>
      </c>
      <c r="I8" t="s">
        <v>1416</v>
      </c>
      <c r="J8" s="14" t="s">
        <v>833</v>
      </c>
      <c r="K8" t="s">
        <v>1437</v>
      </c>
      <c r="L8" t="s">
        <v>1352</v>
      </c>
    </row>
    <row r="9" spans="1:12" x14ac:dyDescent="0.25">
      <c r="C9" s="24"/>
      <c r="D9" s="24"/>
      <c r="E9" s="24"/>
      <c r="G9" t="s">
        <v>1349</v>
      </c>
      <c r="H9" s="24">
        <v>18000</v>
      </c>
      <c r="I9" t="s">
        <v>1438</v>
      </c>
      <c r="J9" s="14">
        <v>46037</v>
      </c>
      <c r="K9" s="24">
        <v>1000</v>
      </c>
    </row>
    <row r="10" spans="1:12" x14ac:dyDescent="0.25">
      <c r="C10" s="24"/>
      <c r="D10" s="24"/>
      <c r="E10" s="24"/>
      <c r="H10" s="24"/>
      <c r="I10" t="s">
        <v>1439</v>
      </c>
      <c r="J10" s="14">
        <v>46042</v>
      </c>
      <c r="K10" s="24">
        <v>1000</v>
      </c>
    </row>
    <row r="11" spans="1:12" x14ac:dyDescent="0.25">
      <c r="B11" t="s">
        <v>831</v>
      </c>
      <c r="C11" s="24">
        <f>SUBTOTAL(109,Table16[AMOUNT])</f>
        <v>6575</v>
      </c>
      <c r="D11" s="24">
        <f>SUBTOTAL(109,Table16[PAID])</f>
        <v>800</v>
      </c>
      <c r="E11" s="24">
        <f>SUBTOTAL(109,Table16[BALANCE])</f>
        <v>5775</v>
      </c>
      <c r="H11" s="24"/>
      <c r="I11" t="s">
        <v>1439</v>
      </c>
      <c r="J11" s="14">
        <v>46049</v>
      </c>
      <c r="K11" s="24">
        <v>6000</v>
      </c>
    </row>
    <row r="12" spans="1:12" x14ac:dyDescent="0.25">
      <c r="C12" t="s">
        <v>1517</v>
      </c>
      <c r="D12" s="148" t="s">
        <v>1869</v>
      </c>
      <c r="H12" s="24"/>
      <c r="I12" t="s">
        <v>1439</v>
      </c>
      <c r="J12" s="14">
        <v>46055</v>
      </c>
      <c r="K12" s="24">
        <v>1000</v>
      </c>
    </row>
    <row r="13" spans="1:12" x14ac:dyDescent="0.25">
      <c r="H13" s="24"/>
      <c r="I13" t="s">
        <v>1439</v>
      </c>
      <c r="J13" s="14">
        <v>46056</v>
      </c>
      <c r="K13" s="24">
        <v>1000</v>
      </c>
    </row>
    <row r="14" spans="1:12" x14ac:dyDescent="0.25">
      <c r="H14" s="24"/>
      <c r="I14" t="s">
        <v>1439</v>
      </c>
      <c r="J14" s="14">
        <v>46072</v>
      </c>
      <c r="K14" s="24">
        <v>8000</v>
      </c>
    </row>
    <row r="15" spans="1:12" x14ac:dyDescent="0.25">
      <c r="A15" s="10" t="s">
        <v>1369</v>
      </c>
      <c r="B15" s="25" t="s">
        <v>1445</v>
      </c>
      <c r="C15" t="s">
        <v>1444</v>
      </c>
      <c r="D15" s="10" t="s">
        <v>1370</v>
      </c>
      <c r="E15" s="25" t="s">
        <v>1793</v>
      </c>
      <c r="G15" t="s">
        <v>1363</v>
      </c>
      <c r="H15" s="24">
        <v>14950</v>
      </c>
      <c r="J15" s="14"/>
      <c r="K15" s="24"/>
    </row>
    <row r="16" spans="1:12" x14ac:dyDescent="0.25">
      <c r="A16" s="10" t="s">
        <v>1443</v>
      </c>
      <c r="B16" s="25">
        <v>400</v>
      </c>
      <c r="D16" s="10" t="s">
        <v>1867</v>
      </c>
      <c r="E16" s="25">
        <v>350</v>
      </c>
      <c r="G16" t="s">
        <v>1364</v>
      </c>
      <c r="H16" s="24">
        <v>40000</v>
      </c>
      <c r="J16" s="14"/>
      <c r="K16" s="24"/>
    </row>
    <row r="17" spans="1:12" x14ac:dyDescent="0.25">
      <c r="A17" s="10" t="s">
        <v>1843</v>
      </c>
      <c r="B17" s="25">
        <v>500</v>
      </c>
      <c r="C17" s="157">
        <v>46140</v>
      </c>
      <c r="D17" s="10" t="s">
        <v>1867</v>
      </c>
      <c r="E17" s="25">
        <v>150</v>
      </c>
      <c r="H17" s="24"/>
      <c r="I17" t="s">
        <v>1439</v>
      </c>
      <c r="J17" s="14">
        <v>46089</v>
      </c>
      <c r="K17" s="24">
        <v>500</v>
      </c>
    </row>
    <row r="18" spans="1:12" x14ac:dyDescent="0.25">
      <c r="A18" s="10" t="s">
        <v>1866</v>
      </c>
      <c r="B18" s="25">
        <v>400</v>
      </c>
      <c r="C18" s="157">
        <v>46144</v>
      </c>
      <c r="D18" s="10" t="s">
        <v>1867</v>
      </c>
      <c r="E18" s="25">
        <v>200</v>
      </c>
      <c r="H18" s="24"/>
      <c r="I18" t="s">
        <v>1439</v>
      </c>
      <c r="J18" s="14">
        <v>46091</v>
      </c>
      <c r="K18" s="24">
        <v>13000</v>
      </c>
    </row>
    <row r="19" spans="1:12" x14ac:dyDescent="0.25">
      <c r="A19" s="10"/>
      <c r="B19" s="25"/>
      <c r="D19" s="10" t="s">
        <v>1927</v>
      </c>
      <c r="E19" s="25">
        <v>350</v>
      </c>
      <c r="H19" s="24"/>
      <c r="I19" t="s">
        <v>1439</v>
      </c>
      <c r="J19" s="14">
        <v>46092</v>
      </c>
      <c r="K19" s="24">
        <v>20000</v>
      </c>
    </row>
    <row r="20" spans="1:12" x14ac:dyDescent="0.25">
      <c r="D20" s="10"/>
      <c r="E20" s="25">
        <f>SUM(E16:E19)</f>
        <v>1050</v>
      </c>
      <c r="H20" s="24"/>
      <c r="I20" t="s">
        <v>1439</v>
      </c>
      <c r="J20" s="14">
        <v>46093</v>
      </c>
      <c r="K20" s="24">
        <v>3000</v>
      </c>
    </row>
    <row r="21" spans="1:12" x14ac:dyDescent="0.25">
      <c r="A21" s="10" t="s">
        <v>1868</v>
      </c>
      <c r="E21" s="25">
        <f>SUM(B16:B18)-SUM(E16:E19)</f>
        <v>250</v>
      </c>
      <c r="H21" s="24"/>
      <c r="I21" t="s">
        <v>1439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831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A20"/>
  <sheetViews>
    <sheetView topLeftCell="O1" zoomScaleNormal="100" workbookViewId="0">
      <selection activeCell="X17" sqref="X17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</cols>
  <sheetData>
    <row r="1" spans="1:27" x14ac:dyDescent="0.25">
      <c r="A1" s="74" t="s">
        <v>956</v>
      </c>
      <c r="B1" s="64" t="s">
        <v>833</v>
      </c>
      <c r="C1" s="68" t="s">
        <v>979</v>
      </c>
      <c r="E1" s="74" t="s">
        <v>956</v>
      </c>
      <c r="F1" s="64" t="s">
        <v>833</v>
      </c>
      <c r="G1" s="68" t="s">
        <v>979</v>
      </c>
      <c r="I1" s="74" t="s">
        <v>956</v>
      </c>
      <c r="J1" s="64" t="s">
        <v>833</v>
      </c>
      <c r="K1" s="105" t="s">
        <v>979</v>
      </c>
      <c r="M1" s="74" t="s">
        <v>956</v>
      </c>
      <c r="N1" s="64" t="s">
        <v>833</v>
      </c>
      <c r="O1" s="105" t="s">
        <v>979</v>
      </c>
      <c r="Q1" s="74" t="s">
        <v>956</v>
      </c>
      <c r="R1" s="64" t="s">
        <v>833</v>
      </c>
      <c r="S1" s="105" t="s">
        <v>979</v>
      </c>
      <c r="U1" s="74" t="s">
        <v>956</v>
      </c>
      <c r="V1" s="64" t="s">
        <v>833</v>
      </c>
      <c r="W1" s="105" t="s">
        <v>979</v>
      </c>
      <c r="Y1" s="74" t="s">
        <v>956</v>
      </c>
      <c r="Z1" s="64" t="s">
        <v>833</v>
      </c>
      <c r="AA1" s="105" t="s">
        <v>979</v>
      </c>
    </row>
    <row r="2" spans="1:27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  <c r="Y2" s="62">
        <v>348</v>
      </c>
      <c r="Z2" s="97"/>
      <c r="AA2" s="104">
        <v>1</v>
      </c>
    </row>
    <row r="3" spans="1:27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  <c r="Y3" s="62"/>
      <c r="Z3" s="104"/>
      <c r="AA3" s="104"/>
    </row>
    <row r="4" spans="1:27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2">
        <v>338</v>
      </c>
      <c r="W4" s="104">
        <v>1</v>
      </c>
      <c r="Y4" s="62"/>
      <c r="AA4" s="104"/>
    </row>
    <row r="5" spans="1:27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  <c r="U5" s="62">
        <v>339</v>
      </c>
      <c r="W5" s="104">
        <v>1</v>
      </c>
      <c r="Y5" s="62"/>
      <c r="AA5" s="104"/>
    </row>
    <row r="6" spans="1:27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  <c r="U6" s="62">
        <v>340</v>
      </c>
      <c r="W6" s="104">
        <v>1</v>
      </c>
      <c r="Y6" s="62"/>
      <c r="AA6" s="104"/>
    </row>
    <row r="7" spans="1:27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  <c r="U7" s="62">
        <v>341</v>
      </c>
      <c r="W7" s="104">
        <v>1</v>
      </c>
      <c r="Y7" s="62"/>
      <c r="AA7" s="104"/>
    </row>
    <row r="8" spans="1:27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  <c r="U8" s="62">
        <v>342</v>
      </c>
      <c r="W8" s="104">
        <v>1</v>
      </c>
      <c r="Y8" s="62"/>
      <c r="AA8" s="104"/>
    </row>
    <row r="9" spans="1:27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  <c r="U9" s="62">
        <v>343</v>
      </c>
      <c r="W9" s="104">
        <v>1</v>
      </c>
      <c r="Y9" s="62"/>
      <c r="AA9" s="104"/>
    </row>
    <row r="10" spans="1:27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  <c r="U10" s="62">
        <v>344</v>
      </c>
      <c r="W10" s="104">
        <v>1</v>
      </c>
      <c r="Y10" s="62"/>
      <c r="AA10" s="104"/>
    </row>
    <row r="11" spans="1:27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  <c r="U11" s="62">
        <v>345</v>
      </c>
      <c r="W11" s="104">
        <v>1</v>
      </c>
      <c r="Y11" s="62"/>
      <c r="AA11" s="104"/>
    </row>
    <row r="12" spans="1:27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  <c r="U12" s="62">
        <v>346</v>
      </c>
      <c r="W12" s="104">
        <v>1</v>
      </c>
      <c r="Y12" s="62"/>
      <c r="AA12" s="104"/>
    </row>
    <row r="13" spans="1:27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  <c r="U13" s="62">
        <v>347</v>
      </c>
      <c r="W13" s="104">
        <v>1</v>
      </c>
      <c r="Y13" s="62"/>
      <c r="AA13" s="104"/>
    </row>
    <row r="14" spans="1:27" x14ac:dyDescent="0.25">
      <c r="A14" s="63" t="s">
        <v>831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  <c r="U14" s="63" t="s">
        <v>831</v>
      </c>
      <c r="W14">
        <f>SUBTOTAL(109,Table20[NUMBER])</f>
        <v>12</v>
      </c>
      <c r="Y14" s="63" t="s">
        <v>831</v>
      </c>
      <c r="AA14">
        <f>SUBTOTAL(109,Table2026[NUMBER])</f>
        <v>1</v>
      </c>
    </row>
    <row r="15" spans="1:27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831</v>
      </c>
      <c r="O15">
        <f>SUBTOTAL(109,Table27[NUMBER])</f>
        <v>13</v>
      </c>
      <c r="Q15" s="63" t="s">
        <v>831</v>
      </c>
      <c r="S15">
        <f>SUBTOTAL(109,Table2714[NUMBER])</f>
        <v>13</v>
      </c>
    </row>
    <row r="16" spans="1:27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1" x14ac:dyDescent="0.25">
      <c r="E17" s="63" t="s">
        <v>831</v>
      </c>
      <c r="G17">
        <f>SUBTOTAL(109,Table186[NUMBER])</f>
        <v>15</v>
      </c>
      <c r="I17" s="63" t="s">
        <v>831</v>
      </c>
      <c r="K17">
        <f>SUBTOTAL(109,Table2[NUMBER])</f>
        <v>15</v>
      </c>
    </row>
    <row r="20" spans="5:11" x14ac:dyDescent="0.25">
      <c r="G20" s="10"/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4"/>
  <sheetViews>
    <sheetView zoomScale="80" zoomScaleNormal="80" workbookViewId="0">
      <selection activeCell="E34" sqref="E34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8.425781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1198</v>
      </c>
      <c r="B1" s="69">
        <v>248363278</v>
      </c>
    </row>
    <row r="2" spans="1:16384" ht="15.75" thickBot="1" x14ac:dyDescent="0.3">
      <c r="A2" s="130" t="s">
        <v>1222</v>
      </c>
      <c r="B2" s="131" t="s">
        <v>1266</v>
      </c>
      <c r="C2" s="131" t="s">
        <v>1259</v>
      </c>
      <c r="D2" s="131" t="s">
        <v>47</v>
      </c>
      <c r="E2" s="135" t="s">
        <v>1531</v>
      </c>
      <c r="F2" s="132" t="s">
        <v>1460</v>
      </c>
      <c r="G2" s="132" t="s">
        <v>1461</v>
      </c>
      <c r="H2" s="130" t="s">
        <v>1532</v>
      </c>
      <c r="J2" t="s">
        <v>1546</v>
      </c>
      <c r="K2" t="s">
        <v>1533</v>
      </c>
      <c r="L2" t="s">
        <v>1545</v>
      </c>
    </row>
    <row r="3" spans="1:16384" s="10" customFormat="1" ht="15.75" thickBot="1" x14ac:dyDescent="0.3">
      <c r="A3" s="125" t="s">
        <v>797</v>
      </c>
      <c r="B3" s="116" t="s">
        <v>798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997.5</v>
      </c>
      <c r="K3" s="146">
        <f>H14+H13+H7+H6+Table9[[#This Row],[DIFF]]</f>
        <v>5873</v>
      </c>
      <c r="L3" s="146">
        <f>Table24[[#This Row],[AVG]]*Table9[[#Totals],[ADMISSION DATE]]</f>
        <v>28927.5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1077</v>
      </c>
      <c r="B4" s="116" t="s">
        <v>77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1092</v>
      </c>
      <c r="B5" s="116" t="s">
        <v>1088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customFormat="1" ht="15.75" thickBot="1" x14ac:dyDescent="0.3">
      <c r="A6" s="127" t="s">
        <v>1112</v>
      </c>
      <c r="B6" s="120" t="s">
        <v>1113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customFormat="1" ht="15.75" thickBot="1" x14ac:dyDescent="0.3">
      <c r="A7" s="127" t="s">
        <v>1144</v>
      </c>
      <c r="B7" s="120" t="s">
        <v>1145</v>
      </c>
      <c r="C7" s="121">
        <v>45959</v>
      </c>
      <c r="D7" s="121">
        <v>46157</v>
      </c>
      <c r="E7" s="136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3">
        <f>Table9[[#This Row],[DAYS]]*20</f>
        <v>3980</v>
      </c>
      <c r="G7" s="133">
        <f>Table9[[#This Row],[DAYS]]*13</f>
        <v>2587</v>
      </c>
      <c r="H7" s="133">
        <f>Table9[[#This Row],[ACTUAL]]-Table9[[#This Row],[REAL]]</f>
        <v>1393</v>
      </c>
      <c r="K7" s="61" t="s">
        <v>1550</v>
      </c>
      <c r="L7" t="s">
        <v>1352</v>
      </c>
    </row>
    <row r="8" spans="1:16384" customFormat="1" ht="15.75" thickBot="1" x14ac:dyDescent="0.3">
      <c r="A8" s="127" t="s">
        <v>1214</v>
      </c>
      <c r="B8" s="120" t="s">
        <v>1215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Row],[DIFF]]+H16+H9+H12+H13+H7+H10+H14</f>
        <v>12691</v>
      </c>
      <c r="L8" s="146" cm="1">
        <f t="array" ref="L8">Table23[EXPECTED]-Table26[[#This Row],[RECEIVED]]</f>
        <v>16236.5</v>
      </c>
    </row>
    <row r="9" spans="1:16384" customFormat="1" ht="15.75" thickBot="1" x14ac:dyDescent="0.3">
      <c r="A9" s="127" t="s">
        <v>1268</v>
      </c>
      <c r="B9" s="120" t="s">
        <v>1270</v>
      </c>
      <c r="C9" s="121">
        <v>45986</v>
      </c>
      <c r="D9" s="121">
        <v>46143</v>
      </c>
      <c r="E9" s="136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3">
        <f>Table9[[#This Row],[DAYS]]*20</f>
        <v>3160</v>
      </c>
      <c r="G9" s="133">
        <f>Table9[[#This Row],[DAYS]]*13</f>
        <v>2054</v>
      </c>
      <c r="H9" s="133">
        <f>Table9[[#This Row],[ACTUAL]]-Table9[[#This Row],[REAL]]</f>
        <v>1106</v>
      </c>
      <c r="K9" s="145"/>
      <c r="L9" s="108"/>
    </row>
    <row r="10" spans="1:16384" customFormat="1" x14ac:dyDescent="0.25">
      <c r="A10" s="127" t="s">
        <v>1301</v>
      </c>
      <c r="B10" s="120" t="s">
        <v>1304</v>
      </c>
      <c r="C10" s="121">
        <v>45993</v>
      </c>
      <c r="D10" s="121">
        <v>46143</v>
      </c>
      <c r="E10" s="136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133">
        <f>Table9[[#This Row],[DAYS]]*20</f>
        <v>3020</v>
      </c>
      <c r="G10" s="133">
        <f>Table9[[#This Row],[DAYS]]*13</f>
        <v>1963</v>
      </c>
      <c r="H10" s="133">
        <f>Table9[[#This Row],[ACTUAL]]-Table9[[#This Row],[REAL]]</f>
        <v>1057</v>
      </c>
      <c r="K10" s="145"/>
      <c r="L10" s="108"/>
    </row>
    <row r="11" spans="1:16384" ht="15.75" thickBot="1" x14ac:dyDescent="0.3">
      <c r="A11" s="128" t="s">
        <v>1332</v>
      </c>
      <c r="B11" s="122" t="s">
        <v>1333</v>
      </c>
      <c r="C11" s="119">
        <v>45996</v>
      </c>
      <c r="D11" s="119">
        <v>46171</v>
      </c>
      <c r="E11" s="118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134">
        <f>Table9[[#This Row],[DAYS]]*20</f>
        <v>3520</v>
      </c>
      <c r="G11" s="134">
        <f>Table9[[#This Row],[DAYS]]*13</f>
        <v>2288</v>
      </c>
      <c r="H11" s="134">
        <f>Table9[[#This Row],[ACTUAL]]-Table9[[#This Row],[REAL]]</f>
        <v>1232</v>
      </c>
      <c r="K11" s="145"/>
      <c r="L11" s="108"/>
    </row>
    <row r="12" spans="1:16384" customFormat="1" ht="15.75" thickBot="1" x14ac:dyDescent="0.3">
      <c r="A12" s="127" t="s">
        <v>1340</v>
      </c>
      <c r="B12" s="120" t="s">
        <v>1341</v>
      </c>
      <c r="C12" s="121">
        <v>45997</v>
      </c>
      <c r="D12" s="121">
        <v>46143</v>
      </c>
      <c r="E12" s="136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3">
        <f>Table9[[#This Row],[DAYS]]*20</f>
        <v>2940</v>
      </c>
      <c r="G12" s="133">
        <f>Table9[[#This Row],[DAYS]]*13</f>
        <v>1911</v>
      </c>
      <c r="H12" s="133">
        <f>Table9[[#This Row],[ACTUAL]]-Table9[[#This Row],[REAL]]</f>
        <v>1029</v>
      </c>
      <c r="K12" s="145"/>
      <c r="L12" s="108"/>
    </row>
    <row r="13" spans="1:16384" customFormat="1" ht="15.75" thickBot="1" x14ac:dyDescent="0.3">
      <c r="A13" s="127" t="s">
        <v>1382</v>
      </c>
      <c r="B13" s="120" t="s">
        <v>1383</v>
      </c>
      <c r="C13" s="121">
        <v>46024</v>
      </c>
      <c r="D13" s="121">
        <v>46143</v>
      </c>
      <c r="E13" s="136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133">
        <f>Table9[[#This Row],[DAYS]]*20</f>
        <v>2400</v>
      </c>
      <c r="G13" s="133">
        <f>Table9[[#This Row],[DAYS]]*13</f>
        <v>1560</v>
      </c>
      <c r="H13" s="133">
        <f>Table9[[#This Row],[ACTUAL]]-Table9[[#This Row],[REAL]]</f>
        <v>840</v>
      </c>
      <c r="K13" s="145"/>
      <c r="L13" s="108"/>
    </row>
    <row r="14" spans="1:16384" customFormat="1" x14ac:dyDescent="0.25">
      <c r="A14" s="127" t="s">
        <v>1413</v>
      </c>
      <c r="B14" s="120" t="s">
        <v>1414</v>
      </c>
      <c r="C14" s="121">
        <v>46036</v>
      </c>
      <c r="D14" s="121">
        <v>46171</v>
      </c>
      <c r="E14" s="136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3">
        <f>Table9[[#This Row],[DAYS]]*20</f>
        <v>2720</v>
      </c>
      <c r="G14" s="133">
        <f>Table9[[#This Row],[DAYS]]*13</f>
        <v>1768</v>
      </c>
      <c r="H14" s="133">
        <f>Table9[[#This Row],[ACTUAL]]-Table9[[#This Row],[REAL]]</f>
        <v>952</v>
      </c>
      <c r="K14" s="145"/>
      <c r="L14" s="108"/>
    </row>
    <row r="15" spans="1:16384" s="108" customFormat="1" ht="15.75" thickBot="1" x14ac:dyDescent="0.3">
      <c r="A15" s="126" t="s">
        <v>1417</v>
      </c>
      <c r="B15" s="118" t="s">
        <v>1418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1424</v>
      </c>
      <c r="B16" s="120" t="s">
        <v>1425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1464</v>
      </c>
      <c r="B17" s="123" t="s">
        <v>1465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1473</v>
      </c>
      <c r="B18" s="118" t="s">
        <v>1474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1478</v>
      </c>
      <c r="B19" s="123" t="s">
        <v>1479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1481</v>
      </c>
      <c r="B20" s="123" t="s">
        <v>1482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1487</v>
      </c>
      <c r="B21" s="123" t="s">
        <v>1488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1535</v>
      </c>
      <c r="B22" s="123" t="s">
        <v>1536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1542</v>
      </c>
      <c r="B23" s="123" t="s">
        <v>1543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1815</v>
      </c>
      <c r="B24" s="123" t="s">
        <v>1816</v>
      </c>
      <c r="C24" s="124">
        <v>46107</v>
      </c>
      <c r="D24" s="119">
        <v>46234</v>
      </c>
      <c r="E24" s="15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56">
        <f>Table9[[#This Row],[DAYS]]*20</f>
        <v>2560</v>
      </c>
      <c r="G24" s="134">
        <f>Table9[[#This Row],[DAYS]]*13</f>
        <v>1664</v>
      </c>
      <c r="H24" s="134">
        <f>Table9[[#This Row],[ACTUAL]]-Table9[[#This Row],[REAL]]</f>
        <v>896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1825</v>
      </c>
      <c r="B25" s="123" t="s">
        <v>1826</v>
      </c>
      <c r="C25" s="124">
        <v>46113</v>
      </c>
      <c r="D25" s="119">
        <v>46164</v>
      </c>
      <c r="E25" s="118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134">
        <f>Table9[[#This Row],[DAYS]]*20</f>
        <v>1040</v>
      </c>
      <c r="G25" s="134">
        <f>Table9[[#This Row],[DAYS]]*13</f>
        <v>676</v>
      </c>
      <c r="H25" s="134">
        <f>Table9[[#This Row],[ACTUAL]]-Table9[[#This Row],[REAL]]</f>
        <v>364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1832</v>
      </c>
      <c r="B26" s="123" t="s">
        <v>1833</v>
      </c>
      <c r="C26" s="124">
        <v>46114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1850</v>
      </c>
      <c r="B27" s="123" t="s">
        <v>1851</v>
      </c>
      <c r="C27" s="124">
        <v>46118</v>
      </c>
      <c r="D27" s="119">
        <v>46234</v>
      </c>
      <c r="E27" s="15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56">
        <f>Table9[[#This Row],[DAYS]]*20</f>
        <v>2340</v>
      </c>
      <c r="G27" s="134">
        <f>Table9[[#This Row],[DAYS]]*13</f>
        <v>1521</v>
      </c>
      <c r="H27" s="134">
        <f>Table9[[#This Row],[ACTUAL]]-Table9[[#This Row],[REAL]]</f>
        <v>819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129" t="s">
        <v>1861</v>
      </c>
      <c r="B28" s="123" t="s">
        <v>1862</v>
      </c>
      <c r="C28" s="124">
        <v>46132</v>
      </c>
      <c r="D28" s="119"/>
      <c r="E28" s="118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34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s="126" t="s">
        <v>1875</v>
      </c>
      <c r="B29" s="118" t="s">
        <v>1876</v>
      </c>
      <c r="C29" s="119">
        <v>46134</v>
      </c>
      <c r="D29" s="119">
        <v>46262</v>
      </c>
      <c r="E29" s="118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34">
        <f>Table9[[#This Row],[DAYS]]*20</f>
        <v>2580</v>
      </c>
      <c r="G29" s="134">
        <f>Table9[[#This Row],[DAYS]]*13</f>
        <v>1677</v>
      </c>
      <c r="H29" s="134">
        <f>Table9[[#This Row],[ACTUAL]]-Table9[[#This Row],[REAL]]</f>
        <v>903</v>
      </c>
    </row>
    <row r="30" spans="1:16382" x14ac:dyDescent="0.25">
      <c r="A30" s="126" t="s">
        <v>1880</v>
      </c>
      <c r="B30" s="118" t="s">
        <v>1881</v>
      </c>
      <c r="C30" s="119">
        <v>46136</v>
      </c>
      <c r="D30" s="119"/>
      <c r="E30" s="118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34">
        <f>Table9[[#This Row],[DAYS]]*20</f>
        <v>0</v>
      </c>
      <c r="G30" s="134">
        <f>Table9[[#This Row],[DAYS]]*13</f>
        <v>0</v>
      </c>
      <c r="H30" s="134">
        <f>Table9[[#This Row],[ACTUAL]]-Table9[[#This Row],[REAL]]</f>
        <v>0</v>
      </c>
    </row>
    <row r="31" spans="1:16382" x14ac:dyDescent="0.25">
      <c r="A31" s="126" t="s">
        <v>1900</v>
      </c>
      <c r="B31" s="118" t="s">
        <v>1898</v>
      </c>
      <c r="C31" s="119">
        <v>46146</v>
      </c>
      <c r="D31" s="119">
        <v>46325</v>
      </c>
      <c r="E31" s="118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34">
        <f>Table9[[#This Row],[DAYS]]*20</f>
        <v>3600</v>
      </c>
      <c r="G31" s="134">
        <f>Table9[[#This Row],[DAYS]]*13</f>
        <v>2340</v>
      </c>
      <c r="H31" s="134">
        <f>Table9[[#This Row],[ACTUAL]]-Table9[[#This Row],[REAL]]</f>
        <v>1260</v>
      </c>
    </row>
    <row r="32" spans="1:16382" x14ac:dyDescent="0.25">
      <c r="A32" t="s">
        <v>831</v>
      </c>
      <c r="C32">
        <f>SUBTOTAL(103,Table9[ADMISSION DATE])</f>
        <v>29</v>
      </c>
      <c r="E32" s="137"/>
      <c r="F32" s="138">
        <f>SUBTOTAL(109,Table9[ACTUAL])</f>
        <v>57000</v>
      </c>
      <c r="G32" s="138">
        <f>SUBTOTAL(109,Table9[REAL])</f>
        <v>37050</v>
      </c>
      <c r="H32" s="138">
        <f>SUBTOTAL(109,Table9[DIFF])</f>
        <v>19950</v>
      </c>
    </row>
    <row r="34" spans="8:8" x14ac:dyDescent="0.25">
      <c r="H34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1526</v>
      </c>
      <c r="B1" s="25">
        <v>42000</v>
      </c>
      <c r="E1" s="10" t="s">
        <v>1353</v>
      </c>
      <c r="F1" s="25" t="s">
        <v>1530</v>
      </c>
    </row>
    <row r="2" spans="1:6" x14ac:dyDescent="0.25">
      <c r="E2" s="10" t="s">
        <v>1528</v>
      </c>
      <c r="F2" s="25">
        <v>46000</v>
      </c>
    </row>
    <row r="3" spans="1:6" x14ac:dyDescent="0.25">
      <c r="A3" t="s">
        <v>1519</v>
      </c>
      <c r="B3" t="s">
        <v>1518</v>
      </c>
      <c r="C3" t="s">
        <v>1522</v>
      </c>
      <c r="E3" s="10" t="s">
        <v>1529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1527</v>
      </c>
      <c r="F4" s="114">
        <f>F3/F2</f>
        <v>0.39130434782608697</v>
      </c>
    </row>
    <row r="7" spans="1:6" x14ac:dyDescent="0.25">
      <c r="A7" t="s">
        <v>1353</v>
      </c>
      <c r="B7" t="s">
        <v>1370</v>
      </c>
      <c r="C7" t="s">
        <v>1523</v>
      </c>
    </row>
    <row r="8" spans="1:6" x14ac:dyDescent="0.25">
      <c r="A8" t="s">
        <v>1520</v>
      </c>
      <c r="B8" s="24">
        <v>800</v>
      </c>
    </row>
    <row r="9" spans="1:6" x14ac:dyDescent="0.25">
      <c r="A9" t="s">
        <v>1521</v>
      </c>
      <c r="B9" s="24">
        <f>B8*12</f>
        <v>9600</v>
      </c>
    </row>
    <row r="10" spans="1:6" x14ac:dyDescent="0.25">
      <c r="A10" t="s">
        <v>1525</v>
      </c>
      <c r="B10" s="24">
        <v>2600</v>
      </c>
      <c r="C10" s="24" t="s">
        <v>1524</v>
      </c>
    </row>
    <row r="11" spans="1:6" x14ac:dyDescent="0.25">
      <c r="A11" t="s">
        <v>831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F08706-408E-47C1-B349-40FDE2073D1B}">
  <ds:schemaRefs/>
</ds:datastoreItem>
</file>

<file path=customXml/itemProps2.xml><?xml version="1.0" encoding="utf-8"?>
<ds:datastoreItem xmlns:ds="http://schemas.openxmlformats.org/officeDocument/2006/customXml" ds:itemID="{A66033D8-9E09-48A9-8F58-15C22883B810}">
  <ds:schemaRefs/>
</ds:datastoreItem>
</file>

<file path=customXml/itemProps3.xml><?xml version="1.0" encoding="utf-8"?>
<ds:datastoreItem xmlns:ds="http://schemas.openxmlformats.org/officeDocument/2006/customXml" ds:itemID="{1E5A4B24-CCCE-4EBC-A573-4C6E50F63715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CFA97AE1-06B7-4DDA-82E3-A5AFDC67324F}">
  <ds:schemaRefs/>
</ds:datastoreItem>
</file>

<file path=customXml/itemProps7.xml><?xml version="1.0" encoding="utf-8"?>
<ds:datastoreItem xmlns:ds="http://schemas.openxmlformats.org/officeDocument/2006/customXml" ds:itemID="{2EFD10E2-DC17-4AB4-9F02-14D159A97707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76A858BF-8FFD-431E-9F3C-0748E763935A}">
  <ds:schemaRefs/>
</ds:datastoreItem>
</file>

<file path=customXml/itemProps10.xml><?xml version="1.0" encoding="utf-8"?>
<ds:datastoreItem xmlns:ds="http://schemas.openxmlformats.org/officeDocument/2006/customXml" ds:itemID="{4CD9C7A4-C9DC-48F4-938D-A95F616BA37B}">
  <ds:schemaRefs/>
</ds:datastoreItem>
</file>

<file path=customXml/itemProps11.xml><?xml version="1.0" encoding="utf-8"?>
<ds:datastoreItem xmlns:ds="http://schemas.openxmlformats.org/officeDocument/2006/customXml" ds:itemID="{BE019F52-3444-40F0-B32E-D74316EAC05C}">
  <ds:schemaRefs/>
</ds:datastoreItem>
</file>

<file path=customXml/itemProps12.xml><?xml version="1.0" encoding="utf-8"?>
<ds:datastoreItem xmlns:ds="http://schemas.openxmlformats.org/officeDocument/2006/customXml" ds:itemID="{05DB1091-0A50-4F48-A555-1C1E90D06E00}">
  <ds:schemaRefs/>
</ds:datastoreItem>
</file>

<file path=customXml/itemProps13.xml><?xml version="1.0" encoding="utf-8"?>
<ds:datastoreItem xmlns:ds="http://schemas.openxmlformats.org/officeDocument/2006/customXml" ds:itemID="{F8C47C06-CC9F-4DCA-83FD-5D88532E2C7F}">
  <ds:schemaRefs/>
</ds:datastoreItem>
</file>

<file path=customXml/itemProps14.xml><?xml version="1.0" encoding="utf-8"?>
<ds:datastoreItem xmlns:ds="http://schemas.openxmlformats.org/officeDocument/2006/customXml" ds:itemID="{183FA34E-C40A-4E9F-9B88-1B57FC59D6C8}">
  <ds:schemaRefs/>
</ds:datastoreItem>
</file>

<file path=customXml/itemProps15.xml><?xml version="1.0" encoding="utf-8"?>
<ds:datastoreItem xmlns:ds="http://schemas.openxmlformats.org/officeDocument/2006/customXml" ds:itemID="{D395379C-4670-49DE-99AF-C13C2D4CEEAD}">
  <ds:schemaRefs/>
</ds:datastoreItem>
</file>

<file path=customXml/itemProps16.xml><?xml version="1.0" encoding="utf-8"?>
<ds:datastoreItem xmlns:ds="http://schemas.openxmlformats.org/officeDocument/2006/customXml" ds:itemID="{C5DFB910-8DD2-492B-AA5B-E53712970DC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2026-05-26T12:21:20Z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