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GTA\"/>
    </mc:Choice>
  </mc:AlternateContent>
  <xr:revisionPtr revIDLastSave="0" documentId="13_ncr:1_{E3F25FA1-8163-4B2E-B5B7-ECFDEDD588A0}" xr6:coauthVersionLast="47" xr6:coauthVersionMax="47" xr10:uidLastSave="{00000000-0000-0000-0000-000000000000}"/>
  <bookViews>
    <workbookView xWindow="-120" yWindow="-120" windowWidth="20640" windowHeight="11310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9" i="1" l="1"/>
  <c r="L390" i="1"/>
  <c r="Q389" i="1"/>
  <c r="R389" i="1" s="1"/>
  <c r="S389" i="1"/>
  <c r="T389" i="1"/>
  <c r="Q390" i="1"/>
  <c r="R390" i="1" s="1"/>
  <c r="S390" i="1"/>
  <c r="T390" i="1"/>
  <c r="E44" i="31" a="1"/>
  <c r="E44" i="31" s="1"/>
  <c r="E45" i="31" a="1"/>
  <c r="E45" i="31" s="1"/>
  <c r="H7" i="5"/>
  <c r="F44" i="31" l="1"/>
  <c r="G44" i="31"/>
  <c r="F45" i="31"/>
  <c r="G45" i="31"/>
  <c r="L387" i="1"/>
  <c r="L388" i="1"/>
  <c r="Q388" i="1"/>
  <c r="R388" i="1" s="1"/>
  <c r="S388" i="1"/>
  <c r="T388" i="1"/>
  <c r="Q387" i="1"/>
  <c r="R387" i="1" s="1"/>
  <c r="S387" i="1"/>
  <c r="T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T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H44" i="31" l="1"/>
  <c r="H45" i="31"/>
  <c r="G23" i="3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T385" i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T382" i="1"/>
  <c r="T383" i="1"/>
  <c r="T381" i="1"/>
  <c r="T380" i="1"/>
  <c r="T384" i="1"/>
  <c r="M391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T378" i="1"/>
  <c r="T379" i="1"/>
  <c r="H19" i="31" l="1"/>
  <c r="H42" i="31"/>
  <c r="H41" i="31"/>
  <c r="L376" i="1"/>
  <c r="L377" i="1"/>
  <c r="T377" i="1"/>
  <c r="E34" i="31" a="1"/>
  <c r="E34" i="31" s="1"/>
  <c r="T376" i="1"/>
  <c r="E39" i="31" a="1"/>
  <c r="E39" i="31" s="1"/>
  <c r="L375" i="1"/>
  <c r="T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T371" i="1"/>
  <c r="T372" i="1"/>
  <c r="T373" i="1"/>
  <c r="T374" i="1"/>
  <c r="E38" i="31" a="1"/>
  <c r="E38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T360" i="1"/>
  <c r="T359" i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91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6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6" i="31" s="1"/>
  <c r="H7" i="31" l="1"/>
  <c r="G46" i="31"/>
  <c r="H24" i="31"/>
  <c r="H4" i="31"/>
  <c r="O15" i="26"/>
  <c r="J6" i="31" l="1"/>
  <c r="H46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91" i="1" l="1"/>
  <c r="Q391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<sst xmlns="http://schemas.openxmlformats.org/spreadsheetml/2006/main" count="3736" uniqueCount="1997">
  <si>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</si>
  <si>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</si>
  <si>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</si>
  <si>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</si>
  <si>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</si>
  <si>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</si>
  <si>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</si>
  <si>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</si>
  <si>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</si>
  <si>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</si>
  <si>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</si>
  <si>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</si>
  <si>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</si>
  <si>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</si>
  <si>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</si>
  <si>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</si>
  <si>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</si>
  <si>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</si>
  <si>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</si>
  <si>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</si>
  <si>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</si>
  <si>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</si>
  <si>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</si>
  <si>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</si>
  <si>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</si>
  <si>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</si>
  <si>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</si>
  <si>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</si>
  <si>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</si>
  <si>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</si>
  <si>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</si>
  <si>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</si>
  <si>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</si>
  <si>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</si>
  <si>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</si>
  <si>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</si>
  <si>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</si>
  <si>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</si>
  <si>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</si>
  <si>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</si>
  <si>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</si>
  <si>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</si>
  <si>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</si>
  <si>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</si>
  <si>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</si>
  <si>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</si>
  <si>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</si>
  <si>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</si>
  <si>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</si>
  <si>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</si>
  <si>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</si>
  <si>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</si>
  <si>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</si>
  <si>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</si>
  <si>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</si>
  <si>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</si>
  <si>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</si>
  <si>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</si>
  <si>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</si>
  <si>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</si>
  <si>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</si>
  <si>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</si>
  <si>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</si>
  <si>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</si>
  <si>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</si>
  <si>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</si>
  <si>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</si>
  <si>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</si>
  <si>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</si>
  <si>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</si>
  <si>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</si>
  <si>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</si>
  <si>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</si>
  <si>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</si>
  <si>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</si>
  <si>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</si>
  <si>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</si>
  <si>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</si>
  <si>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</si>
  <si>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</si>
  <si>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</si>
  <si>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</si>
  <si>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</si>
  <si>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</si>
  <si>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</si>
  <si>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</si>
  <si>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</si>
  <si>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</si>
  <si>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</si>
  <si>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</si>
  <si>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</si>
  <si>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</si>
  <si>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</si>
  <si>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</si>
  <si>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</si>
  <si>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</si>
  <si>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</si>
  <si>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</si>
  <si>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</si>
  <si>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</si>
  <si>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</si>
  <si>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</si>
  <si>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</si>
  <si>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</si>
  <si>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</si>
  <si>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</si>
  <si>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</si>
  <si>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</si>
  <si>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</si>
  <si>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</si>
  <si>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</si>
  <si>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</si>
  <si>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</si>
  <si>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</si>
  <si>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</si>
  <si>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</si>
  <si>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</si>
  <si>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</si>
  <si>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</si>
  <si>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</si>
  <si>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</si>
  <si>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</si>
  <si>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</si>
  <si>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</si>
  <si>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</si>
  <si>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</si>
  <si>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</si>
  <si>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</si>
  <si>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</si>
  <si>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</si>
  <si>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</si>
  <si>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</si>
  <si>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</si>
  <si>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</si>
  <si>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</si>
  <si>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</si>
  <si>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</si>
  <si>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</si>
  <si>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</si>
  <si>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</si>
  <si>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</si>
  <si>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</si>
  <si>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</si>
  <si>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</si>
  <si>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</si>
  <si>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</si>
  <si>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</si>
  <si>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</si>
  <si>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</si>
  <si>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</si>
  <si>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</si>
  <si>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</si>
  <si>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</si>
  <si>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</si>
  <si>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</si>
  <si>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</si>
  <si>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</si>
  <si>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</si>
  <si>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</si>
  <si>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</si>
  <si>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</si>
  <si>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</si>
  <si>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</si>
  <si>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</si>
  <si>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</si>
  <si>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</si>
  <si>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</si>
  <si>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</si>
  <si>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</si>
  <si>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</si>
  <si>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</si>
  <si>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</si>
  <si>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</si>
  <si>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</si>
  <si>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</si>
  <si>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</si>
  <si>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</si>
  <si>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</si>
  <si>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</si>
  <si>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</si>
  <si>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</si>
  <si>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</si>
  <si>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</si>
  <si>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</si>
  <si>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</si>
  <si>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</si>
  <si>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</si>
  <si>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</si>
  <si>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</si>
  <si>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</si>
  <si>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</si>
  <si>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</si>
  <si>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</si>
  <si>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</si>
  <si>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</si>
  <si>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</si>
  <si>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</si>
  <si>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</si>
  <si>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</si>
  <si>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</si>
  <si>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</si>
  <si>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</si>
  <si>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</si>
  <si>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</si>
  <si>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</si>
  <si>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</si>
  <si>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</si>
  <si>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</si>
  <si>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</si>
  <si>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</si>
  <si>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</si>
  <si>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</si>
  <si>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</si>
  <si>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</si>
  <si>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</si>
  <si>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</si>
  <si>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</si>
  <si>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</si>
  <si>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</si>
  <si>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</si>
  <si>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</si>
  <si>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</si>
  <si>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</si>
  <si>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</si>
  <si>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</si>
  <si>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</si>
  <si>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</si>
  <si>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</si>
  <si>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</si>
  <si>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</si>
  <si>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</si>
  <si>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</si>
  <si>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</si>
  <si>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</si>
  <si>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</si>
  <si>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</si>
  <si>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</si>
  <si>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</si>
  <si>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</si>
  <si>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</si>
  <si>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</si>
  <si>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</si>
  <si>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</si>
  <si>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</si>
  <si>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</si>
  <si>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</si>
  <si>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</si>
  <si>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</si>
  <si>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</si>
  <si>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</si>
  <si>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</si>
  <si>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</si>
  <si>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</si>
  <si>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</si>
  <si>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</si>
  <si>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</si>
  <si>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</si>
  <si>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</si>
  <si>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</si>
  <si>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</si>
  <si>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</si>
  <si>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</si>
  <si>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</si>
  <si>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</si>
  <si>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</si>
  <si>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</si>
  <si>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</si>
  <si>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</si>
  <si>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</si>
  <si>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</si>
  <si>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</si>
  <si>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</si>
  <si>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</si>
  <si>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</si>
  <si>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</si>
  <si>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</si>
  <si>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</si>
  <si>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</si>
  <si>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</si>
  <si>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</si>
  <si>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</si>
  <si>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</si>
  <si>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</si>
  <si>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</si>
  <si>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</si>
  <si>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</si>
  <si>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</si>
  <si>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</si>
  <si>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</si>
  <si>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</si>
  <si>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</si>
  <si>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</si>
  <si>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</si>
  <si>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</si>
  <si>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</si>
  <si>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</si>
  <si>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</si>
  <si>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</si>
  <si>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</si>
  <si>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</si>
  <si>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</si>
  <si>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</si>
  <si>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</si>
  <si>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</si>
  <si>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</si>
  <si>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</si>
  <si>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</si>
  <si>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</si>
  <si>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</si>
  <si>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</si>
  <si>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</si>
  <si>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</si>
  <si>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</si>
  <si>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</si>
  <si>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</si>
  <si>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</si>
  <si>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</si>
  <si>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</si>
  <si>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</si>
  <si>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</si>
  <si>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</si>
  <si>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</si>
  <si>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</si>
  <si>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</si>
  <si>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</si>
  <si>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</si>
  <si>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</si>
  <si>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</si>
  <si>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</si>
  <si>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</si>
  <si>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</si>
  <si>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</si>
  <si>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</si>
  <si>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</si>
  <si>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</si>
  <si>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</si>
  <si>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</si>
  <si>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</si>
  <si>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</si>
  <si>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</si>
  <si>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</si>
  <si>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</si>
  <si>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</si>
  <si>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</si>
  <si>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</si>
  <si>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</si>
  <si>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</si>
  <si>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</si>
  <si>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</si>
  <si>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</si>
  <si>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</si>
  <si>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</si>
  <si>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</si>
  <si>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</si>
  <si>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</si>
  <si>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</si>
  <si>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</si>
  <si>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</si>
  <si>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</si>
  <si>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</si>
  <si>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</si>
  <si>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</si>
  <si>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</si>
  <si>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</si>
  <si>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</si>
  <si>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</si>
  <si>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</si>
  <si>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</si>
  <si>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</si>
  <si>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</si>
  <si>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</si>
  <si>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</si>
  <si>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</si>
  <si>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</si>
  <si>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</si>
  <si>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</si>
  <si>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</si>
  <si>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</si>
  <si>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</si>
  <si>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</si>
  <si>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</si>
  <si>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</si>
  <si>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</si>
  <si>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</si>
  <si>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</si>
  <si>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</si>
  <si>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</si>
  <si>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</si>
  <si>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</si>
  <si>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</si>
  <si>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</si>
  <si>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</si>
  <si>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</si>
  <si>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</si>
  <si>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</si>
  <si>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</si>
  <si>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</si>
  <si>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</si>
  <si>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</si>
  <si>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</si>
  <si>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</si>
  <si>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</si>
  <si>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</si>
  <si>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</si>
  <si>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</si>
  <si>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</si>
  <si>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</si>
  <si>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</si>
  <si>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</si>
  <si>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</si>
  <si>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</si>
  <si>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</si>
  <si>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</si>
  <si>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</si>
  <si>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</si>
  <si>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</si>
  <si>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</si>
  <si>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</si>
  <si>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</si>
  <si>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</si>
  <si>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</si>
  <si>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</si>
  <si>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</si>
  <si>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</si>
  <si>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</si>
  <si>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</si>
  <si>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</si>
  <si>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</si>
  <si>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</si>
  <si>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</si>
  <si>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</si>
  <si>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</si>
  <si>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</si>
  <si>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</si>
  <si>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</si>
  <si>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</si>
  <si>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</si>
  <si>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</si>
  <si>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</si>
  <si>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</si>
  <si>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</si>
  <si>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</si>
  <si>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</si>
  <si>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</si>
  <si>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</si>
  <si>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</si>
  <si>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</si>
  <si>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</si>
  <si>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</si>
  <si>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</si>
  <si>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</si>
  <si>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</si>
  <si>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</si>
  <si>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</si>
  <si>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</si>
  <si>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</si>
  <si>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</si>
  <si>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</si>
  <si>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</si>
  <si>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</si>
  <si>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</si>
  <si>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</si>
  <si>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</si>
  <si>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</si>
  <si>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</si>
  <si>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</si>
  <si>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</si>
  <si>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</si>
  <si>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</si>
  <si>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</si>
  <si>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</si>
  <si>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</si>
  <si>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</si>
  <si>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</si>
  <si>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</si>
  <si>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</si>
  <si>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</si>
  <si>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</si>
  <si>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</si>
  <si>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</si>
  <si>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</si>
  <si>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</si>
  <si>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</si>
  <si>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</si>
  <si>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</si>
  <si>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</si>
  <si>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</si>
  <si>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</si>
  <si>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</si>
  <si>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</si>
  <si>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</si>
  <si>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</si>
  <si>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</si>
  <si>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</si>
  <si>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</si>
  <si>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</si>
  <si>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</si>
  <si>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</si>
  <si>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</si>
  <si>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</si>
  <si>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</si>
  <si>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</si>
  <si>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</si>
  <si>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</si>
  <si>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</si>
  <si>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</si>
  <si>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</si>
  <si>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</si>
  <si>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</si>
  <si>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</si>
  <si>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</si>
  <si>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</si>
  <si>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</si>
  <si>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</si>
  <si>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</si>
  <si>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</si>
  <si>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</si>
  <si>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</si>
  <si>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</si>
  <si>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</si>
  <si>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</si>
  <si>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</si>
  <si>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</si>
  <si>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</si>
  <si>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</si>
  <si>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</si>
  <si>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</si>
  <si>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</si>
  <si>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</si>
  <si>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</si>
  <si>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</si>
  <si>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</si>
  <si>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</si>
  <si>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</si>
  <si>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</si>
  <si>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</si>
  <si>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</si>
  <si>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</si>
  <si>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</si>
  <si>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</si>
  <si>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</si>
  <si>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</si>
  <si>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</si>
  <si>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</si>
  <si>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</si>
  <si>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</si>
  <si>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</si>
  <si>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</si>
  <si>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</si>
  <si>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</si>
  <si>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</si>
  <si>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</si>
  <si>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</si>
  <si>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</si>
  <si>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</si>
  <si>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</si>
  <si>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</si>
  <si>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</si>
  <si>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</si>
  <si>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</si>
  <si>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</si>
  <si>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</si>
  <si>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</si>
  <si>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</si>
  <si>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</si>
  <si>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</si>
  <si>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</si>
  <si>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</si>
  <si>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</si>
  <si>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</si>
  <si>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</si>
  <si>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</si>
  <si>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</si>
  <si>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</si>
  <si>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</si>
  <si>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</si>
  <si>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</si>
  <si>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</si>
  <si>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</si>
  <si>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</si>
  <si>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</si>
  <si>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</si>
  <si>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</si>
  <si>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</si>
  <si>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</si>
  <si>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</si>
  <si>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</si>
  <si>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</si>
  <si>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</si>
  <si>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</si>
  <si>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</si>
  <si>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</si>
  <si>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</si>
  <si>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</si>
  <si>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</si>
  <si>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</si>
  <si>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</si>
  <si>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</si>
  <si>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</si>
  <si>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</si>
  <si>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</si>
  <si>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</si>
  <si>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</si>
  <si>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</si>
  <si>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</si>
  <si>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</si>
  <si>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</si>
  <si>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</si>
  <si>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</si>
  <si>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</si>
  <si>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</si>
  <si>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</si>
  <si>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</si>
  <si>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</si>
  <si>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</si>
  <si>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</si>
  <si>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</si>
  <si>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</si>
  <si>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</si>
  <si>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</si>
  <si>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</si>
  <si>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</si>
  <si>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</si>
  <si>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</si>
  <si>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</si>
  <si>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</si>
  <si>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</si>
  <si>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</si>
  <si>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</si>
  <si>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</si>
  <si>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</si>
  <si>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</si>
  <si>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</si>
  <si>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</si>
  <si>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</si>
  <si>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</si>
  <si>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</si>
  <si>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</si>
  <si>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</si>
  <si>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</si>
  <si>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</si>
  <si>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</si>
  <si>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</si>
  <si>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</si>
  <si>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</si>
  <si>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</si>
  <si>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</si>
  <si>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</si>
  <si>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</si>
  <si>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</si>
  <si>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</si>
  <si>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</si>
  <si>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</si>
  <si>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</si>
  <si>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</si>
  <si>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</si>
  <si>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</si>
  <si>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</si>
  <si>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</si>
  <si>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</si>
  <si>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</si>
  <si>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</si>
  <si>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</si>
  <si>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</si>
  <si>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</si>
  <si>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</si>
  <si>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</si>
  <si>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</si>
  <si>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</si>
  <si>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</si>
  <si>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</si>
  <si>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</si>
  <si>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</si>
  <si>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</si>
  <si>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</si>
  <si>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</si>
  <si>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</si>
  <si>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</si>
  <si>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</si>
  <si>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</si>
  <si>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</si>
  <si>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</si>
  <si>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</si>
  <si>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</si>
  <si>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</si>
  <si>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</si>
  <si>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</si>
  <si>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</si>
  <si>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</si>
  <si>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</si>
  <si>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</si>
  <si>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</si>
  <si>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</si>
  <si>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</si>
  <si>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</si>
  <si>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</si>
  <si>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</si>
  <si>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</si>
  <si>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</si>
  <si>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</si>
  <si>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</si>
  <si>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</si>
  <si>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</si>
  <si>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</si>
  <si>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</si>
  <si>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</si>
  <si>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</si>
  <si>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</si>
  <si>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</si>
  <si>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</si>
  <si>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</si>
  <si>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</si>
  <si>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</si>
  <si>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</si>
  <si>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</si>
  <si>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</si>
  <si>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</si>
  <si>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</si>
  <si>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</si>
  <si>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</si>
  <si>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</si>
  <si>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</si>
  <si>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</si>
  <si>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</si>
  <si>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</si>
  <si>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</si>
  <si>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</si>
  <si>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</si>
  <si>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</si>
  <si>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</si>
  <si>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</si>
  <si>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</si>
  <si>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</si>
  <si>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</si>
  <si>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</si>
  <si>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</si>
  <si>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</si>
  <si>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</si>
  <si>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</si>
  <si>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</si>
  <si>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</si>
  <si>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</si>
  <si>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</si>
  <si>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</si>
  <si>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</si>
  <si>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</si>
  <si>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</si>
  <si>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</si>
  <si>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</si>
  <si>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</si>
  <si>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</si>
  <si>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</si>
  <si>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</si>
  <si>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</si>
  <si>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</si>
  <si>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</si>
  <si>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</si>
  <si>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</si>
  <si>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</si>
  <si>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</si>
  <si>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</si>
  <si>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</si>
  <si>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</si>
  <si>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</si>
  <si>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</si>
  <si>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</si>
  <si>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</si>
  <si>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</si>
  <si>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</si>
  <si>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</si>
  <si>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</si>
  <si>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</si>
  <si>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</si>
  <si>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</si>
  <si>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</si>
  <si>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</si>
  <si>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</si>
  <si>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</si>
  <si>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</si>
  <si>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</si>
  <si>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</si>
  <si>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</si>
  <si>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</si>
  <si>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</si>
  <si>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</si>
  <si>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</si>
  <si>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</si>
  <si>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</si>
  <si>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</si>
  <si>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</si>
  <si>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</si>
  <si>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</si>
  <si>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</si>
  <si>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</si>
  <si>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</si>
  <si>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</si>
  <si>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</si>
  <si>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</si>
  <si>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</si>
  <si>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</si>
  <si>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</si>
  <si>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</si>
  <si>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</si>
  <si>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</si>
  <si>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</si>
  <si>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</si>
  <si>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</si>
  <si>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</si>
  <si>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</si>
  <si>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</si>
  <si>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</si>
  <si>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</si>
  <si>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</si>
  <si>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</si>
  <si>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</si>
  <si>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</si>
  <si>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</si>
  <si>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</si>
  <si>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</si>
  <si>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</si>
  <si>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</si>
  <si>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</si>
  <si>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</si>
  <si>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</si>
  <si>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</si>
  <si>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</si>
  <si>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</si>
  <si>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</si>
  <si>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</si>
  <si>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</si>
  <si>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</si>
  <si>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</si>
  <si>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</si>
  <si>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</si>
  <si>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</si>
  <si>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</si>
  <si>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</si>
  <si>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</si>
  <si>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</si>
  <si>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</si>
  <si>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</si>
  <si>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</si>
  <si>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</si>
  <si>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</si>
  <si>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</si>
  <si>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</si>
  <si>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</si>
  <si>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</si>
  <si>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</si>
  <si>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</si>
  <si>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</si>
  <si>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</si>
  <si>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</si>
  <si>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</si>
  <si>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</si>
  <si>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</si>
  <si>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</si>
  <si>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</si>
  <si>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</si>
  <si>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</si>
  <si>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</si>
  <si>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</si>
  <si>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</si>
  <si>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</si>
  <si>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</si>
  <si>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</si>
  <si>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</si>
  <si>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</si>
  <si>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</si>
  <si>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</si>
  <si>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</si>
  <si>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</si>
  <si>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</si>
  <si>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</si>
  <si>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</si>
  <si>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</si>
  <si>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</si>
  <si>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</si>
  <si>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</si>
  <si>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</si>
  <si>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</si>
  <si>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</si>
  <si>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</si>
  <si>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</si>
  <si>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</si>
  <si>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</si>
  <si>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</si>
  <si>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</si>
  <si>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</si>
  <si>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</si>
  <si>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</si>
  <si>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</si>
  <si>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</si>
  <si>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</si>
  <si>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</si>
  <si>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</si>
  <si>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</si>
  <si>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</si>
  <si>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</si>
  <si>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</si>
  <si>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</si>
  <si>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</si>
  <si>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</si>
  <si>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</si>
  <si>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</si>
  <si>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</si>
  <si>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</si>
  <si>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</si>
  <si>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</si>
  <si>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</si>
  <si>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</si>
  <si>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</si>
  <si>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</si>
  <si>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</si>
  <si>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</si>
  <si>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</si>
  <si>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</si>
  <si>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</si>
  <si>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</si>
  <si>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</si>
  <si>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</si>
  <si>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</si>
  <si>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</si>
  <si>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</si>
  <si>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</si>
  <si>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</si>
  <si>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</si>
  <si>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</si>
  <si>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</si>
  <si>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</si>
  <si>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</si>
  <si>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</si>
  <si>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</si>
  <si>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</si>
  <si>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</si>
  <si>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</si>
  <si>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</si>
  <si>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</si>
  <si>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</si>
  <si>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</si>
  <si>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</si>
  <si>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</si>
  <si>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</si>
  <si>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</si>
  <si>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</si>
  <si>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</si>
  <si>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</si>
  <si>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</si>
  <si>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</si>
  <si>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</si>
  <si>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</si>
  <si>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</si>
  <si>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</si>
  <si>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</si>
  <si>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</si>
  <si>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</si>
  <si>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</si>
  <si>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</si>
  <si>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</si>
  <si>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</si>
  <si>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</si>
  <si>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</si>
  <si>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</si>
  <si>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</si>
  <si>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</si>
  <si>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</si>
  <si>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</si>
  <si>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</si>
  <si>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</si>
  <si>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</si>
  <si>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</si>
  <si>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</si>
  <si>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</si>
  <si>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</si>
  <si>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</si>
  <si>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</si>
  <si>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</si>
  <si>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</si>
  <si>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</si>
  <si>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</si>
  <si>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</si>
  <si>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</si>
  <si>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</si>
  <si>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</si>
  <si>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</si>
  <si>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</si>
  <si>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</si>
  <si>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</si>
  <si>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</si>
  <si>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</si>
  <si>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</si>
  <si>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</si>
  <si>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</si>
  <si>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</si>
  <si>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</si>
  <si>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</si>
  <si>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</si>
  <si>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</si>
  <si>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</si>
  <si>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</si>
  <si>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</si>
  <si>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</si>
  <si>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</si>
  <si>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</si>
  <si>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</si>
  <si>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</si>
  <si>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</si>
  <si>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</si>
  <si>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</si>
  <si>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</si>
  <si>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</si>
  <si>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</si>
  <si>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</si>
  <si>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</si>
  <si>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</si>
  <si>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</si>
  <si>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</si>
  <si>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</si>
  <si>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</si>
  <si>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</si>
  <si>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</si>
  <si>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</si>
  <si>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</si>
  <si>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</si>
  <si>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</si>
  <si>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</si>
  <si>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</si>
  <si>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</si>
  <si>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</si>
  <si>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</si>
  <si>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</si>
  <si>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</si>
  <si>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</si>
  <si>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</si>
  <si>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</si>
  <si>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</si>
  <si>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</si>
  <si>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</si>
  <si>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</si>
  <si>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</si>
  <si>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</si>
  <si>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</si>
  <si>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</si>
  <si>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</si>
  <si>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</si>
  <si>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</si>
  <si>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</si>
  <si>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</si>
  <si>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</si>
  <si>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</si>
  <si>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</si>
  <si>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</si>
  <si>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</si>
  <si>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</si>
  <si>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</si>
  <si>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</si>
  <si>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</si>
  <si>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</si>
  <si>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</si>
  <si>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</si>
  <si>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</si>
  <si>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</si>
  <si>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</si>
  <si>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</si>
  <si>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</si>
  <si>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</si>
  <si>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</si>
  <si>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</si>
  <si>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</si>
  <si>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</si>
  <si>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</si>
  <si>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</si>
  <si>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</si>
  <si>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</si>
  <si>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</si>
  <si>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</si>
  <si>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</si>
  <si>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</si>
  <si>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</si>
  <si>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</si>
  <si>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</si>
  <si>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</si>
  <si>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</si>
  <si>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</si>
  <si>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</si>
  <si>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</si>
  <si>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</si>
  <si>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</si>
  <si>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</si>
  <si>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</si>
  <si>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</si>
  <si>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</si>
  <si>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</si>
  <si>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</si>
  <si>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</si>
  <si>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</si>
  <si>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</si>
  <si>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</si>
  <si>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</si>
  <si>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</si>
  <si>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</si>
  <si>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</si>
  <si>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</si>
  <si>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</si>
  <si>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</si>
  <si>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</si>
  <si>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</si>
  <si>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</si>
  <si>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</si>
  <si>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</si>
  <si>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</si>
  <si>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</si>
  <si>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</si>
  <si>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</si>
  <si>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</si>
  <si>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</si>
  <si>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</si>
  <si>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</si>
  <si>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</si>
  <si>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</si>
  <si>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</si>
  <si>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</si>
  <si>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</si>
  <si>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</si>
  <si>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</si>
  <si>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</si>
  <si>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</si>
  <si>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</si>
  <si>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</si>
  <si>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</si>
  <si>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</si>
  <si>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</si>
  <si>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</si>
  <si>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</si>
  <si>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</si>
  <si>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</si>
  <si>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</si>
  <si>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</si>
  <si>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</si>
  <si>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</si>
  <si>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</si>
  <si>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</si>
  <si>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</si>
  <si>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</si>
  <si>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</si>
  <si>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</si>
  <si>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</si>
  <si>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</si>
  <si>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</si>
  <si>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</si>
  <si>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</si>
  <si>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</si>
  <si>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</si>
  <si>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</si>
  <si>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</si>
  <si>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</si>
  <si>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</si>
  <si>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</si>
  <si>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</si>
  <si>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</si>
  <si>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</si>
  <si>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</si>
  <si>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</si>
  <si>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</si>
  <si>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</si>
  <si>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</si>
  <si>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</si>
  <si>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</si>
  <si>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</si>
  <si>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</si>
  <si>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</si>
  <si>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</si>
  <si>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</si>
  <si>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</si>
  <si>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</si>
  <si>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</si>
  <si>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</si>
  <si>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</si>
  <si>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</si>
  <si>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</si>
  <si>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</si>
  <si>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</si>
  <si>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</si>
  <si>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</si>
  <si>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</si>
  <si>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</si>
  <si>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</si>
  <si>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</si>
  <si>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</si>
  <si>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</si>
  <si>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</si>
  <si>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</si>
  <si>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</si>
  <si>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</si>
  <si>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</si>
  <si>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</si>
  <si>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</si>
  <si>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</si>
  <si>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</si>
  <si>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</si>
  <si>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</si>
  <si>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</si>
  <si>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</si>
  <si>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</si>
  <si>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</si>
  <si>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</si>
  <si>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</si>
  <si>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</si>
  <si>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</si>
  <si>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</si>
  <si>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</si>
  <si>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</si>
  <si>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</si>
  <si>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</si>
  <si>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</si>
  <si>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</si>
  <si>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</si>
  <si>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</si>
  <si>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</si>
  <si>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</si>
  <si>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</si>
  <si>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</si>
  <si>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</si>
  <si>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</si>
  <si>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</si>
  <si>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</si>
  <si>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</si>
  <si>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</si>
  <si>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</si>
  <si>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</si>
  <si>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</si>
  <si>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</si>
  <si>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</si>
  <si>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</si>
  <si>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</si>
  <si>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</si>
  <si>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</si>
  <si>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</si>
  <si>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</si>
  <si>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</si>
  <si>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</si>
  <si>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</si>
  <si>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</si>
  <si>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</si>
  <si>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</si>
  <si>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</si>
  <si>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</si>
  <si>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</si>
  <si>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</si>
  <si>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</si>
  <si>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</si>
  <si>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</si>
  <si>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</si>
  <si>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</si>
  <si>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</si>
  <si>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</si>
  <si>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</si>
  <si>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</si>
  <si>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</si>
  <si>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</si>
  <si>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</si>
  <si>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</si>
  <si>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</si>
  <si>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</si>
  <si>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</si>
  <si>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</si>
  <si>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</si>
  <si>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</si>
  <si>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</si>
  <si>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</si>
  <si>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</si>
  <si>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</si>
  <si>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</si>
  <si>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</si>
  <si>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</si>
  <si>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</si>
  <si>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</si>
  <si>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</si>
  <si>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</si>
  <si>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</si>
  <si>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</si>
  <si>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</si>
  <si>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</si>
  <si>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</si>
  <si>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</si>
  <si>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</si>
  <si>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</si>
  <si>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</si>
  <si>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</si>
  <si>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</si>
  <si>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</si>
  <si>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</si>
  <si>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</si>
  <si>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</si>
  <si>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</si>
  <si>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</si>
  <si>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</si>
  <si>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</si>
  <si>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</si>
  <si>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</si>
  <si>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</si>
  <si>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</si>
  <si>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</si>
  <si>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</si>
  <si>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</si>
  <si>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</si>
  <si>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</si>
  <si>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</si>
  <si>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</si>
  <si>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</si>
  <si>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</si>
  <si>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</si>
  <si>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</si>
  <si>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</si>
  <si>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</si>
  <si>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</si>
  <si>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</si>
  <si>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</si>
  <si>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</si>
  <si>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</si>
  <si>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</si>
  <si>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</si>
  <si>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</si>
  <si>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</si>
  <si>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</si>
  <si>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</si>
  <si>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</si>
  <si>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</si>
  <si>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</si>
  <si>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</si>
  <si>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</si>
  <si>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</si>
  <si>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</si>
  <si>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</si>
  <si>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</si>
  <si>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</si>
  <si>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</si>
  <si>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</si>
  <si>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</si>
  <si>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</si>
  <si>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</si>
  <si>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</si>
  <si>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</si>
  <si>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</si>
  <si>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</si>
  <si>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</si>
  <si>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</si>
  <si>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</si>
  <si>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</si>
  <si>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</si>
  <si>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</si>
  <si>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</si>
  <si>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</si>
  <si>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</si>
  <si>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</si>
  <si>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</si>
  <si>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</si>
  <si>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</si>
  <si>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</si>
  <si>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</si>
  <si>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</si>
  <si>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</si>
  <si>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</si>
  <si>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</si>
  <si>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</si>
  <si>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</si>
  <si>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</si>
  <si>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</si>
  <si>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</si>
  <si>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</si>
  <si>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</si>
  <si>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</si>
  <si>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</si>
  <si>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</si>
  <si>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</si>
  <si>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</si>
  <si>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</si>
  <si>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</si>
  <si>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</si>
  <si>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</si>
  <si>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</si>
  <si>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</si>
  <si>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</si>
  <si>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</si>
  <si>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</si>
  <si>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</si>
  <si>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</si>
  <si>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</si>
  <si>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</si>
  <si>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</si>
  <si>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</si>
  <si>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</si>
  <si>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</si>
  <si>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</si>
  <si>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</si>
  <si>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</si>
  <si>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</si>
  <si>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</si>
  <si>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</si>
  <si>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</si>
  <si>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</si>
  <si>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</si>
  <si>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</si>
  <si>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</si>
  <si>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</si>
  <si>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</si>
  <si>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</si>
  <si>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</si>
  <si>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</si>
  <si>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</si>
  <si>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</si>
  <si>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</si>
  <si>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</si>
  <si>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</si>
  <si>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</si>
  <si>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</si>
  <si>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</si>
  <si>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</si>
  <si>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</si>
  <si>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</si>
  <si>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</si>
  <si>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</si>
  <si>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</si>
  <si>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</si>
  <si>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</si>
  <si>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</si>
  <si>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</si>
  <si>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</si>
  <si>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</si>
  <si>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</si>
  <si>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</si>
  <si>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</si>
  <si>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</si>
  <si>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</si>
  <si>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</si>
  <si>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</si>
  <si>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</si>
  <si>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</si>
  <si>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</si>
  <si>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</si>
  <si>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</si>
  <si>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</si>
  <si>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</si>
  <si>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</si>
  <si>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</si>
  <si>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</si>
  <si>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</si>
  <si>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</si>
  <si>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</si>
  <si>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</si>
  <si>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</si>
  <si>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</si>
  <si>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</si>
  <si>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</si>
  <si>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</si>
  <si>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</si>
  <si>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</si>
  <si>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</si>
  <si>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</si>
  <si>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</si>
  <si>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</si>
  <si>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</si>
  <si>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</si>
  <si>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</si>
  <si>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</si>
  <si>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</si>
  <si>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</si>
  <si>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</si>
  <si>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</si>
  <si>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</si>
  <si>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</si>
  <si>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</si>
  <si>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</si>
  <si>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</si>
  <si>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</si>
  <si>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</si>
  <si>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</si>
  <si>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</si>
  <si>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</si>
  <si>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</si>
  <si>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</si>
  <si>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</si>
  <si>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</si>
  <si>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</si>
  <si>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</si>
  <si>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</si>
  <si>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</si>
  <si>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</si>
  <si>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</si>
  <si>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</si>
  <si>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</si>
  <si>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</si>
  <si>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</si>
  <si>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</si>
  <si>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</si>
  <si>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</si>
  <si>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</si>
  <si>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</si>
  <si>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</si>
  <si>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</si>
  <si>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</si>
  <si>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</si>
  <si>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</si>
  <si>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</si>
  <si>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</si>
  <si>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</si>
  <si>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</si>
  <si>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</si>
  <si>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</si>
  <si>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</si>
  <si>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</si>
  <si>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</si>
  <si>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</si>
  <si>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</si>
  <si>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</si>
  <si>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</si>
  <si>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</si>
  <si>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</si>
  <si>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</si>
  <si>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</si>
  <si>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</si>
  <si>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</si>
  <si>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</si>
  <si>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</si>
  <si>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</si>
  <si>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</si>
  <si>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</si>
  <si>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</si>
  <si>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</si>
  <si>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</si>
  <si>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</si>
  <si>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</si>
  <si>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</si>
  <si>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</si>
  <si>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</si>
  <si>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</si>
  <si>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</si>
  <si>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</si>
  <si>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</si>
  <si>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</si>
  <si>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</si>
  <si>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</si>
  <si>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</si>
  <si>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</si>
  <si>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</si>
  <si>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</si>
  <si>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</si>
  <si>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</si>
  <si>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</si>
  <si>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</si>
  <si>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</si>
  <si>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</si>
  <si>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</si>
  <si>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</si>
  <si>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</si>
  <si>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</si>
  <si>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</si>
  <si>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</si>
  <si>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</si>
  <si>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</si>
  <si>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</si>
  <si>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</si>
  <si>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</si>
  <si>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</si>
  <si>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</si>
  <si>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</si>
  <si>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</si>
  <si>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</si>
  <si>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</si>
  <si>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</si>
  <si>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</si>
  <si>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</si>
  <si>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</si>
  <si>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</si>
  <si>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</si>
  <si>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</si>
  <si>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</si>
  <si>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</si>
  <si>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</si>
  <si>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</si>
  <si>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</si>
  <si>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</si>
  <si>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</si>
  <si>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</si>
  <si>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</si>
  <si>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</si>
  <si>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</si>
  <si>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</si>
  <si>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</si>
  <si>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</si>
  <si>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</si>
  <si>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</si>
  <si>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</si>
  <si>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</si>
  <si>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</si>
  <si>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</si>
  <si>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</si>
  <si>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</si>
  <si>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</si>
  <si>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</si>
  <si>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</si>
  <si>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</si>
  <si>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</si>
  <si>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</si>
  <si>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</si>
  <si>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</si>
  <si>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</si>
  <si>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</si>
  <si>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</si>
  <si>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</si>
  <si>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</si>
  <si>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</si>
  <si>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</si>
  <si>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</si>
  <si>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</si>
  <si>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</si>
  <si>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</si>
  <si>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</si>
  <si>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</si>
  <si>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</si>
  <si>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</si>
  <si>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</si>
  <si>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</si>
  <si>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</si>
  <si>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</si>
  <si>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</si>
  <si>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</si>
  <si>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</si>
  <si>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</si>
  <si>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</si>
  <si>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</si>
  <si>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</si>
  <si>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</si>
  <si>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</si>
  <si>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</si>
  <si>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</si>
  <si>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</si>
  <si>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</si>
  <si>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</si>
  <si>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</si>
  <si>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</si>
  <si>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</si>
  <si>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</si>
  <si>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</si>
  <si>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</si>
  <si>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</si>
  <si>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</si>
  <si>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</si>
  <si>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</si>
  <si>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</si>
  <si>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</si>
  <si>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</si>
  <si>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</si>
  <si>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</si>
  <si>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</si>
  <si>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</si>
  <si>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</si>
  <si>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</si>
  <si>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</si>
  <si>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</si>
  <si>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</si>
  <si>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</si>
  <si>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</si>
  <si>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</si>
  <si>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</si>
  <si>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</si>
  <si>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</si>
  <si>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</si>
  <si>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</si>
  <si>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</si>
  <si>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</si>
  <si>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</si>
  <si>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</si>
  <si>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</si>
  <si>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</si>
  <si>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</si>
  <si>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</si>
  <si>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</si>
  <si>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</si>
  <si>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</si>
  <si>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</si>
  <si>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</si>
  <si>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</si>
  <si>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</si>
  <si>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</si>
  <si>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</si>
  <si>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</si>
  <si>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</si>
  <si>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</si>
  <si>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</si>
  <si>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</si>
  <si>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</si>
  <si>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</si>
  <si>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</si>
  <si>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</si>
  <si>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</si>
  <si>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</si>
  <si>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</si>
  <si>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</si>
  <si>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</si>
  <si>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</si>
  <si>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</si>
  <si>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</si>
  <si>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</si>
  <si>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</si>
  <si>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</si>
  <si>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</si>
  <si>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</si>
  <si>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</si>
  <si>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</si>
  <si>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</si>
  <si>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</si>
  <si>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</si>
  <si>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</si>
  <si>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</si>
  <si>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</si>
  <si>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</si>
  <si>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</si>
  <si>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</si>
  <si>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</si>
  <si>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</si>
  <si>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</si>
  <si>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</si>
  <si>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</si>
  <si>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</si>
  <si>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</si>
  <si>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</si>
  <si>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</si>
  <si>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</si>
  <si>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</si>
  <si>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</si>
  <si>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</si>
  <si>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</si>
  <si>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</si>
  <si>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</si>
  <si>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</si>
  <si>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</si>
  <si>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</si>
  <si>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</si>
  <si>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</si>
  <si>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</si>
  <si>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</si>
  <si>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</si>
  <si>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</si>
  <si>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</si>
  <si>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</si>
  <si>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</si>
  <si>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</si>
  <si>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</si>
  <si>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</si>
  <si>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</si>
  <si>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</si>
  <si>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</si>
  <si>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</si>
  <si>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</si>
  <si>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</si>
  <si>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</si>
  <si>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</si>
  <si>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</si>
  <si>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</si>
  <si>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</si>
  <si>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</si>
  <si>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</si>
  <si>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</si>
  <si>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</si>
  <si>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</si>
  <si>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</si>
  <si>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</si>
  <si>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</si>
  <si>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</si>
  <si>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</si>
  <si>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</si>
  <si>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</si>
  <si>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</si>
  <si>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</si>
  <si>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</si>
  <si>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</si>
  <si>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</si>
  <si>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</si>
  <si>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</si>
  <si>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</si>
  <si>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</si>
  <si>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</si>
  <si>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</si>
  <si>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</si>
  <si>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</si>
  <si>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</si>
  <si>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</si>
  <si>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</si>
  <si>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</si>
  <si>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</si>
  <si>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</si>
  <si>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</si>
  <si>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</si>
  <si>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</si>
  <si>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</si>
  <si>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</si>
  <si>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</si>
  <si>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</si>
  <si>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</si>
  <si>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</si>
  <si>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</si>
  <si>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</si>
  <si>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</si>
  <si>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</si>
  <si>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</si>
  <si>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</si>
  <si>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</si>
  <si>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</si>
  <si>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</si>
  <si>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</si>
  <si>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</si>
  <si>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</si>
  <si>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</si>
  <si>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</si>
  <si>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</si>
  <si>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</si>
  <si>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</si>
  <si>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</si>
  <si>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</si>
  <si>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</si>
  <si>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</si>
  <si>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</si>
  <si>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</si>
  <si>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</si>
  <si>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</si>
  <si>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</si>
  <si>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</si>
  <si>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</si>
  <si>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</si>
  <si>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</si>
  <si>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</si>
  <si>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</si>
  <si>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</si>
  <si>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</si>
  <si>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</si>
  <si>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</si>
  <si>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</si>
  <si>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</si>
  <si>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</si>
  <si>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</si>
  <si>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</si>
  <si>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</si>
  <si>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</si>
  <si>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</si>
  <si>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</si>
  <si>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</si>
  <si>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</si>
  <si>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</si>
  <si>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</si>
  <si>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</si>
  <si>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</si>
  <si>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</si>
  <si>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</si>
  <si>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</si>
  <si>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</si>
  <si>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</si>
  <si>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</si>
  <si>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</si>
  <si>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</si>
  <si>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</si>
  <si>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</si>
  <si>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</si>
  <si>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</si>
  <si>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</si>
  <si>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</si>
  <si>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</si>
  <si>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</si>
  <si>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</si>
  <si>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</si>
  <si>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</si>
  <si>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</si>
  <si>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</si>
  <si>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</si>
  <si>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</si>
  <si>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</si>
  <si>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</si>
  <si>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</si>
  <si>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</si>
  <si>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</si>
  <si>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</si>
  <si>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</si>
  <si>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</si>
  <si>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</si>
  <si>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</si>
  <si>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</si>
  <si>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</si>
  <si>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</si>
  <si>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</si>
  <si>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</si>
  <si>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</si>
  <si>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</si>
  <si>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</si>
  <si>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</si>
  <si>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</si>
  <si>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</si>
  <si>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</si>
  <si>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</si>
  <si>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</si>
  <si>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</si>
  <si>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</si>
  <si>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</si>
  <si>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</si>
  <si>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</si>
  <si>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</si>
  <si>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</si>
  <si>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</si>
  <si>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</si>
  <si>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</si>
  <si>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</si>
  <si>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</si>
  <si>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</si>
  <si>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</si>
  <si>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</si>
  <si>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</si>
  <si>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</si>
  <si>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</si>
  <si>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</si>
  <si>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</si>
  <si>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</si>
  <si>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</si>
  <si>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</si>
  <si>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</si>
  <si>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</si>
  <si>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</si>
  <si>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</si>
  <si>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</si>
  <si>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</si>
  <si>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</si>
  <si>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</si>
  <si>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</si>
  <si>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</si>
  <si>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</si>
  <si>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</si>
  <si>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</si>
  <si>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</si>
  <si>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</si>
  <si>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</si>
  <si>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</si>
  <si>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</si>
  <si>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</si>
  <si>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</si>
  <si>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</si>
  <si>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</si>
  <si>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</si>
  <si>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</si>
  <si>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</si>
  <si>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</si>
  <si>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</si>
  <si>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</si>
  <si>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</si>
  <si>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</si>
  <si>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</si>
  <si>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</si>
  <si>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</si>
  <si>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</si>
  <si>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</si>
  <si>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</si>
  <si>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</si>
  <si>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</si>
  <si>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</si>
  <si>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</si>
  <si>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</si>
  <si>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</si>
  <si>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</si>
  <si>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</si>
  <si>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</si>
  <si>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</si>
  <si>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</si>
  <si>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</si>
  <si>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</si>
  <si>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</si>
  <si>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</si>
  <si>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</si>
  <si>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</si>
  <si>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</si>
  <si>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</si>
  <si>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</si>
  <si>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</si>
  <si>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</si>
  <si>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</si>
  <si>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</si>
  <si>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</si>
  <si>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</si>
  <si>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</si>
  <si>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</si>
  <si>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</si>
  <si>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</si>
  <si>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</si>
  <si>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</si>
  <si>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</si>
  <si>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</si>
  <si>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</si>
  <si>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-</t>
  </si>
  <si>
    <t>388</t>
  </si>
  <si>
    <t>Comfort Lashatey Doku</t>
  </si>
  <si>
    <t>TAG 340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</si>
</sst>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169" fontId="18" fillId="0" borderId="0" xfId="0" applyNumberFormat="1" applyFont="1" applyBorder="1" applyAlignment="1">
      <alignment horizontal="left" vertical="top"/>
    </xf>
    <xf numFmtId="0" fontId="18" fillId="4" borderId="19" xfId="0" applyNumberFormat="1" applyFont="1" applyFill="1" applyBorder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71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1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1"/>
      <tableStyleElement type="headerRow" dxfId="180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64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9"/>
    <tableColumn id="4" xr3:uid="{E7D7CFB8-28A0-4520-9466-FBE7CF159AF6}" name="AGE" dataDxfId="178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91" totalsRowCount="1" headerRowDxfId="177" dataDxfId="176" totalsRowDxfId="175">
  <autoFilter ref="A1:T390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totalsRowLabel="-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74">
      <calculatedColumnFormula>IF(ISBLANK(DATA[[#This Row],[COLDROOM RECEIPT]]),"IN CUSTODY","DISCHARGED")</calculatedColumnFormula>
    </tableColumn>
    <tableColumn id="20" xr3:uid="{AAA21E3F-DD59-4C58-8AEF-6E45B181C731}" name="CASES" dataDxfId="173" totalsRowDxfId="172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71"/>
    <tableColumn id="5" xr3:uid="{9F6A4E68-F44C-404B-8DD7-C34DF2BA8A52}" name="AMOUNT" totalsRowFunction="sum" dataDxfId="170" totalsRowDxfId="169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8" totalsRowDxfId="167"/>
    <tableColumn id="3" xr3:uid="{8099DD5C-DD64-4D55-B440-ECA386A1E38E}" name="PAID" totalsRowFunction="sum" dataDxfId="166" totalsRowDxfId="165"/>
    <tableColumn id="4" xr3:uid="{C6FDFA45-551A-41D3-BB6B-AE7FD4FED160}" name="BALANCE" totalsRowFunction="sum" totalsRowDxfId="164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3" totalsRowDxfId="162"/>
    <tableColumn id="3" xr3:uid="{8BA05948-B466-470B-921B-E935C19B53FB}" name="DEDUCTIONS" dataDxfId="161"/>
    <tableColumn id="6" xr3:uid="{3C67051D-6A7F-401E-BB52-A43497DFCF5B}" name="DATE" dataDxfId="160" totalsRowDxfId="159"/>
    <tableColumn id="4" xr3:uid="{1F1DF098-4869-4BC4-A13B-B8422F69C6A7}" name="AMOUNT2" totalsRowFunction="sum" totalsRowDxfId="158"/>
    <tableColumn id="7" xr3:uid="{087F023F-DE19-4CF6-A1E5-1658AA89A414}" name="BALANCE" totalsRowFunction="custom" totalsRowDxfId="157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56">
  <autoFilter ref="A1:C14" xr:uid="{BCC0BBDB-C41A-4962-9049-BED618DAABB1}"/>
  <tableColumns count="3">
    <tableColumn id="1" xr3:uid="{0D0721E0-EB6E-4D25-9A72-E729EB5D4867}" name="TAG NUMBER" totalsRowLabel="Total" dataDxfId="155" totalsRowDxfId="15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53">
  <autoFilter ref="E1:G15" xr:uid="{E290F8E4-537A-4998-9790-1D6945BFCDDE}"/>
  <tableColumns count="3">
    <tableColumn id="1" xr3:uid="{1798A446-94AC-46AF-901E-DA0B3D092CB6}" name="TAG NUMBER" totalsRowLabel="Total" dataDxfId="152" totalsRowDxfId="15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50">
  <autoFilter ref="I1:K16" xr:uid="{F24F9438-1170-435B-8F18-67AAD38D9246}"/>
  <tableColumns count="3">
    <tableColumn id="1" xr3:uid="{3195C186-459C-42E4-945A-8E05CD7DC0A4}" name="TAG NUMBER" totalsRowLabel="Total" dataDxfId="149" totalsRowDxfId="148"/>
    <tableColumn id="2" xr3:uid="{558FCAA5-4937-4EA1-A47D-9D46AF74517F}" name="DATE" dataDxfId="147"/>
    <tableColumn id="3" xr3:uid="{71E01975-97F3-4D62-9DCA-0806E1B1176A}" name="NUMBER" totalsRowFunction="sum" dataDxfId="146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45">
  <autoFilter ref="M1:O14" xr:uid="{3EEDC096-302D-4901-B20B-D40873387824}"/>
  <tableColumns count="3">
    <tableColumn id="1" xr3:uid="{EC6027CE-641D-43C8-B736-DF55402D4758}" name="TAG NUMBER" totalsRowLabel="Total" dataDxfId="144" totalsRowDxfId="143"/>
    <tableColumn id="2" xr3:uid="{9EB25827-E873-4BB2-82B0-E89823BCFD37}" name="DATE" dataDxfId="142"/>
    <tableColumn id="3" xr3:uid="{3F417B97-8555-473F-96AD-64B892344F7F}" name="NUMBER" totalsRowFunction="sum" dataDxfId="141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40">
  <autoFilter ref="Q1:S14" xr:uid="{24D83A21-1022-4EF1-B23D-23A57D13834C}"/>
  <tableColumns count="3">
    <tableColumn id="1" xr3:uid="{2ED22212-2BA5-467E-9121-5B81B0D5F87C}" name="TAG NUMBER" totalsRowLabel="Total" dataDxfId="139" totalsRowDxfId="138"/>
    <tableColumn id="2" xr3:uid="{FF213B95-3CCF-49DF-97A9-889CB2B8D5EA}" name="DATE" dataDxfId="137"/>
    <tableColumn id="3" xr3:uid="{C24FE5BC-34F8-4FF2-A812-B11AD0FD69F4}" name="NUMBER" totalsRowFunction="sum" dataDxfId="136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35">
  <autoFilter ref="U1:W15" xr:uid="{1B406F84-17C1-4A37-B30F-7750799E9C9E}"/>
  <tableColumns count="3">
    <tableColumn id="1" xr3:uid="{3A456A61-F39B-4E66-8104-6834DB3D2F5A}" name="TAG NUMBER" totalsRowLabel="Total" dataDxfId="134" totalsRowDxfId="133"/>
    <tableColumn id="2" xr3:uid="{AAA0746B-2CF9-4456-9E99-574E2938E997}" name="DATE"/>
    <tableColumn id="3" xr3:uid="{48B61DB4-740B-4D4A-B1E2-BAC6A75D93DB}" name="NUMBER" totalsRowFunction="sum" dataDxfId="132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31">
  <autoFilter ref="Y1:AA16" xr:uid="{C5EA61D8-764A-416C-AA0D-E3311B8CA5D7}"/>
  <tableColumns count="3">
    <tableColumn id="1" xr3:uid="{8CBE15E5-FE1B-4607-A485-B0D3BEF533B3}" name="TAG NUMBER" totalsRowLabel="Total" dataDxfId="130" totalsRowDxfId="129"/>
    <tableColumn id="2" xr3:uid="{48781F1A-9208-4507-9FE7-22E57FE9CC48}" name="DATE"/>
    <tableColumn id="3" xr3:uid="{FF8C9565-8E62-4669-B085-08D9F54790A7}" name="NUMBER" totalsRowFunction="sum" dataDxfId="128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27">
  <autoFilter ref="AC1:AE19" xr:uid="{82C940A5-F70C-4065-91EB-939EB00A7B10}"/>
  <tableColumns count="3">
    <tableColumn id="1" xr3:uid="{2D62D778-68C4-46E5-8F41-CEEC6E936FAF}" name="TAG NUMBER" totalsRowLabel="Total" dataDxfId="126" totalsRowDxfId="125"/>
    <tableColumn id="2" xr3:uid="{4C57F58B-D660-4EAB-8072-A96317D32DE8}" name="DATE" dataDxfId="124"/>
    <tableColumn id="3" xr3:uid="{44F0862C-D7FB-4B4E-8D88-D1D8EE8BCFC4}" name="NUMBER" totalsRowFunction="sum" dataDxfId="123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22">
  <autoFilter ref="AG1:AI5" xr:uid="{C0B8BC2B-DD34-451D-8CCA-5EAFA36780EE}"/>
  <tableColumns count="3">
    <tableColumn id="1" xr3:uid="{D2974DC9-FD6D-4D20-8B9B-0476777DAA60}" name="TAG NUMBER" totalsRowLabel="Total" dataDxfId="121" totalsRowDxfId="120"/>
    <tableColumn id="2" xr3:uid="{B2B6C82A-14A2-46B9-9032-0CE496643D49}" name="DATE" dataDxfId="119" totalsRowDxfId="118"/>
    <tableColumn id="3" xr3:uid="{ED8377DA-1773-4651-8BE6-D127E0EB4557}" name="NUMBER" totalsRowFunction="sum" dataDxfId="117" totalsRowDxfId="11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6" totalsRowCount="1" headerRowDxfId="115" tableBorderDxfId="114">
  <autoFilter ref="A2:I45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93" totalsRowDxfId="87"/>
    <tableColumn id="2" xr3:uid="{0075BAB9-9392-4F6A-8FF0-C3644555A272}" name="NAME" dataDxfId="92" totalsRowDxfId="86"/>
    <tableColumn id="3" xr3:uid="{680B960A-27F3-4AD9-A2C7-679A94F9F3C6}" name="ADMISSION DATE" totalsRowFunction="count"/>
    <tableColumn id="4" xr3:uid="{3709E526-EE1B-44D4-BEFD-F769CCB6A6ED}" name="DISCHARGE DATE" dataDxfId="113"/>
    <tableColumn id="5" xr3:uid="{19BB4E9C-7CAD-45FA-BF80-76294E7E7839}" name="DAYS" dataDxfId="91" totalsRowDxfId="8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90" totalsRowDxfId="84">
      <calculatedColumnFormula>Table9[[#This Row],[DAYS]]*20</calculatedColumnFormula>
    </tableColumn>
    <tableColumn id="7" xr3:uid="{C4CBF79A-A552-4B1F-8067-20CC21D65BD7}" name="REAL" totalsRowFunction="sum" dataDxfId="89" totalsRowDxfId="83">
      <calculatedColumnFormula>Table9[[#This Row],[DAYS]]*13</calculatedColumnFormula>
    </tableColumn>
    <tableColumn id="8" xr3:uid="{237A2462-6F12-4CE7-A197-63CAC997D2C8}" name="DIFF" totalsRowFunction="sum" dataDxfId="88" totalsRowDxfId="82">
      <calculatedColumnFormula>Table9[[#This Row],[ACTUAL]]-Table9[[#This Row],[REAL]]</calculatedColumnFormula>
    </tableColumn>
    <tableColumn id="9" xr3:uid="{153257B5-B8A1-453F-8518-A373AEC9BFF7}" name="CLEARED" totalsRowDxfId="81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12">
  <autoFilter ref="K2:K3" xr:uid="{B67C403A-A3D1-4A5E-A012-D609DB6D5279}"/>
  <tableColumns count="1">
    <tableColumn id="2" xr3:uid="{83D56398-DF46-4D28-924B-4F7490656DAC}" name="EXPECTED" dataDxfId="111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10">
  <autoFilter ref="J2:J3" xr:uid="{477587E4-9ACA-4E79-8C3B-6BEA561DF9A0}"/>
  <tableColumns count="1">
    <tableColumn id="1" xr3:uid="{EC8FDD95-7F01-4C3D-91E2-52B23CB48A3C}" name="AVG" dataDxfId="109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8">
      <calculatedColumnFormula>SUMIF(Table9[CLEARED],"YES",Table9[DIFF])</calculatedColumnFormula>
    </tableColumn>
    <tableColumn id="2" xr3:uid="{6515AABC-2B09-404C-B168-C1ECFB7675C4}" name="BALANCE" dataDxfId="107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106" totalsRowDxfId="105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104"/>
    <tableColumn id="3" xr3:uid="{D0F1C8F9-6D90-406C-9C8D-128F2931D994}" name="ANNUAL SALES" dataDxfId="103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102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101" totalsRowDxfId="100"/>
    <tableColumn id="9" xr3:uid="{26891206-ADD5-4E17-A5B9-6BCA01C91D89}" name="NAME " dataDxfId="99" totalsRowDxfId="98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97" totalsRowDxfId="96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95" totalsRowDxfId="94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31" customWidth="1"/>
    <col min="2" max="2" width="5" style="131" customWidth="1"/>
    <col min="3" max="4" width="9.140625" style="131"/>
    <col min="5" max="5" width="11.140625" style="131" customWidth="1"/>
    <col min="6" max="7" width="9.140625" style="131"/>
    <col min="8" max="8" width="48.42578125" style="131" bestFit="1" customWidth="1"/>
    <col min="9" max="9" width="54.5703125" style="131" bestFit="1" customWidth="1"/>
    <col min="10" max="16384" width="9.140625" style="131"/>
  </cols>
  <sheetData>
    <row r="1" spans="3:13" x14ac:dyDescent="0.25">
      <c r="C1" s="130"/>
      <c r="D1" s="130"/>
      <c r="E1" s="130"/>
      <c r="F1" s="130"/>
      <c r="G1" s="130"/>
      <c r="H1" s="130"/>
      <c r="I1" s="130"/>
      <c r="J1" s="130"/>
    </row>
    <row r="2" spans="3:13" x14ac:dyDescent="0.25">
      <c r="C2" s="130"/>
      <c r="D2" s="130"/>
      <c r="E2" s="130"/>
      <c r="F2" s="130"/>
      <c r="G2" s="130"/>
      <c r="H2" s="130"/>
      <c r="I2" s="130"/>
      <c r="J2" s="130"/>
    </row>
    <row r="3" spans="3:13" ht="15.75" thickBot="1" x14ac:dyDescent="0.3">
      <c r="C3" s="130"/>
      <c r="D3" s="130"/>
      <c r="E3" s="130"/>
      <c r="F3" s="130"/>
      <c r="G3" s="130"/>
      <c r="H3" s="130"/>
      <c r="I3" s="130"/>
      <c r="J3" s="130"/>
    </row>
    <row r="4" spans="3:13" ht="15.75" thickBot="1" x14ac:dyDescent="0.3">
      <c r="G4" s="132"/>
      <c r="H4" s="133"/>
      <c r="I4" s="133"/>
      <c r="J4" s="134"/>
    </row>
    <row r="5" spans="3:13" ht="36.75" thickBot="1" x14ac:dyDescent="0.3">
      <c r="G5" s="135"/>
      <c r="H5" s="136" t="s">
        <v>0</v>
      </c>
      <c r="I5" s="58" t="s">
        <v>1838</v>
      </c>
      <c r="J5" s="137"/>
    </row>
    <row r="6" spans="3:13" x14ac:dyDescent="0.25">
      <c r="G6" s="135"/>
      <c r="H6" s="138"/>
      <c r="I6" s="138"/>
      <c r="J6" s="137"/>
    </row>
    <row r="7" spans="3:13" x14ac:dyDescent="0.25">
      <c r="G7" s="135"/>
      <c r="H7" s="138"/>
      <c r="I7" s="138"/>
      <c r="J7" s="137"/>
    </row>
    <row r="8" spans="3:13" x14ac:dyDescent="0.25">
      <c r="G8" s="135"/>
      <c r="H8" s="138"/>
      <c r="I8" s="138"/>
      <c r="J8" s="137"/>
    </row>
    <row r="9" spans="3:13" x14ac:dyDescent="0.25">
      <c r="G9" s="135"/>
      <c r="H9" s="138"/>
      <c r="I9" s="138"/>
      <c r="J9" s="137"/>
    </row>
    <row r="10" spans="3:13" x14ac:dyDescent="0.25">
      <c r="G10" s="135"/>
      <c r="H10" s="138"/>
      <c r="I10" s="138"/>
      <c r="J10" s="137"/>
    </row>
    <row r="11" spans="3:13" x14ac:dyDescent="0.25">
      <c r="G11" s="135"/>
      <c r="H11" s="138"/>
      <c r="I11" s="138"/>
      <c r="J11" s="137"/>
    </row>
    <row r="12" spans="3:13" x14ac:dyDescent="0.25">
      <c r="G12" s="135"/>
      <c r="H12" s="138"/>
      <c r="I12" s="138"/>
      <c r="J12" s="137"/>
      <c r="M12" s="131" t="s">
        <v>2</v>
      </c>
    </row>
    <row r="13" spans="3:13" x14ac:dyDescent="0.25">
      <c r="G13" s="135"/>
      <c r="H13" s="138"/>
      <c r="I13" s="138"/>
      <c r="J13" s="137"/>
    </row>
    <row r="14" spans="3:13" x14ac:dyDescent="0.25">
      <c r="D14" s="131" t="s">
        <v>2</v>
      </c>
      <c r="G14" s="135"/>
      <c r="H14" s="138"/>
      <c r="I14" s="138"/>
      <c r="J14" s="137"/>
    </row>
    <row r="15" spans="3:13" ht="15.75" thickBot="1" x14ac:dyDescent="0.3">
      <c r="D15" s="131" t="s">
        <v>2</v>
      </c>
      <c r="G15" s="139"/>
      <c r="H15" s="140"/>
      <c r="I15" s="140"/>
      <c r="J15" s="141"/>
    </row>
    <row r="170" spans="2:2" x14ac:dyDescent="0.25">
      <c r="B170" s="131" t="s">
        <v>3</v>
      </c>
    </row>
  </sheetData>
  <sheetProtection algorithmName="SHA-512" hashValue="q8uChaepcK1oA29PXKBhxbEkmSeMKtkMZiIM3vkh/Mfbkdx3bIcaez0Lrg2lV4J3gRGqZqk4zniLds4wBnoLBw==" saltValue="hQ4wK5qeZUGjwrV31oPHw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2" t="s">
        <v>1443</v>
      </c>
      <c r="C7" s="123"/>
      <c r="D7" s="124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zoomScaleNormal="100" workbookViewId="0">
      <selection activeCell="S6" sqref="S6"/>
    </sheetView>
  </sheetViews>
  <sheetFormatPr defaultRowHeight="15" x14ac:dyDescent="0.25"/>
  <sheetData>
    <row r="21" spans="2:3" x14ac:dyDescent="0.25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9.42578125" bestFit="1" customWidth="1"/>
    <col min="4" max="4" width="14.7109375" bestFit="1" customWidth="1"/>
    <col min="5" max="5" width="29.28515625" bestFit="1" customWidth="1"/>
    <col min="6" max="6" width="14.14062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1996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1839</v>
      </c>
      <c r="E5" s="2" t="str">
        <f>DATA[[#Headers],[PLACE]]&amp; ":"</f>
        <v>PLACE:</v>
      </c>
      <c r="F5" s="13" t="s">
        <v>26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62</v>
      </c>
      <c r="E7" s="2" t="str">
        <f>DATA[[#Headers],[ADMISSION TIME]]&amp; ":"</f>
        <v>ADMISSION TIME:</v>
      </c>
      <c r="F7" s="15">
        <v>0.875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204</v>
      </c>
      <c r="E11" s="2" t="str">
        <f>DATA[[#Headers],[ADMISSION DATE]]&amp; ":"</f>
        <v>ADMISSION DATE:</v>
      </c>
      <c r="F11" s="14">
        <v>46144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592684635</v>
      </c>
      <c r="E13" s="2" t="str">
        <f>DATA[[#Headers],[DISCHARGE DATE]]&amp; ":"</f>
        <v>DISCHARGE DATE:</v>
      </c>
      <c r="F13" s="14"/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80" priority="1" operator="containsText" text="VIP">
      <formula>NOT(ISERROR(SEARCH("VIP",F9)))</formula>
    </cfRule>
    <cfRule type="containsText" dxfId="7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27.28515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5.5703125" customWidth="1"/>
    <col min="8" max="9" width="25.140625" bestFit="1" customWidth="1"/>
  </cols>
  <sheetData>
    <row r="2" spans="2:8" ht="15" customHeight="1" thickBot="1" x14ac:dyDescent="0.3"/>
    <row r="3" spans="2:8" ht="27" thickBot="1" x14ac:dyDescent="0.3">
      <c r="D3" s="16" t="s">
        <v>1996</v>
      </c>
    </row>
    <row r="4" spans="2:8" ht="15.75" thickBot="1" x14ac:dyDescent="0.3"/>
    <row r="5" spans="2:8" ht="27" thickBot="1" x14ac:dyDescent="0.3">
      <c r="B5" s="2" t="str">
        <f>DATA[[#Headers],[NAME OF DECEASED]]&amp;":"</f>
        <v>NAME OF DECEASED:</v>
      </c>
      <c r="C5" s="17" t="s">
        <v>1839</v>
      </c>
      <c r="E5" s="2" t="s">
        <v>34</v>
      </c>
      <c r="F5" s="18">
        <v>140</v>
      </c>
    </row>
    <row r="6" spans="2:8" ht="21.75" thickBot="1" x14ac:dyDescent="0.3">
      <c r="C6" s="1"/>
      <c r="E6" s="2"/>
      <c r="F6" s="5"/>
    </row>
    <row r="7" spans="2:8" ht="27" thickBot="1" x14ac:dyDescent="0.3">
      <c r="B7" s="2" t="str">
        <f>DATA[[#Headers],[TYPE]]&amp;":"</f>
        <v>TYPE:</v>
      </c>
      <c r="C7" s="17" t="s">
        <v>10</v>
      </c>
      <c r="E7" s="2" t="s">
        <v>35</v>
      </c>
      <c r="F7" s="19">
        <v>1820</v>
      </c>
      <c r="H7" s="19">
        <f>F7+210</f>
        <v>2030</v>
      </c>
    </row>
    <row r="8" spans="2:8" ht="21.75" thickBot="1" x14ac:dyDescent="0.3">
      <c r="B8" s="2"/>
      <c r="C8" s="3"/>
      <c r="E8" s="2"/>
    </row>
    <row r="9" spans="2:8" ht="27" thickBot="1" x14ac:dyDescent="0.3">
      <c r="E9" s="2" t="s">
        <v>1489</v>
      </c>
      <c r="F9" s="19">
        <v>2360</v>
      </c>
    </row>
    <row r="10" spans="2:8" ht="21" x14ac:dyDescent="0.25">
      <c r="B10" s="2"/>
      <c r="C10" s="3"/>
      <c r="F10" s="6"/>
      <c r="G10" s="70"/>
    </row>
    <row r="11" spans="2:8" ht="21" x14ac:dyDescent="0.25">
      <c r="B11" s="2"/>
      <c r="C11" s="4"/>
      <c r="E11" t="s">
        <v>36</v>
      </c>
    </row>
    <row r="12" spans="2:8" ht="21" x14ac:dyDescent="0.25">
      <c r="B12" s="2"/>
      <c r="C12" s="3"/>
      <c r="E12" s="2"/>
    </row>
    <row r="13" spans="2:8" ht="21" x14ac:dyDescent="0.25">
      <c r="E13" s="2"/>
      <c r="F13" s="6"/>
    </row>
    <row r="14" spans="2:8" ht="18.75" x14ac:dyDescent="0.25">
      <c r="F14" s="6"/>
    </row>
  </sheetData>
  <conditionalFormatting sqref="C7">
    <cfRule type="containsText" dxfId="78" priority="1" operator="containsText" text="VIP">
      <formula>NOT(ISERROR(SEARCH("VIP",C7)))</formula>
    </cfRule>
    <cfRule type="containsText" dxfId="77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1955</v>
      </c>
      <c r="C1" t="s">
        <v>1956</v>
      </c>
      <c r="D1" t="s">
        <v>1957</v>
      </c>
      <c r="E1" t="s">
        <v>1958</v>
      </c>
      <c r="F1" t="s">
        <v>1959</v>
      </c>
      <c r="G1" t="s">
        <v>1960</v>
      </c>
      <c r="H1" t="s">
        <v>1961</v>
      </c>
      <c r="I1" t="s">
        <v>1962</v>
      </c>
      <c r="J1" t="s">
        <v>1963</v>
      </c>
      <c r="K1" t="s">
        <v>1965</v>
      </c>
    </row>
    <row r="2" spans="1:11" x14ac:dyDescent="0.25">
      <c r="A2">
        <v>312</v>
      </c>
      <c r="B2" t="s">
        <v>1358</v>
      </c>
      <c r="C2" t="s">
        <v>1358</v>
      </c>
      <c r="D2" t="s">
        <v>1964</v>
      </c>
      <c r="E2" t="s">
        <v>1964</v>
      </c>
      <c r="F2" t="s">
        <v>1964</v>
      </c>
      <c r="G2" t="s">
        <v>1964</v>
      </c>
      <c r="H2" t="s">
        <v>1964</v>
      </c>
      <c r="I2" t="s">
        <v>1964</v>
      </c>
      <c r="J2" t="s">
        <v>1964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0"/>
  <sheetViews>
    <sheetView topLeftCell="J1" zoomScaleNormal="100" workbookViewId="0">
      <pane ySplit="1" topLeftCell="A341" activePane="bottomLeft" state="frozen"/>
      <selection activeCell="I5" sqref="I5"/>
      <selection pane="bottomLeft" activeCell="R341" sqref="R341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hidden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8.7109375" style="69" bestFit="1" customWidth="1"/>
    <col min="19" max="19" width="16.140625" style="42" bestFit="1" customWidth="1"/>
    <col min="20" max="20" width="11.5703125" bestFit="1" customWidth="1"/>
    <col min="21" max="21" width="6.42578125" style="39" bestFit="1" customWidth="1"/>
    <col min="22" max="22" width="3.85546875" style="39" bestFit="1" customWidth="1"/>
    <col min="23" max="23" width="6.42578125" style="39" bestFit="1" customWidth="1"/>
    <col min="24" max="24" width="5.140625" style="39" bestFit="1" customWidth="1"/>
    <col min="25" max="16384" width="9.140625" style="39"/>
  </cols>
  <sheetData>
    <row r="1" spans="1:20" s="61" customFormat="1" ht="28.5" customHeight="1" x14ac:dyDescent="0.25">
      <c r="A1" s="151" t="s">
        <v>37</v>
      </c>
      <c r="B1" s="152" t="s">
        <v>38</v>
      </c>
      <c r="C1" s="153" t="s">
        <v>39</v>
      </c>
      <c r="D1" s="154" t="s">
        <v>40</v>
      </c>
      <c r="E1" s="154" t="s">
        <v>41</v>
      </c>
      <c r="F1" s="154" t="s">
        <v>1219</v>
      </c>
      <c r="G1" s="154" t="s">
        <v>1532</v>
      </c>
      <c r="H1" s="155" t="s">
        <v>1250</v>
      </c>
      <c r="I1" s="151" t="s">
        <v>1865</v>
      </c>
      <c r="J1" s="156" t="s">
        <v>1251</v>
      </c>
      <c r="K1" s="157" t="s">
        <v>42</v>
      </c>
      <c r="L1" s="158" t="s">
        <v>43</v>
      </c>
      <c r="M1" s="159" t="s">
        <v>44</v>
      </c>
      <c r="N1" s="160" t="s">
        <v>45</v>
      </c>
      <c r="O1" s="161" t="s">
        <v>46</v>
      </c>
      <c r="P1" s="161" t="s">
        <v>47</v>
      </c>
      <c r="Q1" s="162" t="s">
        <v>48</v>
      </c>
      <c r="R1" s="159" t="s">
        <v>49</v>
      </c>
      <c r="S1" s="60" t="s">
        <v>50</v>
      </c>
      <c r="T1" s="60" t="s">
        <v>1497</v>
      </c>
    </row>
    <row r="2" spans="1:20" s="26" customFormat="1" ht="21" x14ac:dyDescent="0.25">
      <c r="A2" s="142" t="s">
        <v>51</v>
      </c>
      <c r="B2" s="143" t="s">
        <v>52</v>
      </c>
      <c r="C2" s="143">
        <v>85</v>
      </c>
      <c r="D2" s="144" t="s">
        <v>5</v>
      </c>
      <c r="E2" s="144" t="s">
        <v>1537</v>
      </c>
      <c r="F2" s="144" t="s">
        <v>1540</v>
      </c>
      <c r="G2" s="144" t="s">
        <v>27</v>
      </c>
      <c r="H2" s="146">
        <v>0.3125</v>
      </c>
      <c r="I2" s="144" t="s">
        <v>10</v>
      </c>
      <c r="J2" s="147">
        <v>45503</v>
      </c>
      <c r="K2" s="147">
        <v>45533</v>
      </c>
      <c r="L2" s="143">
        <f>IF(ISBLANK(DATA[[#This Row],[DISCHARGE DATE]]), "NO DATE", DATA[[#This Row],[DISCHARGE DATE]]-DATA[[#This Row],[ADMISSION DATE]]+1)</f>
        <v>31</v>
      </c>
      <c r="M2" s="148">
        <v>350</v>
      </c>
      <c r="N2" s="148">
        <v>325</v>
      </c>
      <c r="O2" s="149" t="s">
        <v>53</v>
      </c>
      <c r="P2" s="149" t="s">
        <v>53</v>
      </c>
      <c r="Q2" s="150">
        <f>IF(DATA[[#This Row],[TYPE]]="Normal", 13 * DATA[[#This Row],[STORAGE DAYS]], 20 * DATA[[#This Row],[STORAGE DAYS]])</f>
        <v>403</v>
      </c>
      <c r="R2" s="150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389</v>
      </c>
    </row>
    <row r="3" spans="1:20" s="26" customFormat="1" ht="21" x14ac:dyDescent="0.25">
      <c r="A3" s="142" t="s">
        <v>54</v>
      </c>
      <c r="B3" s="143" t="s">
        <v>55</v>
      </c>
      <c r="C3" s="143">
        <v>100</v>
      </c>
      <c r="D3" s="144" t="s">
        <v>5</v>
      </c>
      <c r="E3" s="144" t="s">
        <v>56</v>
      </c>
      <c r="F3" s="144" t="s">
        <v>1541</v>
      </c>
      <c r="G3" s="144" t="s">
        <v>19</v>
      </c>
      <c r="H3" s="146">
        <v>0.5</v>
      </c>
      <c r="I3" s="144" t="s">
        <v>10</v>
      </c>
      <c r="J3" s="147">
        <v>45505</v>
      </c>
      <c r="K3" s="147">
        <v>45534</v>
      </c>
      <c r="L3" s="143">
        <f>IF(ISBLANK(DATA[[#This Row],[DISCHARGE DATE]]), "NO DATE", DATA[[#This Row],[DISCHARGE DATE]]-DATA[[#This Row],[ADMISSION DATE]]+1)</f>
        <v>30</v>
      </c>
      <c r="M3" s="148">
        <v>350</v>
      </c>
      <c r="N3" s="148">
        <v>403</v>
      </c>
      <c r="O3" s="149" t="s">
        <v>57</v>
      </c>
      <c r="P3" s="149" t="s">
        <v>57</v>
      </c>
      <c r="Q3" s="150">
        <f>IF(DATA[[#This Row],[TYPE]]="Normal", 13 * DATA[[#This Row],[STORAGE DAYS]], 20 * DATA[[#This Row],[STORAGE DAYS]])</f>
        <v>390</v>
      </c>
      <c r="R3" s="150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389</v>
      </c>
    </row>
    <row r="4" spans="1:20" s="26" customFormat="1" ht="21" x14ac:dyDescent="0.25">
      <c r="A4" s="142" t="s">
        <v>58</v>
      </c>
      <c r="B4" s="143" t="s">
        <v>59</v>
      </c>
      <c r="C4" s="143">
        <v>77</v>
      </c>
      <c r="D4" s="144" t="s">
        <v>5</v>
      </c>
      <c r="E4" s="144" t="s">
        <v>60</v>
      </c>
      <c r="F4" s="144" t="s">
        <v>1542</v>
      </c>
      <c r="G4" s="144" t="s">
        <v>26</v>
      </c>
      <c r="H4" s="146">
        <v>0.92361111111111116</v>
      </c>
      <c r="I4" s="144" t="s">
        <v>10</v>
      </c>
      <c r="J4" s="147">
        <v>45508</v>
      </c>
      <c r="K4" s="147">
        <v>45597</v>
      </c>
      <c r="L4" s="143">
        <f>IF(ISBLANK(DATA[[#This Row],[DISCHARGE DATE]]), "NO DATE", DATA[[#This Row],[DISCHARGE DATE]]-DATA[[#This Row],[ADMISSION DATE]]+1)</f>
        <v>90</v>
      </c>
      <c r="M4" s="148">
        <v>350</v>
      </c>
      <c r="N4" s="148">
        <v>1170</v>
      </c>
      <c r="O4" s="149" t="s">
        <v>61</v>
      </c>
      <c r="P4" s="149" t="s">
        <v>62</v>
      </c>
      <c r="Q4" s="150">
        <f>IF(DATA[[#This Row],[TYPE]]="Normal", 13 * DATA[[#This Row],[STORAGE DAYS]], 20 * DATA[[#This Row],[STORAGE DAYS]])</f>
        <v>1170</v>
      </c>
      <c r="R4" s="150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389</v>
      </c>
    </row>
    <row r="5" spans="1:20" s="26" customFormat="1" ht="21" x14ac:dyDescent="0.25">
      <c r="A5" s="142" t="s">
        <v>63</v>
      </c>
      <c r="B5" s="143" t="s">
        <v>64</v>
      </c>
      <c r="C5" s="143">
        <v>64</v>
      </c>
      <c r="D5" s="144" t="s">
        <v>4</v>
      </c>
      <c r="E5" s="144" t="s">
        <v>65</v>
      </c>
      <c r="F5" s="144" t="s">
        <v>1543</v>
      </c>
      <c r="G5" s="144" t="s">
        <v>25</v>
      </c>
      <c r="H5" s="146">
        <v>0.40347222222222223</v>
      </c>
      <c r="I5" s="144" t="s">
        <v>10</v>
      </c>
      <c r="J5" s="147">
        <v>45513</v>
      </c>
      <c r="K5" s="147">
        <v>45555</v>
      </c>
      <c r="L5" s="143">
        <f>IF(ISBLANK(DATA[[#This Row],[DISCHARGE DATE]]), "NO DATE", DATA[[#This Row],[DISCHARGE DATE]]-DATA[[#This Row],[ADMISSION DATE]]+1)</f>
        <v>43</v>
      </c>
      <c r="M5" s="148">
        <v>350</v>
      </c>
      <c r="N5" s="148">
        <v>559</v>
      </c>
      <c r="O5" s="149" t="s">
        <v>66</v>
      </c>
      <c r="P5" s="149" t="s">
        <v>67</v>
      </c>
      <c r="Q5" s="150">
        <f>IF(DATA[[#This Row],[TYPE]]="Normal", 13 * DATA[[#This Row],[STORAGE DAYS]], 20 * DATA[[#This Row],[STORAGE DAYS]])</f>
        <v>559</v>
      </c>
      <c r="R5" s="150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389</v>
      </c>
    </row>
    <row r="6" spans="1:20" s="26" customFormat="1" ht="21" x14ac:dyDescent="0.25">
      <c r="A6" s="142" t="s">
        <v>68</v>
      </c>
      <c r="B6" s="143" t="s">
        <v>69</v>
      </c>
      <c r="C6" s="143">
        <v>45</v>
      </c>
      <c r="D6" s="144" t="s">
        <v>5</v>
      </c>
      <c r="E6" s="144" t="s">
        <v>70</v>
      </c>
      <c r="F6" s="144" t="s">
        <v>1544</v>
      </c>
      <c r="G6" s="144" t="s">
        <v>27</v>
      </c>
      <c r="H6" s="146">
        <v>0.97916666666666663</v>
      </c>
      <c r="I6" s="144" t="s">
        <v>10</v>
      </c>
      <c r="J6" s="147">
        <v>45519</v>
      </c>
      <c r="K6" s="147">
        <v>45541</v>
      </c>
      <c r="L6" s="143">
        <f>IF(ISBLANK(DATA[[#This Row],[DISCHARGE DATE]]), "NO DATE", DATA[[#This Row],[DISCHARGE DATE]]-DATA[[#This Row],[ADMISSION DATE]]+1)</f>
        <v>23</v>
      </c>
      <c r="M6" s="148">
        <v>350</v>
      </c>
      <c r="N6" s="148">
        <v>299</v>
      </c>
      <c r="O6" s="149" t="s">
        <v>67</v>
      </c>
      <c r="P6" s="149" t="s">
        <v>66</v>
      </c>
      <c r="Q6" s="150">
        <f>IF(DATA[[#This Row],[TYPE]]="Normal", 13 * DATA[[#This Row],[STORAGE DAYS]], 20 * DATA[[#This Row],[STORAGE DAYS]])</f>
        <v>299</v>
      </c>
      <c r="R6" s="150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389</v>
      </c>
    </row>
    <row r="7" spans="1:20" s="26" customFormat="1" ht="21" x14ac:dyDescent="0.25">
      <c r="A7" s="142" t="s">
        <v>71</v>
      </c>
      <c r="B7" s="143" t="s">
        <v>72</v>
      </c>
      <c r="C7" s="143">
        <v>85</v>
      </c>
      <c r="D7" s="144" t="s">
        <v>5</v>
      </c>
      <c r="E7" s="144" t="s">
        <v>73</v>
      </c>
      <c r="F7" s="144" t="s">
        <v>1545</v>
      </c>
      <c r="G7" s="144" t="s">
        <v>27</v>
      </c>
      <c r="H7" s="146">
        <v>0.3125</v>
      </c>
      <c r="I7" s="144" t="s">
        <v>10</v>
      </c>
      <c r="J7" s="147">
        <v>45520</v>
      </c>
      <c r="K7" s="147">
        <v>45543</v>
      </c>
      <c r="L7" s="143">
        <f>IF(ISBLANK(DATA[[#This Row],[DISCHARGE DATE]]), "NO DATE", DATA[[#This Row],[DISCHARGE DATE]]-DATA[[#This Row],[ADMISSION DATE]]+1)</f>
        <v>24</v>
      </c>
      <c r="M7" s="148">
        <v>350</v>
      </c>
      <c r="N7" s="148">
        <v>1105</v>
      </c>
      <c r="O7" s="149" t="s">
        <v>74</v>
      </c>
      <c r="P7" s="149" t="s">
        <v>75</v>
      </c>
      <c r="Q7" s="150">
        <f>IF(DATA[[#This Row],[TYPE]]="Normal", 13 * DATA[[#This Row],[STORAGE DAYS]], 20 * DATA[[#This Row],[STORAGE DAYS]])</f>
        <v>312</v>
      </c>
      <c r="R7" s="150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389</v>
      </c>
    </row>
    <row r="8" spans="1:20" s="26" customFormat="1" ht="21" x14ac:dyDescent="0.25">
      <c r="A8" s="142" t="s">
        <v>76</v>
      </c>
      <c r="B8" s="143" t="s">
        <v>77</v>
      </c>
      <c r="C8" s="143">
        <v>61</v>
      </c>
      <c r="D8" s="144" t="s">
        <v>5</v>
      </c>
      <c r="E8" s="144" t="s">
        <v>78</v>
      </c>
      <c r="F8" s="144" t="s">
        <v>1546</v>
      </c>
      <c r="G8" s="144" t="s">
        <v>26</v>
      </c>
      <c r="H8" s="146">
        <v>0.5</v>
      </c>
      <c r="I8" s="144" t="s">
        <v>10</v>
      </c>
      <c r="J8" s="147">
        <v>45520</v>
      </c>
      <c r="K8" s="147">
        <v>45625</v>
      </c>
      <c r="L8" s="143">
        <f>IF(ISBLANK(DATA[[#This Row],[DISCHARGE DATE]]), "NO DATE", DATA[[#This Row],[DISCHARGE DATE]]-DATA[[#This Row],[ADMISSION DATE]]+1)</f>
        <v>106</v>
      </c>
      <c r="M8" s="148">
        <v>350</v>
      </c>
      <c r="N8" s="148">
        <v>1378</v>
      </c>
      <c r="O8" s="149" t="s">
        <v>79</v>
      </c>
      <c r="P8" s="149" t="s">
        <v>80</v>
      </c>
      <c r="Q8" s="150">
        <f>IF(DATA[[#This Row],[TYPE]]="Normal", 13 * DATA[[#This Row],[STORAGE DAYS]], 20 * DATA[[#This Row],[STORAGE DAYS]])</f>
        <v>1378</v>
      </c>
      <c r="R8" s="150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389</v>
      </c>
    </row>
    <row r="9" spans="1:20" s="26" customFormat="1" ht="21" x14ac:dyDescent="0.25">
      <c r="A9" s="142" t="s">
        <v>81</v>
      </c>
      <c r="B9" s="143" t="s">
        <v>82</v>
      </c>
      <c r="C9" s="143">
        <v>36</v>
      </c>
      <c r="D9" s="144" t="s">
        <v>4</v>
      </c>
      <c r="E9" s="144" t="s">
        <v>83</v>
      </c>
      <c r="F9" s="144" t="s">
        <v>1547</v>
      </c>
      <c r="G9" s="144" t="s">
        <v>27</v>
      </c>
      <c r="H9" s="146">
        <v>0.33263888888888887</v>
      </c>
      <c r="I9" s="144" t="s">
        <v>10</v>
      </c>
      <c r="J9" s="147">
        <v>45522</v>
      </c>
      <c r="K9" s="147">
        <v>45535</v>
      </c>
      <c r="L9" s="143">
        <f>IF(ISBLANK(DATA[[#This Row],[DISCHARGE DATE]]), "NO DATE", DATA[[#This Row],[DISCHARGE DATE]]-DATA[[#This Row],[ADMISSION DATE]]+1)</f>
        <v>14</v>
      </c>
      <c r="M9" s="148">
        <v>350</v>
      </c>
      <c r="N9" s="148">
        <v>182</v>
      </c>
      <c r="O9" s="149" t="s">
        <v>84</v>
      </c>
      <c r="P9" s="149" t="s">
        <v>61</v>
      </c>
      <c r="Q9" s="150">
        <f>IF(DATA[[#This Row],[TYPE]]="Normal", 13 * DATA[[#This Row],[STORAGE DAYS]], 20 * DATA[[#This Row],[STORAGE DAYS]])</f>
        <v>182</v>
      </c>
      <c r="R9" s="150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389</v>
      </c>
    </row>
    <row r="10" spans="1:20" s="26" customFormat="1" ht="21" x14ac:dyDescent="0.25">
      <c r="A10" s="142" t="s">
        <v>85</v>
      </c>
      <c r="B10" s="143" t="s">
        <v>1533</v>
      </c>
      <c r="C10" s="143">
        <v>82</v>
      </c>
      <c r="D10" s="144" t="s">
        <v>5</v>
      </c>
      <c r="E10" s="144" t="s">
        <v>86</v>
      </c>
      <c r="F10" s="144" t="s">
        <v>1548</v>
      </c>
      <c r="G10" s="144" t="s">
        <v>26</v>
      </c>
      <c r="H10" s="146">
        <v>0.23958333333333334</v>
      </c>
      <c r="I10" s="144" t="s">
        <v>10</v>
      </c>
      <c r="J10" s="147">
        <v>45524</v>
      </c>
      <c r="K10" s="147">
        <v>45723</v>
      </c>
      <c r="L10" s="143">
        <f>IF(ISBLANK(DATA[[#This Row],[DISCHARGE DATE]]), "NO DATE", DATA[[#This Row],[DISCHARGE DATE]]-DATA[[#This Row],[ADMISSION DATE]]+1)</f>
        <v>200</v>
      </c>
      <c r="M10" s="148">
        <v>350</v>
      </c>
      <c r="N10" s="148">
        <v>2600</v>
      </c>
      <c r="O10" s="149" t="s">
        <v>87</v>
      </c>
      <c r="P10" s="149" t="s">
        <v>88</v>
      </c>
      <c r="Q10" s="150">
        <f>IF(DATA[[#This Row],[TYPE]]="Normal", 13 * DATA[[#This Row],[STORAGE DAYS]], 20 * DATA[[#This Row],[STORAGE DAYS]])</f>
        <v>2600</v>
      </c>
      <c r="R10" s="150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389</v>
      </c>
    </row>
    <row r="11" spans="1:20" s="26" customFormat="1" ht="21" x14ac:dyDescent="0.25">
      <c r="A11" s="142" t="s">
        <v>89</v>
      </c>
      <c r="B11" s="143" t="s">
        <v>90</v>
      </c>
      <c r="C11" s="143">
        <v>86</v>
      </c>
      <c r="D11" s="144" t="s">
        <v>5</v>
      </c>
      <c r="E11" s="144" t="s">
        <v>91</v>
      </c>
      <c r="F11" s="144" t="s">
        <v>1549</v>
      </c>
      <c r="G11" s="144" t="s">
        <v>27</v>
      </c>
      <c r="H11" s="146">
        <v>0.53125</v>
      </c>
      <c r="I11" s="144" t="s">
        <v>10</v>
      </c>
      <c r="J11" s="147">
        <v>45529</v>
      </c>
      <c r="K11" s="147">
        <v>45625</v>
      </c>
      <c r="L11" s="143">
        <f>IF(ISBLANK(DATA[[#This Row],[DISCHARGE DATE]]), "NO DATE", DATA[[#This Row],[DISCHARGE DATE]]-DATA[[#This Row],[ADMISSION DATE]]+1)</f>
        <v>97</v>
      </c>
      <c r="M11" s="148">
        <v>350</v>
      </c>
      <c r="N11" s="148">
        <v>1261</v>
      </c>
      <c r="O11" s="149" t="s">
        <v>92</v>
      </c>
      <c r="P11" s="149" t="s">
        <v>93</v>
      </c>
      <c r="Q11" s="150">
        <f>IF(DATA[[#This Row],[TYPE]]="Normal", 13 * DATA[[#This Row],[STORAGE DAYS]], 20 * DATA[[#This Row],[STORAGE DAYS]])</f>
        <v>1261</v>
      </c>
      <c r="R11" s="150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389</v>
      </c>
    </row>
    <row r="12" spans="1:20" s="26" customFormat="1" ht="21" x14ac:dyDescent="0.25">
      <c r="A12" s="142" t="s">
        <v>94</v>
      </c>
      <c r="B12" s="143" t="s">
        <v>95</v>
      </c>
      <c r="C12" s="143">
        <v>67</v>
      </c>
      <c r="D12" s="144" t="s">
        <v>4</v>
      </c>
      <c r="E12" s="144" t="s">
        <v>96</v>
      </c>
      <c r="F12" s="144" t="s">
        <v>1550</v>
      </c>
      <c r="G12" s="144" t="s">
        <v>27</v>
      </c>
      <c r="H12" s="146">
        <v>0.61944444444444446</v>
      </c>
      <c r="I12" s="144" t="s">
        <v>10</v>
      </c>
      <c r="J12" s="147">
        <v>45532</v>
      </c>
      <c r="K12" s="147">
        <v>45744</v>
      </c>
      <c r="L12" s="143">
        <f>IF(ISBLANK(DATA[[#This Row],[DISCHARGE DATE]]), "NO DATE", DATA[[#This Row],[DISCHARGE DATE]]-DATA[[#This Row],[ADMISSION DATE]]+1)</f>
        <v>213</v>
      </c>
      <c r="M12" s="148">
        <v>350</v>
      </c>
      <c r="N12" s="148">
        <v>2769</v>
      </c>
      <c r="O12" s="149" t="s">
        <v>97</v>
      </c>
      <c r="P12" s="149" t="s">
        <v>98</v>
      </c>
      <c r="Q12" s="150">
        <f>IF(DATA[[#This Row],[TYPE]]="Normal", 13 * DATA[[#This Row],[STORAGE DAYS]], 20 * DATA[[#This Row],[STORAGE DAYS]])</f>
        <v>2769</v>
      </c>
      <c r="R12" s="150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389</v>
      </c>
    </row>
    <row r="13" spans="1:20" s="26" customFormat="1" ht="21" x14ac:dyDescent="0.25">
      <c r="A13" s="142" t="s">
        <v>99</v>
      </c>
      <c r="B13" s="143" t="s">
        <v>100</v>
      </c>
      <c r="C13" s="143">
        <v>60</v>
      </c>
      <c r="D13" s="144" t="s">
        <v>4</v>
      </c>
      <c r="E13" s="144" t="s">
        <v>101</v>
      </c>
      <c r="F13" s="144" t="s">
        <v>1551</v>
      </c>
      <c r="G13" s="144" t="s">
        <v>26</v>
      </c>
      <c r="H13" s="146">
        <v>0.89930555555555558</v>
      </c>
      <c r="I13" s="144" t="s">
        <v>10</v>
      </c>
      <c r="J13" s="147">
        <v>45532</v>
      </c>
      <c r="K13" s="147">
        <v>45772</v>
      </c>
      <c r="L13" s="143">
        <f>IF(ISBLANK(DATA[[#This Row],[DISCHARGE DATE]]), "NO DATE", DATA[[#This Row],[DISCHARGE DATE]]-DATA[[#This Row],[ADMISSION DATE]]+1)</f>
        <v>241</v>
      </c>
      <c r="M13" s="148">
        <v>350</v>
      </c>
      <c r="N13" s="148">
        <v>3133</v>
      </c>
      <c r="O13" s="149" t="s">
        <v>62</v>
      </c>
      <c r="P13" s="149" t="s">
        <v>102</v>
      </c>
      <c r="Q13" s="150">
        <f>IF(DATA[[#This Row],[TYPE]]="Normal", 13 * DATA[[#This Row],[STORAGE DAYS]], 20 * DATA[[#This Row],[STORAGE DAYS]])</f>
        <v>3133</v>
      </c>
      <c r="R13" s="150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389</v>
      </c>
    </row>
    <row r="14" spans="1:20" s="26" customFormat="1" ht="21" x14ac:dyDescent="0.25">
      <c r="A14" s="142" t="s">
        <v>103</v>
      </c>
      <c r="B14" s="143" t="s">
        <v>104</v>
      </c>
      <c r="C14" s="143">
        <v>66</v>
      </c>
      <c r="D14" s="144" t="s">
        <v>5</v>
      </c>
      <c r="E14" s="144" t="s">
        <v>105</v>
      </c>
      <c r="F14" s="144" t="s">
        <v>1552</v>
      </c>
      <c r="G14" s="144" t="s">
        <v>27</v>
      </c>
      <c r="H14" s="146">
        <v>0.61458333333333337</v>
      </c>
      <c r="I14" s="144" t="s">
        <v>10</v>
      </c>
      <c r="J14" s="147">
        <v>45534</v>
      </c>
      <c r="K14" s="147">
        <v>45597</v>
      </c>
      <c r="L14" s="143">
        <f>IF(ISBLANK(DATA[[#This Row],[DISCHARGE DATE]]), "NO DATE", DATA[[#This Row],[DISCHARGE DATE]]-DATA[[#This Row],[ADMISSION DATE]]+1)</f>
        <v>64</v>
      </c>
      <c r="M14" s="148">
        <v>350</v>
      </c>
      <c r="N14" s="148">
        <v>832</v>
      </c>
      <c r="O14" s="149" t="s">
        <v>106</v>
      </c>
      <c r="P14" s="149" t="s">
        <v>106</v>
      </c>
      <c r="Q14" s="150">
        <f>IF(DATA[[#This Row],[TYPE]]="Normal", 13 * DATA[[#This Row],[STORAGE DAYS]], 20 * DATA[[#This Row],[STORAGE DAYS]])</f>
        <v>832</v>
      </c>
      <c r="R14" s="150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389</v>
      </c>
    </row>
    <row r="15" spans="1:20" s="26" customFormat="1" ht="21" x14ac:dyDescent="0.25">
      <c r="A15" s="142" t="s">
        <v>107</v>
      </c>
      <c r="B15" s="143" t="s">
        <v>108</v>
      </c>
      <c r="C15" s="143">
        <v>56</v>
      </c>
      <c r="D15" s="144" t="s">
        <v>5</v>
      </c>
      <c r="E15" s="144" t="s">
        <v>109</v>
      </c>
      <c r="F15" s="144" t="s">
        <v>1553</v>
      </c>
      <c r="G15" s="144" t="s">
        <v>24</v>
      </c>
      <c r="H15" s="146">
        <v>0.43055555555555558</v>
      </c>
      <c r="I15" s="144" t="s">
        <v>10</v>
      </c>
      <c r="J15" s="147">
        <v>45536</v>
      </c>
      <c r="K15" s="147">
        <v>45625</v>
      </c>
      <c r="L15" s="143">
        <f>IF(ISBLANK(DATA[[#This Row],[DISCHARGE DATE]]), "NO DATE", DATA[[#This Row],[DISCHARGE DATE]]-DATA[[#This Row],[ADMISSION DATE]]+1)</f>
        <v>90</v>
      </c>
      <c r="M15" s="148">
        <v>350</v>
      </c>
      <c r="N15" s="148">
        <v>1170</v>
      </c>
      <c r="O15" s="149" t="s">
        <v>75</v>
      </c>
      <c r="P15" s="149" t="s">
        <v>110</v>
      </c>
      <c r="Q15" s="150">
        <f>IF(DATA[[#This Row],[TYPE]]="Normal", 13 * DATA[[#This Row],[STORAGE DAYS]], 20 * DATA[[#This Row],[STORAGE DAYS]])</f>
        <v>1170</v>
      </c>
      <c r="R15" s="150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389</v>
      </c>
    </row>
    <row r="16" spans="1:20" s="26" customFormat="1" ht="21" x14ac:dyDescent="0.25">
      <c r="A16" s="142" t="s">
        <v>111</v>
      </c>
      <c r="B16" s="143" t="s">
        <v>112</v>
      </c>
      <c r="C16" s="143">
        <v>45</v>
      </c>
      <c r="D16" s="144" t="s">
        <v>5</v>
      </c>
      <c r="E16" s="144" t="s">
        <v>113</v>
      </c>
      <c r="F16" s="144" t="s">
        <v>1554</v>
      </c>
      <c r="G16" s="144" t="s">
        <v>25</v>
      </c>
      <c r="H16" s="146">
        <v>0.73611111111111116</v>
      </c>
      <c r="I16" s="144" t="s">
        <v>10</v>
      </c>
      <c r="J16" s="147">
        <v>45538</v>
      </c>
      <c r="K16" s="147">
        <v>45744</v>
      </c>
      <c r="L16" s="143">
        <f>IF(ISBLANK(DATA[[#This Row],[DISCHARGE DATE]]), "NO DATE", DATA[[#This Row],[DISCHARGE DATE]]-DATA[[#This Row],[ADMISSION DATE]]+1)</f>
        <v>207</v>
      </c>
      <c r="M16" s="148">
        <v>350</v>
      </c>
      <c r="N16" s="148">
        <v>2691</v>
      </c>
      <c r="O16" s="149" t="s">
        <v>114</v>
      </c>
      <c r="P16" s="149" t="s">
        <v>115</v>
      </c>
      <c r="Q16" s="150">
        <f>IF(DATA[[#This Row],[TYPE]]="Normal", 13 * DATA[[#This Row],[STORAGE DAYS]], 20 * DATA[[#This Row],[STORAGE DAYS]])</f>
        <v>2691</v>
      </c>
      <c r="R16" s="150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389</v>
      </c>
    </row>
    <row r="17" spans="1:20" s="26" customFormat="1" ht="21" x14ac:dyDescent="0.25">
      <c r="A17" s="142" t="s">
        <v>116</v>
      </c>
      <c r="B17" s="143" t="s">
        <v>117</v>
      </c>
      <c r="C17" s="143">
        <v>31</v>
      </c>
      <c r="D17" s="144" t="s">
        <v>5</v>
      </c>
      <c r="E17" s="144" t="s">
        <v>118</v>
      </c>
      <c r="F17" s="144" t="s">
        <v>1555</v>
      </c>
      <c r="G17" s="144" t="s">
        <v>27</v>
      </c>
      <c r="H17" s="146">
        <v>0.61250000000000004</v>
      </c>
      <c r="I17" s="144" t="s">
        <v>10</v>
      </c>
      <c r="J17" s="147">
        <v>45539</v>
      </c>
      <c r="K17" s="147">
        <v>45625</v>
      </c>
      <c r="L17" s="143">
        <f>IF(ISBLANK(DATA[[#This Row],[DISCHARGE DATE]]), "NO DATE", DATA[[#This Row],[DISCHARGE DATE]]-DATA[[#This Row],[ADMISSION DATE]]+1)</f>
        <v>87</v>
      </c>
      <c r="M17" s="148">
        <v>350</v>
      </c>
      <c r="N17" s="148">
        <v>1131</v>
      </c>
      <c r="O17" s="149" t="s">
        <v>119</v>
      </c>
      <c r="P17" s="149" t="s">
        <v>120</v>
      </c>
      <c r="Q17" s="150">
        <f>IF(DATA[[#This Row],[TYPE]]="Normal", 13 * DATA[[#This Row],[STORAGE DAYS]], 20 * DATA[[#This Row],[STORAGE DAYS]])</f>
        <v>1131</v>
      </c>
      <c r="R17" s="150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389</v>
      </c>
    </row>
    <row r="18" spans="1:20" s="26" customFormat="1" ht="21" x14ac:dyDescent="0.25">
      <c r="A18" s="142" t="s">
        <v>121</v>
      </c>
      <c r="B18" s="143" t="s">
        <v>122</v>
      </c>
      <c r="C18" s="143">
        <v>37</v>
      </c>
      <c r="D18" s="144" t="s">
        <v>5</v>
      </c>
      <c r="E18" s="144" t="s">
        <v>123</v>
      </c>
      <c r="F18" s="144" t="s">
        <v>1556</v>
      </c>
      <c r="G18" s="144" t="s">
        <v>27</v>
      </c>
      <c r="H18" s="146">
        <v>0.72916666666666663</v>
      </c>
      <c r="I18" s="144" t="s">
        <v>10</v>
      </c>
      <c r="J18" s="147">
        <v>45537</v>
      </c>
      <c r="K18" s="147">
        <v>45597</v>
      </c>
      <c r="L18" s="143">
        <f>IF(ISBLANK(DATA[[#This Row],[DISCHARGE DATE]]), "NO DATE", DATA[[#This Row],[DISCHARGE DATE]]-DATA[[#This Row],[ADMISSION DATE]]+1)</f>
        <v>61</v>
      </c>
      <c r="M18" s="148">
        <v>350</v>
      </c>
      <c r="N18" s="148">
        <v>793</v>
      </c>
      <c r="O18" s="149" t="s">
        <v>120</v>
      </c>
      <c r="P18" s="149" t="s">
        <v>87</v>
      </c>
      <c r="Q18" s="150">
        <f>IF(DATA[[#This Row],[TYPE]]="Normal", 13 * DATA[[#This Row],[STORAGE DAYS]], 20 * DATA[[#This Row],[STORAGE DAYS]])</f>
        <v>793</v>
      </c>
      <c r="R18" s="150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389</v>
      </c>
    </row>
    <row r="19" spans="1:20" s="26" customFormat="1" ht="21" x14ac:dyDescent="0.25">
      <c r="A19" s="142" t="s">
        <v>124</v>
      </c>
      <c r="B19" s="143" t="s">
        <v>125</v>
      </c>
      <c r="C19" s="143">
        <v>78</v>
      </c>
      <c r="D19" s="144" t="s">
        <v>5</v>
      </c>
      <c r="E19" s="144" t="s">
        <v>126</v>
      </c>
      <c r="F19" s="144" t="s">
        <v>1557</v>
      </c>
      <c r="G19" s="144" t="s">
        <v>27</v>
      </c>
      <c r="H19" s="146">
        <v>0.41666666666666669</v>
      </c>
      <c r="I19" s="144" t="s">
        <v>10</v>
      </c>
      <c r="J19" s="147">
        <v>45543</v>
      </c>
      <c r="K19" s="147">
        <v>45597</v>
      </c>
      <c r="L19" s="143">
        <f>IF(ISBLANK(DATA[[#This Row],[DISCHARGE DATE]]), "NO DATE", DATA[[#This Row],[DISCHARGE DATE]]-DATA[[#This Row],[ADMISSION DATE]]+1)</f>
        <v>55</v>
      </c>
      <c r="M19" s="148">
        <v>350</v>
      </c>
      <c r="N19" s="148">
        <v>715</v>
      </c>
      <c r="O19" s="149" t="s">
        <v>110</v>
      </c>
      <c r="P19" s="149" t="s">
        <v>79</v>
      </c>
      <c r="Q19" s="150">
        <f>IF(DATA[[#This Row],[TYPE]]="Normal", 13 * DATA[[#This Row],[STORAGE DAYS]], 20 * DATA[[#This Row],[STORAGE DAYS]])</f>
        <v>715</v>
      </c>
      <c r="R19" s="150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389</v>
      </c>
    </row>
    <row r="20" spans="1:20" s="26" customFormat="1" ht="21" x14ac:dyDescent="0.25">
      <c r="A20" s="142" t="s">
        <v>127</v>
      </c>
      <c r="B20" s="143" t="s">
        <v>128</v>
      </c>
      <c r="C20" s="143">
        <v>75</v>
      </c>
      <c r="D20" s="144" t="s">
        <v>4</v>
      </c>
      <c r="E20" s="144" t="s">
        <v>129</v>
      </c>
      <c r="F20" s="144" t="s">
        <v>1558</v>
      </c>
      <c r="G20" s="144" t="s">
        <v>27</v>
      </c>
      <c r="H20" s="146">
        <v>0.6875</v>
      </c>
      <c r="I20" s="144" t="s">
        <v>10</v>
      </c>
      <c r="J20" s="147">
        <v>45543</v>
      </c>
      <c r="K20" s="147">
        <v>45772</v>
      </c>
      <c r="L20" s="143">
        <f>IF(ISBLANK(DATA[[#This Row],[DISCHARGE DATE]]), "NO DATE", DATA[[#This Row],[DISCHARGE DATE]]-DATA[[#This Row],[ADMISSION DATE]]+1)</f>
        <v>230</v>
      </c>
      <c r="M20" s="148">
        <v>350</v>
      </c>
      <c r="N20" s="148">
        <v>2990</v>
      </c>
      <c r="O20" s="149" t="s">
        <v>93</v>
      </c>
      <c r="P20" s="149" t="s">
        <v>130</v>
      </c>
      <c r="Q20" s="150">
        <f>IF(DATA[[#This Row],[TYPE]]="Normal", 13 * DATA[[#This Row],[STORAGE DAYS]], 20 * DATA[[#This Row],[STORAGE DAYS]])</f>
        <v>2990</v>
      </c>
      <c r="R20" s="150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389</v>
      </c>
    </row>
    <row r="21" spans="1:20" s="26" customFormat="1" ht="21" x14ac:dyDescent="0.25">
      <c r="A21" s="142" t="s">
        <v>131</v>
      </c>
      <c r="B21" s="143" t="s">
        <v>132</v>
      </c>
      <c r="C21" s="143">
        <v>77</v>
      </c>
      <c r="D21" s="144" t="s">
        <v>5</v>
      </c>
      <c r="E21" s="144" t="s">
        <v>133</v>
      </c>
      <c r="F21" s="144" t="s">
        <v>1559</v>
      </c>
      <c r="G21" s="144" t="s">
        <v>27</v>
      </c>
      <c r="H21" s="146">
        <v>0.27083333333333331</v>
      </c>
      <c r="I21" s="144" t="s">
        <v>10</v>
      </c>
      <c r="J21" s="147">
        <v>45545</v>
      </c>
      <c r="K21" s="147">
        <v>45807</v>
      </c>
      <c r="L21" s="143">
        <f>IF(ISBLANK(DATA[[#This Row],[DISCHARGE DATE]]), "NO DATE", DATA[[#This Row],[DISCHARGE DATE]]-DATA[[#This Row],[ADMISSION DATE]]+1)</f>
        <v>263</v>
      </c>
      <c r="M21" s="148">
        <v>350</v>
      </c>
      <c r="N21" s="148">
        <v>3016</v>
      </c>
      <c r="O21" s="149" t="s">
        <v>134</v>
      </c>
      <c r="P21" s="149" t="s">
        <v>135</v>
      </c>
      <c r="Q21" s="150">
        <f>IF(DATA[[#This Row],[TYPE]]="Normal", 13 * DATA[[#This Row],[STORAGE DAYS]], 20 * DATA[[#This Row],[STORAGE DAYS]])</f>
        <v>3419</v>
      </c>
      <c r="R21" s="150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389</v>
      </c>
    </row>
    <row r="22" spans="1:20" s="26" customFormat="1" ht="21" x14ac:dyDescent="0.25">
      <c r="A22" s="142" t="s">
        <v>136</v>
      </c>
      <c r="B22" s="143" t="s">
        <v>137</v>
      </c>
      <c r="C22" s="143">
        <v>45</v>
      </c>
      <c r="D22" s="144" t="s">
        <v>4</v>
      </c>
      <c r="E22" s="144" t="s">
        <v>138</v>
      </c>
      <c r="F22" s="144" t="s">
        <v>1560</v>
      </c>
      <c r="G22" s="144" t="s">
        <v>19</v>
      </c>
      <c r="H22" s="146">
        <v>0.83333333333333337</v>
      </c>
      <c r="I22" s="144" t="s">
        <v>10</v>
      </c>
      <c r="J22" s="147">
        <v>45544</v>
      </c>
      <c r="K22" s="147">
        <v>45562</v>
      </c>
      <c r="L22" s="143">
        <f>IF(ISBLANK(DATA[[#This Row],[DISCHARGE DATE]]), "NO DATE", DATA[[#This Row],[DISCHARGE DATE]]-DATA[[#This Row],[ADMISSION DATE]]+1)</f>
        <v>19</v>
      </c>
      <c r="M22" s="148">
        <v>350</v>
      </c>
      <c r="N22" s="148">
        <v>247</v>
      </c>
      <c r="O22" s="149" t="s">
        <v>139</v>
      </c>
      <c r="P22" s="149" t="s">
        <v>74</v>
      </c>
      <c r="Q22" s="150">
        <f>IF(DATA[[#This Row],[TYPE]]="Normal", 13 * DATA[[#This Row],[STORAGE DAYS]], 20 * DATA[[#This Row],[STORAGE DAYS]])</f>
        <v>247</v>
      </c>
      <c r="R22" s="150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389</v>
      </c>
    </row>
    <row r="23" spans="1:20" s="26" customFormat="1" ht="21" x14ac:dyDescent="0.25">
      <c r="A23" s="142" t="s">
        <v>140</v>
      </c>
      <c r="B23" s="143" t="s">
        <v>141</v>
      </c>
      <c r="C23" s="143">
        <v>73</v>
      </c>
      <c r="D23" s="144" t="s">
        <v>5</v>
      </c>
      <c r="E23" s="144" t="s">
        <v>142</v>
      </c>
      <c r="F23" s="144" t="s">
        <v>1561</v>
      </c>
      <c r="G23" s="144" t="s">
        <v>25</v>
      </c>
      <c r="H23" s="146">
        <v>0.89583333333333337</v>
      </c>
      <c r="I23" s="144" t="s">
        <v>10</v>
      </c>
      <c r="J23" s="147">
        <v>45546</v>
      </c>
      <c r="K23" s="147">
        <v>45597</v>
      </c>
      <c r="L23" s="143">
        <f>IF(ISBLANK(DATA[[#This Row],[DISCHARGE DATE]]), "NO DATE", DATA[[#This Row],[DISCHARGE DATE]]-DATA[[#This Row],[ADMISSION DATE]]+1)</f>
        <v>52</v>
      </c>
      <c r="M23" s="148">
        <v>350</v>
      </c>
      <c r="N23" s="148">
        <v>676</v>
      </c>
      <c r="O23" s="149" t="s">
        <v>143</v>
      </c>
      <c r="P23" s="149" t="s">
        <v>92</v>
      </c>
      <c r="Q23" s="150">
        <f>IF(DATA[[#This Row],[TYPE]]="Normal", 13 * DATA[[#This Row],[STORAGE DAYS]], 20 * DATA[[#This Row],[STORAGE DAYS]])</f>
        <v>676</v>
      </c>
      <c r="R23" s="150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389</v>
      </c>
    </row>
    <row r="24" spans="1:20" s="26" customFormat="1" ht="21" x14ac:dyDescent="0.25">
      <c r="A24" s="142" t="s">
        <v>144</v>
      </c>
      <c r="B24" s="143" t="s">
        <v>145</v>
      </c>
      <c r="C24" s="143">
        <v>76</v>
      </c>
      <c r="D24" s="144" t="s">
        <v>5</v>
      </c>
      <c r="E24" s="144" t="s">
        <v>146</v>
      </c>
      <c r="F24" s="144" t="s">
        <v>1562</v>
      </c>
      <c r="G24" s="144" t="s">
        <v>27</v>
      </c>
      <c r="H24" s="146">
        <v>0.72916666666666663</v>
      </c>
      <c r="I24" s="144" t="s">
        <v>10</v>
      </c>
      <c r="J24" s="147">
        <v>45546</v>
      </c>
      <c r="K24" s="147">
        <v>45625</v>
      </c>
      <c r="L24" s="143">
        <f>IF(ISBLANK(DATA[[#This Row],[DISCHARGE DATE]]), "NO DATE", DATA[[#This Row],[DISCHARGE DATE]]-DATA[[#This Row],[ADMISSION DATE]]+1)</f>
        <v>80</v>
      </c>
      <c r="M24" s="148">
        <v>350</v>
      </c>
      <c r="N24" s="148">
        <v>1040</v>
      </c>
      <c r="O24" s="149" t="s">
        <v>147</v>
      </c>
      <c r="P24" s="149" t="s">
        <v>139</v>
      </c>
      <c r="Q24" s="150">
        <f>IF(DATA[[#This Row],[TYPE]]="Normal", 13 * DATA[[#This Row],[STORAGE DAYS]], 20 * DATA[[#This Row],[STORAGE DAYS]])</f>
        <v>1040</v>
      </c>
      <c r="R24" s="150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389</v>
      </c>
    </row>
    <row r="25" spans="1:20" s="26" customFormat="1" ht="21" x14ac:dyDescent="0.25">
      <c r="A25" s="142" t="s">
        <v>148</v>
      </c>
      <c r="B25" s="143" t="s">
        <v>149</v>
      </c>
      <c r="C25" s="143">
        <v>53</v>
      </c>
      <c r="D25" s="144" t="s">
        <v>4</v>
      </c>
      <c r="E25" s="144" t="s">
        <v>150</v>
      </c>
      <c r="F25" s="144" t="s">
        <v>1563</v>
      </c>
      <c r="G25" s="144" t="s">
        <v>27</v>
      </c>
      <c r="H25" s="146">
        <v>0.47222222222222221</v>
      </c>
      <c r="I25" s="144" t="s">
        <v>10</v>
      </c>
      <c r="J25" s="147">
        <v>45552</v>
      </c>
      <c r="K25" s="147">
        <v>45576</v>
      </c>
      <c r="L25" s="143">
        <f>IF(ISBLANK(DATA[[#This Row],[DISCHARGE DATE]]), "NO DATE", DATA[[#This Row],[DISCHARGE DATE]]-DATA[[#This Row],[ADMISSION DATE]]+1)</f>
        <v>25</v>
      </c>
      <c r="M25" s="148">
        <v>350</v>
      </c>
      <c r="N25" s="148">
        <v>325</v>
      </c>
      <c r="O25" s="149" t="s">
        <v>80</v>
      </c>
      <c r="P25" s="149" t="s">
        <v>84</v>
      </c>
      <c r="Q25" s="150">
        <f>IF(DATA[[#This Row],[TYPE]]="Normal", 13 * DATA[[#This Row],[STORAGE DAYS]], 20 * DATA[[#This Row],[STORAGE DAYS]])</f>
        <v>325</v>
      </c>
      <c r="R25" s="150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389</v>
      </c>
    </row>
    <row r="26" spans="1:20" s="26" customFormat="1" ht="21" x14ac:dyDescent="0.25">
      <c r="A26" s="142" t="s">
        <v>151</v>
      </c>
      <c r="B26" s="143" t="s">
        <v>152</v>
      </c>
      <c r="C26" s="143">
        <v>83</v>
      </c>
      <c r="D26" s="144" t="s">
        <v>5</v>
      </c>
      <c r="E26" s="144" t="s">
        <v>153</v>
      </c>
      <c r="F26" s="144" t="s">
        <v>1564</v>
      </c>
      <c r="G26" s="144" t="s">
        <v>27</v>
      </c>
      <c r="H26" s="146">
        <v>0.77083333333333337</v>
      </c>
      <c r="I26" s="144" t="s">
        <v>10</v>
      </c>
      <c r="J26" s="147">
        <v>45552</v>
      </c>
      <c r="K26" s="147">
        <v>45625</v>
      </c>
      <c r="L26" s="143">
        <f>IF(ISBLANK(DATA[[#This Row],[DISCHARGE DATE]]), "NO DATE", DATA[[#This Row],[DISCHARGE DATE]]-DATA[[#This Row],[ADMISSION DATE]]+1)</f>
        <v>74</v>
      </c>
      <c r="M26" s="148">
        <v>350</v>
      </c>
      <c r="N26" s="148">
        <v>962</v>
      </c>
      <c r="O26" s="149" t="s">
        <v>154</v>
      </c>
      <c r="P26" s="149" t="s">
        <v>134</v>
      </c>
      <c r="Q26" s="150">
        <f>IF(DATA[[#This Row],[TYPE]]="Normal", 13 * DATA[[#This Row],[STORAGE DAYS]], 20 * DATA[[#This Row],[STORAGE DAYS]])</f>
        <v>962</v>
      </c>
      <c r="R26" s="150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389</v>
      </c>
    </row>
    <row r="27" spans="1:20" s="26" customFormat="1" ht="21" x14ac:dyDescent="0.25">
      <c r="A27" s="142" t="s">
        <v>155</v>
      </c>
      <c r="B27" s="143" t="s">
        <v>156</v>
      </c>
      <c r="C27" s="143">
        <v>35</v>
      </c>
      <c r="D27" s="144" t="s">
        <v>5</v>
      </c>
      <c r="E27" s="144" t="s">
        <v>157</v>
      </c>
      <c r="F27" s="144" t="s">
        <v>1565</v>
      </c>
      <c r="G27" s="144" t="s">
        <v>19</v>
      </c>
      <c r="H27" s="146">
        <v>0.3125</v>
      </c>
      <c r="I27" s="144" t="s">
        <v>10</v>
      </c>
      <c r="J27" s="147">
        <v>45560</v>
      </c>
      <c r="K27" s="147">
        <v>45625</v>
      </c>
      <c r="L27" s="143">
        <f>IF(ISBLANK(DATA[[#This Row],[DISCHARGE DATE]]), "NO DATE", DATA[[#This Row],[DISCHARGE DATE]]-DATA[[#This Row],[ADMISSION DATE]]+1)</f>
        <v>66</v>
      </c>
      <c r="M27" s="148">
        <v>350</v>
      </c>
      <c r="N27" s="148">
        <v>858</v>
      </c>
      <c r="O27" s="149" t="s">
        <v>158</v>
      </c>
      <c r="P27" s="149" t="s">
        <v>147</v>
      </c>
      <c r="Q27" s="150">
        <f>IF(DATA[[#This Row],[TYPE]]="Normal", 13 * DATA[[#This Row],[STORAGE DAYS]], 20 * DATA[[#This Row],[STORAGE DAYS]])</f>
        <v>858</v>
      </c>
      <c r="R27" s="150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389</v>
      </c>
    </row>
    <row r="28" spans="1:20" s="26" customFormat="1" ht="21" x14ac:dyDescent="0.25">
      <c r="A28" s="142" t="s">
        <v>159</v>
      </c>
      <c r="B28" s="143" t="s">
        <v>160</v>
      </c>
      <c r="C28" s="143">
        <v>42</v>
      </c>
      <c r="D28" s="144" t="s">
        <v>4</v>
      </c>
      <c r="E28" s="144" t="s">
        <v>161</v>
      </c>
      <c r="F28" s="144" t="s">
        <v>1566</v>
      </c>
      <c r="G28" s="144" t="s">
        <v>27</v>
      </c>
      <c r="H28" s="146">
        <v>0.77083333333333337</v>
      </c>
      <c r="I28" s="144" t="s">
        <v>10</v>
      </c>
      <c r="J28" s="147">
        <v>45560</v>
      </c>
      <c r="K28" s="147">
        <v>45625</v>
      </c>
      <c r="L28" s="143">
        <f>IF(ISBLANK(DATA[[#This Row],[DISCHARGE DATE]]), "NO DATE", DATA[[#This Row],[DISCHARGE DATE]]-DATA[[#This Row],[ADMISSION DATE]]+1)</f>
        <v>66</v>
      </c>
      <c r="M28" s="148">
        <v>350</v>
      </c>
      <c r="N28" s="148">
        <v>858</v>
      </c>
      <c r="O28" s="149" t="s">
        <v>162</v>
      </c>
      <c r="P28" s="149" t="s">
        <v>154</v>
      </c>
      <c r="Q28" s="150">
        <f>IF(DATA[[#This Row],[TYPE]]="Normal", 13 * DATA[[#This Row],[STORAGE DAYS]], 20 * DATA[[#This Row],[STORAGE DAYS]])</f>
        <v>858</v>
      </c>
      <c r="R28" s="150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389</v>
      </c>
    </row>
    <row r="29" spans="1:20" s="26" customFormat="1" ht="21" x14ac:dyDescent="0.25">
      <c r="A29" s="142" t="s">
        <v>163</v>
      </c>
      <c r="B29" s="143" t="s">
        <v>164</v>
      </c>
      <c r="C29" s="143">
        <v>49</v>
      </c>
      <c r="D29" s="144" t="s">
        <v>5</v>
      </c>
      <c r="E29" s="144" t="s">
        <v>165</v>
      </c>
      <c r="F29" s="144" t="s">
        <v>1567</v>
      </c>
      <c r="G29" s="144" t="s">
        <v>25</v>
      </c>
      <c r="H29" s="146">
        <v>0.66666666666666663</v>
      </c>
      <c r="I29" s="144" t="s">
        <v>10</v>
      </c>
      <c r="J29" s="147">
        <v>45565</v>
      </c>
      <c r="K29" s="147">
        <v>45625</v>
      </c>
      <c r="L29" s="143">
        <f>IF(ISBLANK(DATA[[#This Row],[DISCHARGE DATE]]), "NO DATE", DATA[[#This Row],[DISCHARGE DATE]]-DATA[[#This Row],[ADMISSION DATE]]+1)</f>
        <v>61</v>
      </c>
      <c r="M29" s="148">
        <v>350</v>
      </c>
      <c r="N29" s="148">
        <v>793</v>
      </c>
      <c r="O29" s="149" t="s">
        <v>166</v>
      </c>
      <c r="P29" s="149" t="s">
        <v>143</v>
      </c>
      <c r="Q29" s="150">
        <f>IF(DATA[[#This Row],[TYPE]]="Normal", 13 * DATA[[#This Row],[STORAGE DAYS]], 20 * DATA[[#This Row],[STORAGE DAYS]])</f>
        <v>793</v>
      </c>
      <c r="R29" s="150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389</v>
      </c>
    </row>
    <row r="30" spans="1:20" s="26" customFormat="1" ht="21" x14ac:dyDescent="0.25">
      <c r="A30" s="142" t="s">
        <v>167</v>
      </c>
      <c r="B30" s="143" t="s">
        <v>168</v>
      </c>
      <c r="C30" s="143">
        <v>53</v>
      </c>
      <c r="D30" s="144" t="s">
        <v>5</v>
      </c>
      <c r="E30" s="144" t="s">
        <v>169</v>
      </c>
      <c r="F30" s="144" t="s">
        <v>1568</v>
      </c>
      <c r="G30" s="144" t="s">
        <v>22</v>
      </c>
      <c r="H30" s="146">
        <v>0.46944444444444444</v>
      </c>
      <c r="I30" s="144" t="s">
        <v>10</v>
      </c>
      <c r="J30" s="147">
        <v>45566</v>
      </c>
      <c r="K30" s="147">
        <v>45618</v>
      </c>
      <c r="L30" s="143">
        <f>IF(ISBLANK(DATA[[#This Row],[DISCHARGE DATE]]), "NO DATE", DATA[[#This Row],[DISCHARGE DATE]]-DATA[[#This Row],[ADMISSION DATE]]+1)</f>
        <v>53</v>
      </c>
      <c r="M30" s="148">
        <v>350</v>
      </c>
      <c r="N30" s="148">
        <v>1060</v>
      </c>
      <c r="O30" s="149" t="s">
        <v>170</v>
      </c>
      <c r="P30" s="149" t="s">
        <v>119</v>
      </c>
      <c r="Q30" s="150">
        <f>IF(DATA[[#This Row],[TYPE]]="Normal", 13 * DATA[[#This Row],[STORAGE DAYS]], 20 * DATA[[#This Row],[STORAGE DAYS]])</f>
        <v>689</v>
      </c>
      <c r="R30" s="150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389</v>
      </c>
    </row>
    <row r="31" spans="1:20" s="26" customFormat="1" ht="21" x14ac:dyDescent="0.25">
      <c r="A31" s="142" t="s">
        <v>171</v>
      </c>
      <c r="B31" s="143" t="s">
        <v>172</v>
      </c>
      <c r="C31" s="143">
        <v>62</v>
      </c>
      <c r="D31" s="144" t="s">
        <v>4</v>
      </c>
      <c r="E31" s="144" t="s">
        <v>173</v>
      </c>
      <c r="F31" s="144" t="s">
        <v>1569</v>
      </c>
      <c r="G31" s="144" t="s">
        <v>25</v>
      </c>
      <c r="H31" s="146">
        <v>0.61805555555555558</v>
      </c>
      <c r="I31" s="144" t="s">
        <v>10</v>
      </c>
      <c r="J31" s="147">
        <v>45567</v>
      </c>
      <c r="K31" s="147">
        <v>45723</v>
      </c>
      <c r="L31" s="143">
        <f>IF(ISBLANK(DATA[[#This Row],[DISCHARGE DATE]]), "NO DATE", DATA[[#This Row],[DISCHARGE DATE]]-DATA[[#This Row],[ADMISSION DATE]]+1)</f>
        <v>157</v>
      </c>
      <c r="M31" s="148">
        <v>350</v>
      </c>
      <c r="N31" s="148">
        <v>2132</v>
      </c>
      <c r="O31" s="149" t="s">
        <v>174</v>
      </c>
      <c r="P31" s="149" t="s">
        <v>175</v>
      </c>
      <c r="Q31" s="150">
        <f>IF(DATA[[#This Row],[TYPE]]="Normal", 13 * DATA[[#This Row],[STORAGE DAYS]], 20 * DATA[[#This Row],[STORAGE DAYS]])</f>
        <v>2041</v>
      </c>
      <c r="R31" s="150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389</v>
      </c>
    </row>
    <row r="32" spans="1:20" s="26" customFormat="1" ht="21" x14ac:dyDescent="0.25">
      <c r="A32" s="142" t="s">
        <v>176</v>
      </c>
      <c r="B32" s="143" t="s">
        <v>177</v>
      </c>
      <c r="C32" s="143">
        <v>65</v>
      </c>
      <c r="D32" s="144" t="s">
        <v>5</v>
      </c>
      <c r="E32" s="144" t="s">
        <v>178</v>
      </c>
      <c r="F32" s="144" t="s">
        <v>1570</v>
      </c>
      <c r="G32" s="144" t="s">
        <v>11</v>
      </c>
      <c r="H32" s="146">
        <v>0.72569444444444442</v>
      </c>
      <c r="I32" s="144" t="s">
        <v>10</v>
      </c>
      <c r="J32" s="147">
        <v>45571</v>
      </c>
      <c r="K32" s="147">
        <v>45611</v>
      </c>
      <c r="L32" s="143">
        <f>IF(ISBLANK(DATA[[#This Row],[DISCHARGE DATE]]), "NO DATE", DATA[[#This Row],[DISCHARGE DATE]]-DATA[[#This Row],[ADMISSION DATE]]+1)</f>
        <v>41</v>
      </c>
      <c r="M32" s="148">
        <v>350</v>
      </c>
      <c r="N32" s="148">
        <v>533</v>
      </c>
      <c r="O32" s="149" t="s">
        <v>179</v>
      </c>
      <c r="P32" s="149" t="s">
        <v>114</v>
      </c>
      <c r="Q32" s="150">
        <f>IF(DATA[[#This Row],[TYPE]]="Normal", 13 * DATA[[#This Row],[STORAGE DAYS]], 20 * DATA[[#This Row],[STORAGE DAYS]])</f>
        <v>533</v>
      </c>
      <c r="R32" s="150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389</v>
      </c>
    </row>
    <row r="33" spans="1:20" s="26" customFormat="1" ht="21" x14ac:dyDescent="0.25">
      <c r="A33" s="142" t="s">
        <v>180</v>
      </c>
      <c r="B33" s="143" t="s">
        <v>181</v>
      </c>
      <c r="C33" s="143">
        <v>90</v>
      </c>
      <c r="D33" s="144" t="s">
        <v>4</v>
      </c>
      <c r="E33" s="144" t="s">
        <v>182</v>
      </c>
      <c r="F33" s="144" t="s">
        <v>1571</v>
      </c>
      <c r="G33" s="144" t="s">
        <v>27</v>
      </c>
      <c r="H33" s="146">
        <v>0.72916666666666663</v>
      </c>
      <c r="I33" s="144" t="s">
        <v>10</v>
      </c>
      <c r="J33" s="147">
        <v>45572</v>
      </c>
      <c r="K33" s="147">
        <v>45744</v>
      </c>
      <c r="L33" s="143">
        <f>IF(ISBLANK(DATA[[#This Row],[DISCHARGE DATE]]), "NO DATE", DATA[[#This Row],[DISCHARGE DATE]]-DATA[[#This Row],[ADMISSION DATE]]+1)</f>
        <v>173</v>
      </c>
      <c r="M33" s="148">
        <v>350</v>
      </c>
      <c r="N33" s="148">
        <v>2249</v>
      </c>
      <c r="O33" s="149" t="s">
        <v>183</v>
      </c>
      <c r="P33" s="149" t="s">
        <v>184</v>
      </c>
      <c r="Q33" s="150">
        <f>IF(DATA[[#This Row],[TYPE]]="Normal", 13 * DATA[[#This Row],[STORAGE DAYS]], 20 * DATA[[#This Row],[STORAGE DAYS]])</f>
        <v>2249</v>
      </c>
      <c r="R33" s="150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389</v>
      </c>
    </row>
    <row r="34" spans="1:20" s="26" customFormat="1" ht="21" x14ac:dyDescent="0.25">
      <c r="A34" s="142" t="s">
        <v>185</v>
      </c>
      <c r="B34" s="143" t="s">
        <v>186</v>
      </c>
      <c r="C34" s="143">
        <v>70</v>
      </c>
      <c r="D34" s="144" t="s">
        <v>4</v>
      </c>
      <c r="E34" s="144" t="s">
        <v>187</v>
      </c>
      <c r="F34" s="144" t="s">
        <v>1572</v>
      </c>
      <c r="G34" s="144" t="s">
        <v>27</v>
      </c>
      <c r="H34" s="146">
        <v>0.5625</v>
      </c>
      <c r="I34" s="144" t="s">
        <v>12</v>
      </c>
      <c r="J34" s="147">
        <v>45575</v>
      </c>
      <c r="K34" s="147">
        <v>45772</v>
      </c>
      <c r="L34" s="143">
        <f>IF(ISBLANK(DATA[[#This Row],[DISCHARGE DATE]]), "NO DATE", DATA[[#This Row],[DISCHARGE DATE]]-DATA[[#This Row],[ADMISSION DATE]]+1)</f>
        <v>198</v>
      </c>
      <c r="M34" s="148">
        <v>350</v>
      </c>
      <c r="N34" s="148">
        <v>3960</v>
      </c>
      <c r="O34" s="149" t="s">
        <v>188</v>
      </c>
      <c r="P34" s="149" t="s">
        <v>189</v>
      </c>
      <c r="Q34" s="150">
        <f>IF(DATA[[#This Row],[TYPE]]="Normal", 13 * DATA[[#This Row],[STORAGE DAYS]], 20 * DATA[[#This Row],[STORAGE DAYS]])</f>
        <v>3960</v>
      </c>
      <c r="R34" s="150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389</v>
      </c>
    </row>
    <row r="35" spans="1:20" s="26" customFormat="1" ht="21" x14ac:dyDescent="0.25">
      <c r="A35" s="142" t="s">
        <v>190</v>
      </c>
      <c r="B35" s="143" t="s">
        <v>191</v>
      </c>
      <c r="C35" s="143">
        <v>23</v>
      </c>
      <c r="D35" s="144" t="s">
        <v>4</v>
      </c>
      <c r="E35" s="144" t="s">
        <v>192</v>
      </c>
      <c r="F35" s="144" t="s">
        <v>1573</v>
      </c>
      <c r="G35" s="144" t="s">
        <v>26</v>
      </c>
      <c r="H35" s="146">
        <v>0.72916666666666663</v>
      </c>
      <c r="I35" s="144" t="s">
        <v>12</v>
      </c>
      <c r="J35" s="147">
        <v>45576</v>
      </c>
      <c r="K35" s="147">
        <v>45743</v>
      </c>
      <c r="L35" s="143">
        <f>IF(ISBLANK(DATA[[#This Row],[DISCHARGE DATE]]), "NO DATE", DATA[[#This Row],[DISCHARGE DATE]]-DATA[[#This Row],[ADMISSION DATE]]+1)</f>
        <v>168</v>
      </c>
      <c r="M35" s="148">
        <v>350</v>
      </c>
      <c r="N35" s="148">
        <v>3360</v>
      </c>
      <c r="O35" s="149" t="s">
        <v>193</v>
      </c>
      <c r="P35" s="149" t="s">
        <v>194</v>
      </c>
      <c r="Q35" s="150">
        <f>IF(DATA[[#This Row],[TYPE]]="Normal", 13 * DATA[[#This Row],[STORAGE DAYS]], 20 * DATA[[#This Row],[STORAGE DAYS]])</f>
        <v>3360</v>
      </c>
      <c r="R35" s="150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389</v>
      </c>
    </row>
    <row r="36" spans="1:20" s="26" customFormat="1" ht="21" x14ac:dyDescent="0.25">
      <c r="A36" s="142" t="s">
        <v>195</v>
      </c>
      <c r="B36" s="143" t="s">
        <v>196</v>
      </c>
      <c r="C36" s="143">
        <v>60</v>
      </c>
      <c r="D36" s="144" t="s">
        <v>5</v>
      </c>
      <c r="E36" s="144" t="s">
        <v>197</v>
      </c>
      <c r="F36" s="144" t="s">
        <v>1574</v>
      </c>
      <c r="G36" s="144" t="s">
        <v>20</v>
      </c>
      <c r="H36" s="146">
        <v>0.33333333333333331</v>
      </c>
      <c r="I36" s="144" t="s">
        <v>10</v>
      </c>
      <c r="J36" s="147">
        <v>45577</v>
      </c>
      <c r="K36" s="147">
        <v>45597</v>
      </c>
      <c r="L36" s="143">
        <f>IF(ISBLANK(DATA[[#This Row],[DISCHARGE DATE]]), "NO DATE", DATA[[#This Row],[DISCHARGE DATE]]-DATA[[#This Row],[ADMISSION DATE]]+1)</f>
        <v>21</v>
      </c>
      <c r="M36" s="148">
        <v>350</v>
      </c>
      <c r="N36" s="148">
        <v>273</v>
      </c>
      <c r="O36" s="149" t="s">
        <v>198</v>
      </c>
      <c r="P36" s="149" t="s">
        <v>97</v>
      </c>
      <c r="Q36" s="150">
        <f>IF(DATA[[#This Row],[TYPE]]="Normal", 13 * DATA[[#This Row],[STORAGE DAYS]], 20 * DATA[[#This Row],[STORAGE DAYS]])</f>
        <v>273</v>
      </c>
      <c r="R36" s="150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389</v>
      </c>
    </row>
    <row r="37" spans="1:20" s="26" customFormat="1" ht="21" x14ac:dyDescent="0.25">
      <c r="A37" s="142" t="s">
        <v>199</v>
      </c>
      <c r="B37" s="143" t="s">
        <v>200</v>
      </c>
      <c r="C37" s="143">
        <v>55</v>
      </c>
      <c r="D37" s="144" t="s">
        <v>5</v>
      </c>
      <c r="E37" s="144" t="s">
        <v>201</v>
      </c>
      <c r="F37" s="144" t="s">
        <v>1575</v>
      </c>
      <c r="G37" s="144" t="s">
        <v>26</v>
      </c>
      <c r="H37" s="146">
        <v>0.83333333333333337</v>
      </c>
      <c r="I37" s="144" t="s">
        <v>10</v>
      </c>
      <c r="J37" s="147">
        <v>45576</v>
      </c>
      <c r="K37" s="147">
        <v>45709</v>
      </c>
      <c r="L37" s="143">
        <f>IF(ISBLANK(DATA[[#This Row],[DISCHARGE DATE]]), "NO DATE", DATA[[#This Row],[DISCHARGE DATE]]-DATA[[#This Row],[ADMISSION DATE]]+1)</f>
        <v>134</v>
      </c>
      <c r="M37" s="148">
        <v>350</v>
      </c>
      <c r="N37" s="148">
        <v>1742</v>
      </c>
      <c r="O37" s="149" t="s">
        <v>202</v>
      </c>
      <c r="P37" s="149" t="s">
        <v>188</v>
      </c>
      <c r="Q37" s="150">
        <f>IF(DATA[[#This Row],[TYPE]]="Normal", 13 * DATA[[#This Row],[STORAGE DAYS]], 20 * DATA[[#This Row],[STORAGE DAYS]])</f>
        <v>1742</v>
      </c>
      <c r="R37" s="150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389</v>
      </c>
    </row>
    <row r="38" spans="1:20" s="26" customFormat="1" ht="21" x14ac:dyDescent="0.25">
      <c r="A38" s="142" t="s">
        <v>203</v>
      </c>
      <c r="B38" s="143" t="s">
        <v>1534</v>
      </c>
      <c r="C38" s="143">
        <v>36</v>
      </c>
      <c r="D38" s="144" t="s">
        <v>5</v>
      </c>
      <c r="E38" s="144" t="s">
        <v>204</v>
      </c>
      <c r="F38" s="144" t="s">
        <v>1576</v>
      </c>
      <c r="G38" s="144" t="s">
        <v>26</v>
      </c>
      <c r="H38" s="146">
        <v>0.75</v>
      </c>
      <c r="I38" s="144" t="s">
        <v>10</v>
      </c>
      <c r="J38" s="147">
        <v>45578</v>
      </c>
      <c r="K38" s="147">
        <v>45744</v>
      </c>
      <c r="L38" s="143">
        <f>IF(ISBLANK(DATA[[#This Row],[DISCHARGE DATE]]), "NO DATE", DATA[[#This Row],[DISCHARGE DATE]]-DATA[[#This Row],[ADMISSION DATE]]+1)</f>
        <v>167</v>
      </c>
      <c r="M38" s="148">
        <v>350</v>
      </c>
      <c r="N38" s="148">
        <v>2171</v>
      </c>
      <c r="O38" s="149" t="s">
        <v>205</v>
      </c>
      <c r="P38" s="149" t="s">
        <v>206</v>
      </c>
      <c r="Q38" s="150">
        <f>IF(DATA[[#This Row],[TYPE]]="Normal", 13 * DATA[[#This Row],[STORAGE DAYS]], 20 * DATA[[#This Row],[STORAGE DAYS]])</f>
        <v>2171</v>
      </c>
      <c r="R38" s="150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389</v>
      </c>
    </row>
    <row r="39" spans="1:20" s="26" customFormat="1" ht="21" x14ac:dyDescent="0.25">
      <c r="A39" s="142" t="s">
        <v>207</v>
      </c>
      <c r="B39" s="143" t="s">
        <v>208</v>
      </c>
      <c r="C39" s="143">
        <v>80</v>
      </c>
      <c r="D39" s="144" t="s">
        <v>5</v>
      </c>
      <c r="E39" s="144" t="s">
        <v>209</v>
      </c>
      <c r="F39" s="144" t="s">
        <v>1577</v>
      </c>
      <c r="G39" s="144" t="s">
        <v>26</v>
      </c>
      <c r="H39" s="146">
        <v>0.25</v>
      </c>
      <c r="I39" s="144" t="s">
        <v>12</v>
      </c>
      <c r="J39" s="147">
        <v>45583</v>
      </c>
      <c r="K39" s="147">
        <v>45730</v>
      </c>
      <c r="L39" s="143">
        <f>IF(ISBLANK(DATA[[#This Row],[DISCHARGE DATE]]), "NO DATE", DATA[[#This Row],[DISCHARGE DATE]]-DATA[[#This Row],[ADMISSION DATE]]+1)</f>
        <v>148</v>
      </c>
      <c r="M39" s="148">
        <v>350</v>
      </c>
      <c r="N39" s="148">
        <v>2960</v>
      </c>
      <c r="O39" s="149" t="s">
        <v>175</v>
      </c>
      <c r="P39" s="149" t="s">
        <v>210</v>
      </c>
      <c r="Q39" s="150">
        <f>IF(DATA[[#This Row],[TYPE]]="Normal", 13 * DATA[[#This Row],[STORAGE DAYS]], 20 * DATA[[#This Row],[STORAGE DAYS]])</f>
        <v>2960</v>
      </c>
      <c r="R39" s="150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389</v>
      </c>
    </row>
    <row r="40" spans="1:20" s="26" customFormat="1" ht="21" x14ac:dyDescent="0.25">
      <c r="A40" s="142" t="s">
        <v>211</v>
      </c>
      <c r="B40" s="143" t="s">
        <v>212</v>
      </c>
      <c r="C40" s="143">
        <v>74</v>
      </c>
      <c r="D40" s="144" t="s">
        <v>4</v>
      </c>
      <c r="E40" s="144" t="s">
        <v>213</v>
      </c>
      <c r="F40" s="144" t="s">
        <v>1578</v>
      </c>
      <c r="G40" s="144" t="s">
        <v>25</v>
      </c>
      <c r="H40" s="146">
        <v>0.875</v>
      </c>
      <c r="I40" s="144" t="s">
        <v>10</v>
      </c>
      <c r="J40" s="147">
        <v>45583</v>
      </c>
      <c r="K40" s="147">
        <v>45744</v>
      </c>
      <c r="L40" s="143">
        <f>IF(ISBLANK(DATA[[#This Row],[DISCHARGE DATE]]), "NO DATE", DATA[[#This Row],[DISCHARGE DATE]]-DATA[[#This Row],[ADMISSION DATE]]+1)</f>
        <v>162</v>
      </c>
      <c r="M40" s="148">
        <v>350</v>
      </c>
      <c r="N40" s="148">
        <v>2106</v>
      </c>
      <c r="O40" s="149" t="s">
        <v>88</v>
      </c>
      <c r="P40" s="149" t="s">
        <v>214</v>
      </c>
      <c r="Q40" s="150">
        <f>IF(DATA[[#This Row],[TYPE]]="Normal", 13 * DATA[[#This Row],[STORAGE DAYS]], 20 * DATA[[#This Row],[STORAGE DAYS]])</f>
        <v>2106</v>
      </c>
      <c r="R40" s="150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389</v>
      </c>
    </row>
    <row r="41" spans="1:20" s="26" customFormat="1" ht="21" x14ac:dyDescent="0.25">
      <c r="A41" s="142" t="s">
        <v>215</v>
      </c>
      <c r="B41" s="143" t="s">
        <v>216</v>
      </c>
      <c r="C41" s="143">
        <v>62</v>
      </c>
      <c r="D41" s="144" t="s">
        <v>5</v>
      </c>
      <c r="E41" s="144" t="s">
        <v>217</v>
      </c>
      <c r="F41" s="144" t="s">
        <v>1558</v>
      </c>
      <c r="G41" s="144" t="s">
        <v>27</v>
      </c>
      <c r="H41" s="146">
        <v>0.66666666666666663</v>
      </c>
      <c r="I41" s="144" t="s">
        <v>10</v>
      </c>
      <c r="J41" s="147">
        <v>45586</v>
      </c>
      <c r="K41" s="147">
        <v>45807</v>
      </c>
      <c r="L41" s="143">
        <f>IF(ISBLANK(DATA[[#This Row],[DISCHARGE DATE]]), "NO DATE", DATA[[#This Row],[DISCHARGE DATE]]-DATA[[#This Row],[ADMISSION DATE]]+1)</f>
        <v>222</v>
      </c>
      <c r="M41" s="148">
        <v>350</v>
      </c>
      <c r="N41" s="148">
        <v>2886</v>
      </c>
      <c r="O41" s="149" t="s">
        <v>218</v>
      </c>
      <c r="P41" s="149" t="s">
        <v>219</v>
      </c>
      <c r="Q41" s="150">
        <f>IF(DATA[[#This Row],[TYPE]]="Normal", 13 * DATA[[#This Row],[STORAGE DAYS]], 20 * DATA[[#This Row],[STORAGE DAYS]])</f>
        <v>2886</v>
      </c>
      <c r="R41" s="150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389</v>
      </c>
    </row>
    <row r="42" spans="1:20" s="26" customFormat="1" ht="21" x14ac:dyDescent="0.25">
      <c r="A42" s="142" t="s">
        <v>220</v>
      </c>
      <c r="B42" s="143" t="s">
        <v>221</v>
      </c>
      <c r="C42" s="143">
        <v>80</v>
      </c>
      <c r="D42" s="144" t="s">
        <v>5</v>
      </c>
      <c r="E42" s="144" t="s">
        <v>222</v>
      </c>
      <c r="F42" s="144" t="s">
        <v>1579</v>
      </c>
      <c r="G42" s="144" t="s">
        <v>25</v>
      </c>
      <c r="H42" s="146">
        <v>0.61805555555555558</v>
      </c>
      <c r="I42" s="144" t="s">
        <v>10</v>
      </c>
      <c r="J42" s="147">
        <v>45587</v>
      </c>
      <c r="K42" s="147">
        <v>45744</v>
      </c>
      <c r="L42" s="143">
        <f>IF(ISBLANK(DATA[[#This Row],[DISCHARGE DATE]]), "NO DATE", DATA[[#This Row],[DISCHARGE DATE]]-DATA[[#This Row],[ADMISSION DATE]]+1)</f>
        <v>158</v>
      </c>
      <c r="M42" s="148">
        <v>350</v>
      </c>
      <c r="N42" s="148">
        <v>2054</v>
      </c>
      <c r="O42" s="149" t="s">
        <v>223</v>
      </c>
      <c r="P42" s="149" t="s">
        <v>224</v>
      </c>
      <c r="Q42" s="150">
        <f>IF(DATA[[#This Row],[TYPE]]="Normal", 13 * DATA[[#This Row],[STORAGE DAYS]], 20 * DATA[[#This Row],[STORAGE DAYS]])</f>
        <v>2054</v>
      </c>
      <c r="R42" s="150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389</v>
      </c>
    </row>
    <row r="43" spans="1:20" s="26" customFormat="1" ht="21" x14ac:dyDescent="0.25">
      <c r="A43" s="142" t="s">
        <v>225</v>
      </c>
      <c r="B43" s="143" t="s">
        <v>226</v>
      </c>
      <c r="C43" s="143">
        <v>71</v>
      </c>
      <c r="D43" s="144" t="s">
        <v>5</v>
      </c>
      <c r="E43" s="144" t="s">
        <v>227</v>
      </c>
      <c r="F43" s="144" t="s">
        <v>955</v>
      </c>
      <c r="G43" s="144" t="s">
        <v>26</v>
      </c>
      <c r="H43" s="146">
        <v>0.75</v>
      </c>
      <c r="I43" s="144" t="s">
        <v>10</v>
      </c>
      <c r="J43" s="147">
        <v>45587</v>
      </c>
      <c r="K43" s="147">
        <v>45709</v>
      </c>
      <c r="L43" s="143">
        <f>IF(ISBLANK(DATA[[#This Row],[DISCHARGE DATE]]), "NO DATE", DATA[[#This Row],[DISCHARGE DATE]]-DATA[[#This Row],[ADMISSION DATE]]+1)</f>
        <v>123</v>
      </c>
      <c r="M43" s="148">
        <v>350</v>
      </c>
      <c r="N43" s="148">
        <v>1599</v>
      </c>
      <c r="O43" s="149" t="s">
        <v>210</v>
      </c>
      <c r="P43" s="149" t="s">
        <v>179</v>
      </c>
      <c r="Q43" s="150">
        <f>IF(DATA[[#This Row],[TYPE]]="Normal", 13 * DATA[[#This Row],[STORAGE DAYS]], 20 * DATA[[#This Row],[STORAGE DAYS]])</f>
        <v>1599</v>
      </c>
      <c r="R43" s="150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389</v>
      </c>
    </row>
    <row r="44" spans="1:20" s="26" customFormat="1" ht="21" x14ac:dyDescent="0.25">
      <c r="A44" s="142" t="s">
        <v>228</v>
      </c>
      <c r="B44" s="143" t="s">
        <v>229</v>
      </c>
      <c r="C44" s="143">
        <v>55</v>
      </c>
      <c r="D44" s="144" t="s">
        <v>5</v>
      </c>
      <c r="E44" s="144" t="s">
        <v>230</v>
      </c>
      <c r="F44" s="144" t="s">
        <v>1580</v>
      </c>
      <c r="G44" s="144" t="s">
        <v>26</v>
      </c>
      <c r="H44" s="146">
        <v>0.69444444444444442</v>
      </c>
      <c r="I44" s="144" t="s">
        <v>10</v>
      </c>
      <c r="J44" s="147">
        <v>45588</v>
      </c>
      <c r="K44" s="147">
        <v>45807</v>
      </c>
      <c r="L44" s="143">
        <f>IF(ISBLANK(DATA[[#This Row],[DISCHARGE DATE]]), "NO DATE", DATA[[#This Row],[DISCHARGE DATE]]-DATA[[#This Row],[ADMISSION DATE]]+1)</f>
        <v>220</v>
      </c>
      <c r="M44" s="148">
        <v>350</v>
      </c>
      <c r="N44" s="148">
        <v>2860</v>
      </c>
      <c r="O44" s="149" t="s">
        <v>206</v>
      </c>
      <c r="P44" s="149" t="s">
        <v>231</v>
      </c>
      <c r="Q44" s="150">
        <f>IF(DATA[[#This Row],[TYPE]]="Normal", 13 * DATA[[#This Row],[STORAGE DAYS]], 20 * DATA[[#This Row],[STORAGE DAYS]])</f>
        <v>2860</v>
      </c>
      <c r="R44" s="150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389</v>
      </c>
    </row>
    <row r="45" spans="1:20" s="26" customFormat="1" ht="21" x14ac:dyDescent="0.25">
      <c r="A45" s="142" t="s">
        <v>232</v>
      </c>
      <c r="B45" s="143" t="s">
        <v>233</v>
      </c>
      <c r="C45" s="143">
        <v>75</v>
      </c>
      <c r="D45" s="144" t="s">
        <v>5</v>
      </c>
      <c r="E45" s="144" t="s">
        <v>234</v>
      </c>
      <c r="F45" s="144" t="s">
        <v>1581</v>
      </c>
      <c r="G45" s="144" t="s">
        <v>27</v>
      </c>
      <c r="H45" s="146">
        <v>0.44097222222222221</v>
      </c>
      <c r="I45" s="144" t="s">
        <v>10</v>
      </c>
      <c r="J45" s="147">
        <v>45594</v>
      </c>
      <c r="K45" s="147">
        <v>45772</v>
      </c>
      <c r="L45" s="143">
        <f>IF(ISBLANK(DATA[[#This Row],[DISCHARGE DATE]]), "NO DATE", DATA[[#This Row],[DISCHARGE DATE]]-DATA[[#This Row],[ADMISSION DATE]]+1)</f>
        <v>179</v>
      </c>
      <c r="M45" s="148">
        <v>350</v>
      </c>
      <c r="N45" s="148">
        <v>2327</v>
      </c>
      <c r="O45" s="149" t="s">
        <v>235</v>
      </c>
      <c r="P45" s="149" t="s">
        <v>236</v>
      </c>
      <c r="Q45" s="150">
        <f>IF(DATA[[#This Row],[TYPE]]="Normal", 13 * DATA[[#This Row],[STORAGE DAYS]], 20 * DATA[[#This Row],[STORAGE DAYS]])</f>
        <v>2327</v>
      </c>
      <c r="R45" s="150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389</v>
      </c>
    </row>
    <row r="46" spans="1:20" s="26" customFormat="1" ht="21" x14ac:dyDescent="0.25">
      <c r="A46" s="142" t="s">
        <v>237</v>
      </c>
      <c r="B46" s="143" t="s">
        <v>238</v>
      </c>
      <c r="C46" s="143">
        <v>60</v>
      </c>
      <c r="D46" s="144" t="s">
        <v>4</v>
      </c>
      <c r="E46" s="144" t="s">
        <v>239</v>
      </c>
      <c r="F46" s="144" t="s">
        <v>1582</v>
      </c>
      <c r="G46" s="144" t="s">
        <v>17</v>
      </c>
      <c r="H46" s="146">
        <v>0.5</v>
      </c>
      <c r="I46" s="144" t="s">
        <v>12</v>
      </c>
      <c r="J46" s="147">
        <v>45597</v>
      </c>
      <c r="K46" s="147">
        <v>45779</v>
      </c>
      <c r="L46" s="143">
        <f>IF(ISBLANK(DATA[[#This Row],[DISCHARGE DATE]]), "NO DATE", DATA[[#This Row],[DISCHARGE DATE]]-DATA[[#This Row],[ADMISSION DATE]]+1)</f>
        <v>183</v>
      </c>
      <c r="M46" s="148">
        <v>350</v>
      </c>
      <c r="N46" s="148">
        <v>2860</v>
      </c>
      <c r="O46" s="149" t="s">
        <v>240</v>
      </c>
      <c r="P46" s="149" t="s">
        <v>241</v>
      </c>
      <c r="Q46" s="150">
        <f>IF(DATA[[#This Row],[TYPE]]="Normal", 13 * DATA[[#This Row],[STORAGE DAYS]], 20 * DATA[[#This Row],[STORAGE DAYS]])</f>
        <v>3660</v>
      </c>
      <c r="R46" s="150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389</v>
      </c>
    </row>
    <row r="47" spans="1:20" s="26" customFormat="1" ht="21" x14ac:dyDescent="0.25">
      <c r="A47" s="142" t="s">
        <v>242</v>
      </c>
      <c r="B47" s="143" t="s">
        <v>243</v>
      </c>
      <c r="C47" s="143">
        <v>85</v>
      </c>
      <c r="D47" s="144" t="s">
        <v>5</v>
      </c>
      <c r="E47" s="144" t="s">
        <v>244</v>
      </c>
      <c r="F47" s="144" t="s">
        <v>1583</v>
      </c>
      <c r="G47" s="144" t="s">
        <v>26</v>
      </c>
      <c r="H47" s="146">
        <v>0.20833333333333334</v>
      </c>
      <c r="I47" s="144" t="s">
        <v>12</v>
      </c>
      <c r="J47" s="147">
        <v>45602</v>
      </c>
      <c r="K47" s="147">
        <v>45772</v>
      </c>
      <c r="L47" s="143">
        <f>IF(ISBLANK(DATA[[#This Row],[DISCHARGE DATE]]), "NO DATE", DATA[[#This Row],[DISCHARGE DATE]]-DATA[[#This Row],[ADMISSION DATE]]+1)</f>
        <v>171</v>
      </c>
      <c r="M47" s="148">
        <v>350</v>
      </c>
      <c r="N47" s="148">
        <v>3420</v>
      </c>
      <c r="O47" s="149" t="s">
        <v>245</v>
      </c>
      <c r="P47" s="149" t="s">
        <v>246</v>
      </c>
      <c r="Q47" s="150">
        <f>IF(DATA[[#This Row],[TYPE]]="Normal", 13 * DATA[[#This Row],[STORAGE DAYS]], 20 * DATA[[#This Row],[STORAGE DAYS]])</f>
        <v>3420</v>
      </c>
      <c r="R47" s="150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389</v>
      </c>
    </row>
    <row r="48" spans="1:20" s="26" customFormat="1" ht="21" x14ac:dyDescent="0.25">
      <c r="A48" s="142" t="s">
        <v>247</v>
      </c>
      <c r="B48" s="143" t="s">
        <v>248</v>
      </c>
      <c r="C48" s="143">
        <v>56</v>
      </c>
      <c r="D48" s="144" t="s">
        <v>4</v>
      </c>
      <c r="E48" s="144" t="s">
        <v>249</v>
      </c>
      <c r="F48" s="144" t="s">
        <v>1584</v>
      </c>
      <c r="G48" s="144" t="s">
        <v>25</v>
      </c>
      <c r="H48" s="146">
        <v>0.22916666666666666</v>
      </c>
      <c r="I48" s="144" t="s">
        <v>10</v>
      </c>
      <c r="J48" s="147">
        <v>45604</v>
      </c>
      <c r="K48" s="147">
        <v>45688</v>
      </c>
      <c r="L48" s="143">
        <f>IF(ISBLANK(DATA[[#This Row],[DISCHARGE DATE]]), "NO DATE", DATA[[#This Row],[DISCHARGE DATE]]-DATA[[#This Row],[ADMISSION DATE]]+1)</f>
        <v>85</v>
      </c>
      <c r="M48" s="148">
        <v>350</v>
      </c>
      <c r="N48" s="148">
        <v>1105</v>
      </c>
      <c r="O48" s="149" t="s">
        <v>250</v>
      </c>
      <c r="P48" s="149" t="s">
        <v>162</v>
      </c>
      <c r="Q48" s="150">
        <f>IF(DATA[[#This Row],[TYPE]]="Normal", 13 * DATA[[#This Row],[STORAGE DAYS]], 20 * DATA[[#This Row],[STORAGE DAYS]])</f>
        <v>1105</v>
      </c>
      <c r="R48" s="150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389</v>
      </c>
    </row>
    <row r="49" spans="1:20" s="26" customFormat="1" ht="21" x14ac:dyDescent="0.25">
      <c r="A49" s="142" t="s">
        <v>251</v>
      </c>
      <c r="B49" s="143" t="s">
        <v>252</v>
      </c>
      <c r="C49" s="143">
        <v>79</v>
      </c>
      <c r="D49" s="144" t="s">
        <v>4</v>
      </c>
      <c r="E49" s="144" t="s">
        <v>253</v>
      </c>
      <c r="F49" s="144" t="s">
        <v>1585</v>
      </c>
      <c r="G49" s="144" t="s">
        <v>24</v>
      </c>
      <c r="H49" s="146">
        <v>0.54166666666666663</v>
      </c>
      <c r="I49" s="144" t="s">
        <v>10</v>
      </c>
      <c r="J49" s="147">
        <v>45604</v>
      </c>
      <c r="K49" s="147">
        <v>45723</v>
      </c>
      <c r="L49" s="143">
        <f>IF(ISBLANK(DATA[[#This Row],[DISCHARGE DATE]]), "NO DATE", DATA[[#This Row],[DISCHARGE DATE]]-DATA[[#This Row],[ADMISSION DATE]]+1)</f>
        <v>120</v>
      </c>
      <c r="M49" s="148">
        <v>350</v>
      </c>
      <c r="N49" s="148">
        <v>1469</v>
      </c>
      <c r="O49" s="149" t="s">
        <v>254</v>
      </c>
      <c r="P49" s="149" t="s">
        <v>174</v>
      </c>
      <c r="Q49" s="150">
        <f>IF(DATA[[#This Row],[TYPE]]="Normal", 13 * DATA[[#This Row],[STORAGE DAYS]], 20 * DATA[[#This Row],[STORAGE DAYS]])</f>
        <v>1560</v>
      </c>
      <c r="R49" s="150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389</v>
      </c>
    </row>
    <row r="50" spans="1:20" s="26" customFormat="1" ht="21" x14ac:dyDescent="0.25">
      <c r="A50" s="142" t="s">
        <v>255</v>
      </c>
      <c r="B50" s="143" t="s">
        <v>256</v>
      </c>
      <c r="C50" s="143">
        <v>73</v>
      </c>
      <c r="D50" s="144" t="s">
        <v>5</v>
      </c>
      <c r="E50" s="144" t="s">
        <v>257</v>
      </c>
      <c r="F50" s="144" t="s">
        <v>1586</v>
      </c>
      <c r="G50" s="144" t="s">
        <v>27</v>
      </c>
      <c r="H50" s="146">
        <v>0.5</v>
      </c>
      <c r="I50" s="144" t="s">
        <v>10</v>
      </c>
      <c r="J50" s="147">
        <v>45612</v>
      </c>
      <c r="K50" s="147">
        <v>45744</v>
      </c>
      <c r="L50" s="143">
        <f>IF(ISBLANK(DATA[[#This Row],[DISCHARGE DATE]]), "NO DATE", DATA[[#This Row],[DISCHARGE DATE]]-DATA[[#This Row],[ADMISSION DATE]]+1)</f>
        <v>133</v>
      </c>
      <c r="M50" s="148">
        <v>350</v>
      </c>
      <c r="N50" s="148">
        <v>1729</v>
      </c>
      <c r="O50" s="149" t="s">
        <v>258</v>
      </c>
      <c r="P50" s="149" t="s">
        <v>259</v>
      </c>
      <c r="Q50" s="150">
        <f>IF(DATA[[#This Row],[TYPE]]="Normal", 13 * DATA[[#This Row],[STORAGE DAYS]], 20 * DATA[[#This Row],[STORAGE DAYS]])</f>
        <v>1729</v>
      </c>
      <c r="R50" s="150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389</v>
      </c>
    </row>
    <row r="51" spans="1:20" s="26" customFormat="1" ht="21" x14ac:dyDescent="0.25">
      <c r="A51" s="142" t="s">
        <v>260</v>
      </c>
      <c r="B51" s="143" t="s">
        <v>261</v>
      </c>
      <c r="C51" s="143">
        <v>82</v>
      </c>
      <c r="D51" s="144" t="s">
        <v>5</v>
      </c>
      <c r="E51" s="144" t="s">
        <v>262</v>
      </c>
      <c r="F51" s="144" t="s">
        <v>1587</v>
      </c>
      <c r="G51" s="144" t="s">
        <v>25</v>
      </c>
      <c r="H51" s="146">
        <v>0.72916666666666663</v>
      </c>
      <c r="I51" s="144" t="s">
        <v>12</v>
      </c>
      <c r="J51" s="147">
        <v>45612</v>
      </c>
      <c r="K51" s="147">
        <v>45688</v>
      </c>
      <c r="L51" s="143">
        <f>IF(ISBLANK(DATA[[#This Row],[DISCHARGE DATE]]), "NO DATE", DATA[[#This Row],[DISCHARGE DATE]]-DATA[[#This Row],[ADMISSION DATE]]+1)</f>
        <v>77</v>
      </c>
      <c r="M51" s="148">
        <v>350</v>
      </c>
      <c r="N51" s="148">
        <v>1540</v>
      </c>
      <c r="O51" s="149" t="s">
        <v>263</v>
      </c>
      <c r="P51" s="149" t="s">
        <v>166</v>
      </c>
      <c r="Q51" s="150">
        <f>IF(DATA[[#This Row],[TYPE]]="Normal", 13 * DATA[[#This Row],[STORAGE DAYS]], 20 * DATA[[#This Row],[STORAGE DAYS]])</f>
        <v>1540</v>
      </c>
      <c r="R51" s="150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389</v>
      </c>
    </row>
    <row r="52" spans="1:20" s="26" customFormat="1" ht="21" x14ac:dyDescent="0.25">
      <c r="A52" s="142" t="s">
        <v>264</v>
      </c>
      <c r="B52" s="143" t="s">
        <v>265</v>
      </c>
      <c r="C52" s="143">
        <v>40</v>
      </c>
      <c r="D52" s="144" t="s">
        <v>4</v>
      </c>
      <c r="E52" s="144" t="s">
        <v>266</v>
      </c>
      <c r="F52" s="144" t="s">
        <v>1588</v>
      </c>
      <c r="G52" s="144" t="s">
        <v>22</v>
      </c>
      <c r="H52" s="146">
        <v>0.5</v>
      </c>
      <c r="I52" s="144" t="s">
        <v>10</v>
      </c>
      <c r="J52" s="147">
        <v>45614</v>
      </c>
      <c r="K52" s="147">
        <v>45709</v>
      </c>
      <c r="L52" s="143">
        <f>IF(ISBLANK(DATA[[#This Row],[DISCHARGE DATE]]), "NO DATE", DATA[[#This Row],[DISCHARGE DATE]]-DATA[[#This Row],[ADMISSION DATE]]+1)</f>
        <v>96</v>
      </c>
      <c r="M52" s="148">
        <v>350</v>
      </c>
      <c r="N52" s="148">
        <v>1920</v>
      </c>
      <c r="O52" s="149" t="s">
        <v>267</v>
      </c>
      <c r="P52" s="149" t="s">
        <v>193</v>
      </c>
      <c r="Q52" s="150">
        <f>IF(DATA[[#This Row],[TYPE]]="Normal", 13 * DATA[[#This Row],[STORAGE DAYS]], 20 * DATA[[#This Row],[STORAGE DAYS]])</f>
        <v>1248</v>
      </c>
      <c r="R52" s="150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389</v>
      </c>
    </row>
    <row r="53" spans="1:20" s="26" customFormat="1" ht="21" x14ac:dyDescent="0.25">
      <c r="A53" s="142" t="s">
        <v>268</v>
      </c>
      <c r="B53" s="143" t="s">
        <v>269</v>
      </c>
      <c r="C53" s="143">
        <v>70</v>
      </c>
      <c r="D53" s="144" t="s">
        <v>4</v>
      </c>
      <c r="E53" s="144" t="s">
        <v>270</v>
      </c>
      <c r="F53" s="144" t="s">
        <v>1589</v>
      </c>
      <c r="G53" s="144" t="s">
        <v>27</v>
      </c>
      <c r="H53" s="146">
        <v>0.25</v>
      </c>
      <c r="I53" s="144" t="s">
        <v>12</v>
      </c>
      <c r="J53" s="147">
        <v>45618</v>
      </c>
      <c r="K53" s="147">
        <v>45807</v>
      </c>
      <c r="L53" s="143">
        <f>IF(ISBLANK(DATA[[#This Row],[DISCHARGE DATE]]), "NO DATE", DATA[[#This Row],[DISCHARGE DATE]]-DATA[[#This Row],[ADMISSION DATE]]+1)</f>
        <v>190</v>
      </c>
      <c r="M53" s="148">
        <v>350</v>
      </c>
      <c r="N53" s="148">
        <v>3800</v>
      </c>
      <c r="O53" s="149" t="s">
        <v>271</v>
      </c>
      <c r="P53" s="149" t="s">
        <v>272</v>
      </c>
      <c r="Q53" s="150">
        <f>IF(DATA[[#This Row],[TYPE]]="Normal", 13 * DATA[[#This Row],[STORAGE DAYS]], 20 * DATA[[#This Row],[STORAGE DAYS]])</f>
        <v>3800</v>
      </c>
      <c r="R53" s="150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389</v>
      </c>
    </row>
    <row r="54" spans="1:20" s="26" customFormat="1" ht="21" x14ac:dyDescent="0.25">
      <c r="A54" s="142" t="s">
        <v>273</v>
      </c>
      <c r="B54" s="143" t="s">
        <v>274</v>
      </c>
      <c r="C54" s="143">
        <v>42</v>
      </c>
      <c r="D54" s="144" t="s">
        <v>4</v>
      </c>
      <c r="E54" s="144" t="s">
        <v>275</v>
      </c>
      <c r="F54" s="144" t="s">
        <v>1590</v>
      </c>
      <c r="G54" s="144" t="s">
        <v>27</v>
      </c>
      <c r="H54" s="146">
        <v>0.25</v>
      </c>
      <c r="I54" s="144" t="s">
        <v>10</v>
      </c>
      <c r="J54" s="147">
        <v>45621</v>
      </c>
      <c r="K54" s="147">
        <v>45709</v>
      </c>
      <c r="L54" s="143">
        <f>IF(ISBLANK(DATA[[#This Row],[DISCHARGE DATE]]), "NO DATE", DATA[[#This Row],[DISCHARGE DATE]]-DATA[[#This Row],[ADMISSION DATE]]+1)</f>
        <v>89</v>
      </c>
      <c r="M54" s="148">
        <v>350</v>
      </c>
      <c r="N54" s="148">
        <v>1157</v>
      </c>
      <c r="O54" s="149" t="s">
        <v>276</v>
      </c>
      <c r="P54" s="149" t="s">
        <v>202</v>
      </c>
      <c r="Q54" s="150">
        <f>IF(DATA[[#This Row],[TYPE]]="Normal", 13 * DATA[[#This Row],[STORAGE DAYS]], 20 * DATA[[#This Row],[STORAGE DAYS]])</f>
        <v>1157</v>
      </c>
      <c r="R54" s="150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389</v>
      </c>
    </row>
    <row r="55" spans="1:20" s="26" customFormat="1" ht="21" x14ac:dyDescent="0.25">
      <c r="A55" s="142" t="s">
        <v>277</v>
      </c>
      <c r="B55" s="143" t="s">
        <v>278</v>
      </c>
      <c r="C55" s="143">
        <v>56</v>
      </c>
      <c r="D55" s="144" t="s">
        <v>5</v>
      </c>
      <c r="E55" s="144" t="s">
        <v>279</v>
      </c>
      <c r="F55" s="144" t="s">
        <v>1589</v>
      </c>
      <c r="G55" s="144" t="s">
        <v>27</v>
      </c>
      <c r="H55" s="146">
        <v>0.77083333333333337</v>
      </c>
      <c r="I55" s="144" t="s">
        <v>12</v>
      </c>
      <c r="J55" s="147">
        <v>45619</v>
      </c>
      <c r="K55" s="147">
        <v>45744</v>
      </c>
      <c r="L55" s="143">
        <f>IF(ISBLANK(DATA[[#This Row],[DISCHARGE DATE]]), "NO DATE", DATA[[#This Row],[DISCHARGE DATE]]-DATA[[#This Row],[ADMISSION DATE]]+1)</f>
        <v>126</v>
      </c>
      <c r="M55" s="148">
        <v>350</v>
      </c>
      <c r="N55" s="148">
        <v>2520</v>
      </c>
      <c r="O55" s="149" t="s">
        <v>194</v>
      </c>
      <c r="P55" s="149" t="s">
        <v>280</v>
      </c>
      <c r="Q55" s="150">
        <f>IF(DATA[[#This Row],[TYPE]]="Normal", 13 * DATA[[#This Row],[STORAGE DAYS]], 20 * DATA[[#This Row],[STORAGE DAYS]])</f>
        <v>2520</v>
      </c>
      <c r="R55" s="150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389</v>
      </c>
    </row>
    <row r="56" spans="1:20" s="26" customFormat="1" ht="21" x14ac:dyDescent="0.25">
      <c r="A56" s="142" t="s">
        <v>281</v>
      </c>
      <c r="B56" s="143" t="s">
        <v>282</v>
      </c>
      <c r="C56" s="143">
        <v>87</v>
      </c>
      <c r="D56" s="144" t="s">
        <v>4</v>
      </c>
      <c r="E56" s="144" t="s">
        <v>283</v>
      </c>
      <c r="F56" s="144" t="s">
        <v>1591</v>
      </c>
      <c r="G56" s="144" t="s">
        <v>27</v>
      </c>
      <c r="H56" s="146">
        <v>0.52222222222222225</v>
      </c>
      <c r="I56" s="144" t="s">
        <v>10</v>
      </c>
      <c r="J56" s="147">
        <v>45624</v>
      </c>
      <c r="K56" s="147">
        <v>45744</v>
      </c>
      <c r="L56" s="143">
        <f>IF(ISBLANK(DATA[[#This Row],[DISCHARGE DATE]]), "NO DATE", DATA[[#This Row],[DISCHARGE DATE]]-DATA[[#This Row],[ADMISSION DATE]]+1)</f>
        <v>121</v>
      </c>
      <c r="M56" s="148">
        <v>350</v>
      </c>
      <c r="N56" s="148">
        <v>1573</v>
      </c>
      <c r="O56" s="149" t="s">
        <v>224</v>
      </c>
      <c r="P56" s="149" t="s">
        <v>254</v>
      </c>
      <c r="Q56" s="150">
        <f>IF(DATA[[#This Row],[TYPE]]="Normal", 13 * DATA[[#This Row],[STORAGE DAYS]], 20 * DATA[[#This Row],[STORAGE DAYS]])</f>
        <v>1573</v>
      </c>
      <c r="R56" s="150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389</v>
      </c>
    </row>
    <row r="57" spans="1:20" s="26" customFormat="1" ht="21" x14ac:dyDescent="0.25">
      <c r="A57" s="142" t="s">
        <v>284</v>
      </c>
      <c r="B57" s="143" t="s">
        <v>285</v>
      </c>
      <c r="C57" s="143">
        <v>80</v>
      </c>
      <c r="D57" s="144" t="s">
        <v>4</v>
      </c>
      <c r="E57" s="144" t="s">
        <v>286</v>
      </c>
      <c r="F57" s="144" t="s">
        <v>1592</v>
      </c>
      <c r="G57" s="144" t="s">
        <v>27</v>
      </c>
      <c r="H57" s="146">
        <v>0.52916666666666667</v>
      </c>
      <c r="I57" s="144" t="s">
        <v>12</v>
      </c>
      <c r="J57" s="147">
        <v>45625</v>
      </c>
      <c r="K57" s="147">
        <v>45723</v>
      </c>
      <c r="L57" s="143">
        <f>IF(ISBLANK(DATA[[#This Row],[DISCHARGE DATE]]), "NO DATE", DATA[[#This Row],[DISCHARGE DATE]]-DATA[[#This Row],[ADMISSION DATE]]+1)</f>
        <v>99</v>
      </c>
      <c r="M57" s="148">
        <v>350</v>
      </c>
      <c r="N57" s="148">
        <v>1980</v>
      </c>
      <c r="O57" s="149" t="s">
        <v>287</v>
      </c>
      <c r="P57" s="149" t="s">
        <v>218</v>
      </c>
      <c r="Q57" s="150">
        <f>IF(DATA[[#This Row],[TYPE]]="Normal", 13 * DATA[[#This Row],[STORAGE DAYS]], 20 * DATA[[#This Row],[STORAGE DAYS]])</f>
        <v>1980</v>
      </c>
      <c r="R57" s="150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389</v>
      </c>
    </row>
    <row r="58" spans="1:20" s="26" customFormat="1" ht="21" x14ac:dyDescent="0.25">
      <c r="A58" s="142" t="s">
        <v>288</v>
      </c>
      <c r="B58" s="143" t="s">
        <v>289</v>
      </c>
      <c r="C58" s="143">
        <v>62</v>
      </c>
      <c r="D58" s="144" t="s">
        <v>5</v>
      </c>
      <c r="E58" s="144" t="s">
        <v>290</v>
      </c>
      <c r="F58" s="144" t="s">
        <v>1593</v>
      </c>
      <c r="G58" s="144" t="s">
        <v>25</v>
      </c>
      <c r="H58" s="146">
        <v>0.83333333333333337</v>
      </c>
      <c r="I58" s="144" t="s">
        <v>10</v>
      </c>
      <c r="J58" s="147">
        <v>45627</v>
      </c>
      <c r="K58" s="147">
        <v>45723</v>
      </c>
      <c r="L58" s="143">
        <f>IF(ISBLANK(DATA[[#This Row],[DISCHARGE DATE]]), "NO DATE", DATA[[#This Row],[DISCHARGE DATE]]-DATA[[#This Row],[ADMISSION DATE]]+1)</f>
        <v>97</v>
      </c>
      <c r="M58" s="148">
        <v>350</v>
      </c>
      <c r="N58" s="148">
        <v>1261</v>
      </c>
      <c r="O58" s="149" t="s">
        <v>291</v>
      </c>
      <c r="P58" s="149" t="s">
        <v>205</v>
      </c>
      <c r="Q58" s="150">
        <f>IF(DATA[[#This Row],[TYPE]]="Normal", 13 * DATA[[#This Row],[STORAGE DAYS]], 20 * DATA[[#This Row],[STORAGE DAYS]])</f>
        <v>1261</v>
      </c>
      <c r="R58" s="150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389</v>
      </c>
    </row>
    <row r="59" spans="1:20" s="26" customFormat="1" ht="21" x14ac:dyDescent="0.25">
      <c r="A59" s="142" t="s">
        <v>292</v>
      </c>
      <c r="B59" s="143" t="s">
        <v>293</v>
      </c>
      <c r="C59" s="143">
        <v>64</v>
      </c>
      <c r="D59" s="144" t="s">
        <v>5</v>
      </c>
      <c r="E59" s="144" t="s">
        <v>294</v>
      </c>
      <c r="F59" s="144" t="s">
        <v>1594</v>
      </c>
      <c r="G59" s="144" t="s">
        <v>27</v>
      </c>
      <c r="H59" s="146">
        <v>0.61319444444444449</v>
      </c>
      <c r="I59" s="144" t="s">
        <v>10</v>
      </c>
      <c r="J59" s="147">
        <v>45628</v>
      </c>
      <c r="K59" s="147">
        <v>45744</v>
      </c>
      <c r="L59" s="143">
        <f>IF(ISBLANK(DATA[[#This Row],[DISCHARGE DATE]]), "NO DATE", DATA[[#This Row],[DISCHARGE DATE]]-DATA[[#This Row],[ADMISSION DATE]]+1)</f>
        <v>117</v>
      </c>
      <c r="M59" s="148">
        <v>350</v>
      </c>
      <c r="N59" s="148">
        <v>1521</v>
      </c>
      <c r="O59" s="149" t="s">
        <v>295</v>
      </c>
      <c r="P59" s="149" t="s">
        <v>296</v>
      </c>
      <c r="Q59" s="150">
        <f>IF(DATA[[#This Row],[TYPE]]="Normal", 13 * DATA[[#This Row],[STORAGE DAYS]], 20 * DATA[[#This Row],[STORAGE DAYS]])</f>
        <v>1521</v>
      </c>
      <c r="R59" s="150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389</v>
      </c>
    </row>
    <row r="60" spans="1:20" s="26" customFormat="1" ht="21" x14ac:dyDescent="0.25">
      <c r="A60" s="142" t="s">
        <v>297</v>
      </c>
      <c r="B60" s="143" t="s">
        <v>298</v>
      </c>
      <c r="C60" s="143">
        <v>43</v>
      </c>
      <c r="D60" s="144" t="s">
        <v>5</v>
      </c>
      <c r="E60" s="144" t="s">
        <v>299</v>
      </c>
      <c r="F60" s="144" t="s">
        <v>1595</v>
      </c>
      <c r="G60" s="144" t="s">
        <v>27</v>
      </c>
      <c r="H60" s="146">
        <v>0.79166666666666663</v>
      </c>
      <c r="I60" s="144" t="s">
        <v>10</v>
      </c>
      <c r="J60" s="147">
        <v>45626</v>
      </c>
      <c r="K60" s="147">
        <v>45641</v>
      </c>
      <c r="L60" s="143">
        <f>IF(ISBLANK(DATA[[#This Row],[DISCHARGE DATE]]), "NO DATE", DATA[[#This Row],[DISCHARGE DATE]]-DATA[[#This Row],[ADMISSION DATE]]+1)</f>
        <v>16</v>
      </c>
      <c r="M60" s="148">
        <v>350</v>
      </c>
      <c r="N60" s="148">
        <v>208</v>
      </c>
      <c r="O60" s="149" t="s">
        <v>98</v>
      </c>
      <c r="P60" s="149" t="s">
        <v>158</v>
      </c>
      <c r="Q60" s="150">
        <f>IF(DATA[[#This Row],[TYPE]]="Normal", 13 * DATA[[#This Row],[STORAGE DAYS]], 20 * DATA[[#This Row],[STORAGE DAYS]])</f>
        <v>208</v>
      </c>
      <c r="R60" s="150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389</v>
      </c>
    </row>
    <row r="61" spans="1:20" s="26" customFormat="1" ht="21" x14ac:dyDescent="0.25">
      <c r="A61" s="142" t="s">
        <v>300</v>
      </c>
      <c r="B61" s="143" t="s">
        <v>301</v>
      </c>
      <c r="C61" s="143">
        <v>60</v>
      </c>
      <c r="D61" s="144" t="s">
        <v>5</v>
      </c>
      <c r="E61" s="144" t="s">
        <v>302</v>
      </c>
      <c r="F61" s="144" t="s">
        <v>1596</v>
      </c>
      <c r="G61" s="144" t="s">
        <v>24</v>
      </c>
      <c r="H61" s="146">
        <v>0.29166666666666669</v>
      </c>
      <c r="I61" s="144" t="s">
        <v>12</v>
      </c>
      <c r="J61" s="147">
        <v>45639</v>
      </c>
      <c r="K61" s="147">
        <v>45737</v>
      </c>
      <c r="L61" s="143">
        <f>IF(ISBLANK(DATA[[#This Row],[DISCHARGE DATE]]), "NO DATE", DATA[[#This Row],[DISCHARGE DATE]]-DATA[[#This Row],[ADMISSION DATE]]+1)</f>
        <v>99</v>
      </c>
      <c r="M61" s="148">
        <v>350</v>
      </c>
      <c r="N61" s="148">
        <v>1980</v>
      </c>
      <c r="O61" s="149" t="s">
        <v>303</v>
      </c>
      <c r="P61" s="149" t="s">
        <v>267</v>
      </c>
      <c r="Q61" s="150">
        <f>IF(DATA[[#This Row],[TYPE]]="Normal", 13 * DATA[[#This Row],[STORAGE DAYS]], 20 * DATA[[#This Row],[STORAGE DAYS]])</f>
        <v>1980</v>
      </c>
      <c r="R61" s="150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389</v>
      </c>
    </row>
    <row r="62" spans="1:20" s="26" customFormat="1" ht="21" x14ac:dyDescent="0.25">
      <c r="A62" s="142" t="s">
        <v>304</v>
      </c>
      <c r="B62" s="143" t="s">
        <v>305</v>
      </c>
      <c r="C62" s="143">
        <v>65</v>
      </c>
      <c r="D62" s="144" t="s">
        <v>5</v>
      </c>
      <c r="E62" s="144" t="s">
        <v>306</v>
      </c>
      <c r="F62" s="144" t="s">
        <v>1597</v>
      </c>
      <c r="G62" s="144" t="s">
        <v>24</v>
      </c>
      <c r="H62" s="146">
        <v>0.8125</v>
      </c>
      <c r="I62" s="144" t="s">
        <v>10</v>
      </c>
      <c r="J62" s="147">
        <v>45641</v>
      </c>
      <c r="K62" s="147">
        <v>45737</v>
      </c>
      <c r="L62" s="143">
        <f>IF(ISBLANK(DATA[[#This Row],[DISCHARGE DATE]]), "NO DATE", DATA[[#This Row],[DISCHARGE DATE]]-DATA[[#This Row],[ADMISSION DATE]]+1)</f>
        <v>97</v>
      </c>
      <c r="M62" s="148">
        <v>350</v>
      </c>
      <c r="N62" s="148">
        <v>1261</v>
      </c>
      <c r="O62" s="149" t="s">
        <v>115</v>
      </c>
      <c r="P62" s="149" t="s">
        <v>258</v>
      </c>
      <c r="Q62" s="150">
        <f>IF(DATA[[#This Row],[TYPE]]="Normal", 13 * DATA[[#This Row],[STORAGE DAYS]], 20 * DATA[[#This Row],[STORAGE DAYS]])</f>
        <v>1261</v>
      </c>
      <c r="R62" s="150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389</v>
      </c>
    </row>
    <row r="63" spans="1:20" s="26" customFormat="1" ht="21" x14ac:dyDescent="0.25">
      <c r="A63" s="142" t="s">
        <v>307</v>
      </c>
      <c r="B63" s="143" t="s">
        <v>308</v>
      </c>
      <c r="C63" s="143">
        <v>64</v>
      </c>
      <c r="D63" s="144" t="s">
        <v>5</v>
      </c>
      <c r="E63" s="144" t="s">
        <v>113</v>
      </c>
      <c r="F63" s="144" t="s">
        <v>1598</v>
      </c>
      <c r="G63" s="144" t="s">
        <v>25</v>
      </c>
      <c r="H63" s="146">
        <v>0.3125</v>
      </c>
      <c r="I63" s="144" t="s">
        <v>10</v>
      </c>
      <c r="J63" s="147">
        <v>45643</v>
      </c>
      <c r="K63" s="147">
        <v>45744</v>
      </c>
      <c r="L63" s="143">
        <f>IF(ISBLANK(DATA[[#This Row],[DISCHARGE DATE]]), "NO DATE", DATA[[#This Row],[DISCHARGE DATE]]-DATA[[#This Row],[ADMISSION DATE]]+1)</f>
        <v>102</v>
      </c>
      <c r="M63" s="148">
        <v>350</v>
      </c>
      <c r="N63" s="148">
        <v>1326</v>
      </c>
      <c r="O63" s="149" t="s">
        <v>214</v>
      </c>
      <c r="P63" s="149" t="s">
        <v>303</v>
      </c>
      <c r="Q63" s="150">
        <f>IF(DATA[[#This Row],[TYPE]]="Normal", 13 * DATA[[#This Row],[STORAGE DAYS]], 20 * DATA[[#This Row],[STORAGE DAYS]])</f>
        <v>1326</v>
      </c>
      <c r="R63" s="150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389</v>
      </c>
    </row>
    <row r="64" spans="1:20" s="26" customFormat="1" ht="21" x14ac:dyDescent="0.25">
      <c r="A64" s="142" t="s">
        <v>309</v>
      </c>
      <c r="B64" s="143" t="s">
        <v>310</v>
      </c>
      <c r="C64" s="143">
        <v>52</v>
      </c>
      <c r="D64" s="144" t="s">
        <v>4</v>
      </c>
      <c r="E64" s="144" t="s">
        <v>311</v>
      </c>
      <c r="F64" s="144" t="s">
        <v>1599</v>
      </c>
      <c r="G64" s="144" t="s">
        <v>27</v>
      </c>
      <c r="H64" s="146">
        <v>0.39583333333333331</v>
      </c>
      <c r="I64" s="144" t="s">
        <v>10</v>
      </c>
      <c r="J64" s="147">
        <v>45644</v>
      </c>
      <c r="K64" s="147">
        <v>45772</v>
      </c>
      <c r="L64" s="143">
        <f>IF(ISBLANK(DATA[[#This Row],[DISCHARGE DATE]]), "NO DATE", DATA[[#This Row],[DISCHARGE DATE]]-DATA[[#This Row],[ADMISSION DATE]]+1)</f>
        <v>129</v>
      </c>
      <c r="M64" s="148">
        <v>350</v>
      </c>
      <c r="N64" s="148">
        <v>1677</v>
      </c>
      <c r="O64" s="149" t="s">
        <v>312</v>
      </c>
      <c r="P64" s="149" t="s">
        <v>313</v>
      </c>
      <c r="Q64" s="150">
        <f>IF(DATA[[#This Row],[TYPE]]="Normal", 13 * DATA[[#This Row],[STORAGE DAYS]], 20 * DATA[[#This Row],[STORAGE DAYS]])</f>
        <v>1677</v>
      </c>
      <c r="R64" s="150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389</v>
      </c>
    </row>
    <row r="65" spans="1:20" s="26" customFormat="1" ht="21" x14ac:dyDescent="0.25">
      <c r="A65" s="142" t="s">
        <v>314</v>
      </c>
      <c r="B65" s="143" t="s">
        <v>315</v>
      </c>
      <c r="C65" s="143">
        <v>41</v>
      </c>
      <c r="D65" s="144" t="s">
        <v>5</v>
      </c>
      <c r="E65" s="144" t="s">
        <v>316</v>
      </c>
      <c r="F65" s="144" t="s">
        <v>1600</v>
      </c>
      <c r="G65" s="144" t="s">
        <v>27</v>
      </c>
      <c r="H65" s="146">
        <v>0.5</v>
      </c>
      <c r="I65" s="144" t="s">
        <v>10</v>
      </c>
      <c r="J65" s="147">
        <v>45649</v>
      </c>
      <c r="K65" s="147">
        <v>45744</v>
      </c>
      <c r="L65" s="143">
        <f>IF(ISBLANK(DATA[[#This Row],[DISCHARGE DATE]]), "NO DATE", DATA[[#This Row],[DISCHARGE DATE]]-DATA[[#This Row],[ADMISSION DATE]]+1)</f>
        <v>96</v>
      </c>
      <c r="M65" s="148">
        <v>350</v>
      </c>
      <c r="N65" s="148">
        <v>1248</v>
      </c>
      <c r="O65" s="149" t="s">
        <v>259</v>
      </c>
      <c r="P65" s="149" t="s">
        <v>223</v>
      </c>
      <c r="Q65" s="150">
        <f>IF(DATA[[#This Row],[TYPE]]="Normal", 13 * DATA[[#This Row],[STORAGE DAYS]], 20 * DATA[[#This Row],[STORAGE DAYS]])</f>
        <v>1248</v>
      </c>
      <c r="R65" s="150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389</v>
      </c>
    </row>
    <row r="66" spans="1:20" s="26" customFormat="1" ht="21" x14ac:dyDescent="0.25">
      <c r="A66" s="142" t="s">
        <v>317</v>
      </c>
      <c r="B66" s="143" t="s">
        <v>318</v>
      </c>
      <c r="C66" s="143">
        <v>76</v>
      </c>
      <c r="D66" s="144" t="s">
        <v>4</v>
      </c>
      <c r="E66" s="144" t="s">
        <v>319</v>
      </c>
      <c r="F66" s="144" t="s">
        <v>1601</v>
      </c>
      <c r="G66" s="144" t="s">
        <v>26</v>
      </c>
      <c r="H66" s="146">
        <v>0.54861111111111116</v>
      </c>
      <c r="I66" s="144" t="s">
        <v>10</v>
      </c>
      <c r="J66" s="147">
        <v>45649</v>
      </c>
      <c r="K66" s="147">
        <v>45744</v>
      </c>
      <c r="L66" s="143">
        <f>IF(ISBLANK(DATA[[#This Row],[DISCHARGE DATE]]), "NO DATE", DATA[[#This Row],[DISCHARGE DATE]]-DATA[[#This Row],[ADMISSION DATE]]+1)</f>
        <v>96</v>
      </c>
      <c r="M66" s="148">
        <v>350</v>
      </c>
      <c r="N66" s="148">
        <v>1248</v>
      </c>
      <c r="O66" s="149" t="s">
        <v>184</v>
      </c>
      <c r="P66" s="149" t="s">
        <v>320</v>
      </c>
      <c r="Q66" s="150">
        <f>IF(DATA[[#This Row],[TYPE]]="Normal", 13 * DATA[[#This Row],[STORAGE DAYS]], 20 * DATA[[#This Row],[STORAGE DAYS]])</f>
        <v>1248</v>
      </c>
      <c r="R66" s="150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389</v>
      </c>
    </row>
    <row r="67" spans="1:20" s="26" customFormat="1" ht="21" x14ac:dyDescent="0.25">
      <c r="A67" s="142" t="s">
        <v>321</v>
      </c>
      <c r="B67" s="143" t="s">
        <v>322</v>
      </c>
      <c r="C67" s="143">
        <v>98</v>
      </c>
      <c r="D67" s="144" t="s">
        <v>4</v>
      </c>
      <c r="E67" s="144" t="s">
        <v>323</v>
      </c>
      <c r="F67" s="144" t="s">
        <v>1602</v>
      </c>
      <c r="G67" s="144" t="s">
        <v>27</v>
      </c>
      <c r="H67" s="146">
        <v>0.70833333333333337</v>
      </c>
      <c r="I67" s="144" t="s">
        <v>10</v>
      </c>
      <c r="J67" s="147">
        <v>45651</v>
      </c>
      <c r="K67" s="147">
        <v>45849</v>
      </c>
      <c r="L67" s="143">
        <f>IF(ISBLANK(DATA[[#This Row],[DISCHARGE DATE]]), "NO DATE", DATA[[#This Row],[DISCHARGE DATE]]-DATA[[#This Row],[ADMISSION DATE]]+1)</f>
        <v>199</v>
      </c>
      <c r="M67" s="148">
        <v>350</v>
      </c>
      <c r="N67" s="148">
        <v>2587</v>
      </c>
      <c r="O67" s="149" t="s">
        <v>320</v>
      </c>
      <c r="P67" s="149" t="s">
        <v>324</v>
      </c>
      <c r="Q67" s="150">
        <f>IF(DATA[[#This Row],[TYPE]]="Normal", 13 * DATA[[#This Row],[STORAGE DAYS]], 20 * DATA[[#This Row],[STORAGE DAYS]])</f>
        <v>2587</v>
      </c>
      <c r="R67" s="150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389</v>
      </c>
    </row>
    <row r="68" spans="1:20" s="26" customFormat="1" ht="21" x14ac:dyDescent="0.25">
      <c r="A68" s="142" t="s">
        <v>325</v>
      </c>
      <c r="B68" s="143" t="s">
        <v>326</v>
      </c>
      <c r="C68" s="143">
        <v>60</v>
      </c>
      <c r="D68" s="144" t="s">
        <v>4</v>
      </c>
      <c r="E68" s="144" t="s">
        <v>327</v>
      </c>
      <c r="F68" s="144" t="s">
        <v>1603</v>
      </c>
      <c r="G68" s="144" t="s">
        <v>27</v>
      </c>
      <c r="H68" s="146">
        <v>0.47916666666666669</v>
      </c>
      <c r="I68" s="144" t="s">
        <v>10</v>
      </c>
      <c r="J68" s="147">
        <v>45653</v>
      </c>
      <c r="K68" s="147">
        <v>45744</v>
      </c>
      <c r="L68" s="143">
        <f>IF(ISBLANK(DATA[[#This Row],[DISCHARGE DATE]]), "NO DATE", DATA[[#This Row],[DISCHARGE DATE]]-DATA[[#This Row],[ADMISSION DATE]]+1)</f>
        <v>92</v>
      </c>
      <c r="M68" s="148">
        <v>350</v>
      </c>
      <c r="N68" s="148">
        <v>1196</v>
      </c>
      <c r="O68" s="149" t="s">
        <v>328</v>
      </c>
      <c r="P68" s="149" t="s">
        <v>287</v>
      </c>
      <c r="Q68" s="150">
        <f>IF(DATA[[#This Row],[TYPE]]="Normal", 13 * DATA[[#This Row],[STORAGE DAYS]], 20 * DATA[[#This Row],[STORAGE DAYS]])</f>
        <v>1196</v>
      </c>
      <c r="R68" s="150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389</v>
      </c>
    </row>
    <row r="69" spans="1:20" s="26" customFormat="1" ht="21" x14ac:dyDescent="0.25">
      <c r="A69" s="142" t="s">
        <v>329</v>
      </c>
      <c r="B69" s="143" t="s">
        <v>330</v>
      </c>
      <c r="C69" s="143">
        <v>68</v>
      </c>
      <c r="D69" s="144" t="s">
        <v>4</v>
      </c>
      <c r="E69" s="144" t="s">
        <v>331</v>
      </c>
      <c r="F69" s="144" t="s">
        <v>1604</v>
      </c>
      <c r="G69" s="144" t="s">
        <v>27</v>
      </c>
      <c r="H69" s="146">
        <v>0.58333333333333337</v>
      </c>
      <c r="I69" s="144" t="s">
        <v>10</v>
      </c>
      <c r="J69" s="147">
        <v>45653</v>
      </c>
      <c r="K69" s="147">
        <v>45828</v>
      </c>
      <c r="L69" s="143">
        <f>IF(ISBLANK(DATA[[#This Row],[DISCHARGE DATE]]), "NO DATE", DATA[[#This Row],[DISCHARGE DATE]]-DATA[[#This Row],[ADMISSION DATE]]+1)</f>
        <v>176</v>
      </c>
      <c r="M69" s="148">
        <v>350</v>
      </c>
      <c r="N69" s="148">
        <v>2288</v>
      </c>
      <c r="O69" s="149" t="s">
        <v>280</v>
      </c>
      <c r="P69" s="149" t="s">
        <v>332</v>
      </c>
      <c r="Q69" s="150">
        <f>IF(DATA[[#This Row],[TYPE]]="Normal", 13 * DATA[[#This Row],[STORAGE DAYS]], 20 * DATA[[#This Row],[STORAGE DAYS]])</f>
        <v>2288</v>
      </c>
      <c r="R69" s="150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389</v>
      </c>
    </row>
    <row r="70" spans="1:20" s="26" customFormat="1" ht="21" x14ac:dyDescent="0.25">
      <c r="A70" s="142" t="s">
        <v>333</v>
      </c>
      <c r="B70" s="143" t="s">
        <v>1536</v>
      </c>
      <c r="C70" s="143">
        <v>78</v>
      </c>
      <c r="D70" s="144" t="s">
        <v>4</v>
      </c>
      <c r="E70" s="144" t="s">
        <v>253</v>
      </c>
      <c r="F70" s="144" t="s">
        <v>1605</v>
      </c>
      <c r="G70" s="144" t="s">
        <v>25</v>
      </c>
      <c r="H70" s="146">
        <v>0.5</v>
      </c>
      <c r="I70" s="144" t="s">
        <v>10</v>
      </c>
      <c r="J70" s="147">
        <v>45656</v>
      </c>
      <c r="K70" s="147">
        <v>45807</v>
      </c>
      <c r="L70" s="143">
        <f>IF(ISBLANK(DATA[[#This Row],[DISCHARGE DATE]]), "NO DATE", DATA[[#This Row],[DISCHARGE DATE]]-DATA[[#This Row],[ADMISSION DATE]]+1)</f>
        <v>152</v>
      </c>
      <c r="M70" s="148">
        <v>350</v>
      </c>
      <c r="N70" s="148">
        <v>1976</v>
      </c>
      <c r="O70" s="149" t="s">
        <v>296</v>
      </c>
      <c r="P70" s="149" t="s">
        <v>334</v>
      </c>
      <c r="Q70" s="150">
        <f>IF(DATA[[#This Row],[TYPE]]="Normal", 13 * DATA[[#This Row],[STORAGE DAYS]], 20 * DATA[[#This Row],[STORAGE DAYS]])</f>
        <v>1976</v>
      </c>
      <c r="R70" s="150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389</v>
      </c>
    </row>
    <row r="71" spans="1:20" s="26" customFormat="1" ht="21" x14ac:dyDescent="0.25">
      <c r="A71" s="142" t="s">
        <v>335</v>
      </c>
      <c r="B71" s="143" t="s">
        <v>336</v>
      </c>
      <c r="C71" s="143">
        <v>45</v>
      </c>
      <c r="D71" s="144" t="s">
        <v>4</v>
      </c>
      <c r="E71" s="144" t="s">
        <v>337</v>
      </c>
      <c r="F71" s="144" t="s">
        <v>1606</v>
      </c>
      <c r="G71" s="144" t="s">
        <v>22</v>
      </c>
      <c r="H71" s="146">
        <v>0.47916666666666669</v>
      </c>
      <c r="I71" s="144" t="s">
        <v>12</v>
      </c>
      <c r="J71" s="147">
        <v>45657</v>
      </c>
      <c r="K71" s="147">
        <v>45772</v>
      </c>
      <c r="L71" s="143">
        <f>IF(ISBLANK(DATA[[#This Row],[DISCHARGE DATE]]), "NO DATE", DATA[[#This Row],[DISCHARGE DATE]]-DATA[[#This Row],[ADMISSION DATE]]+1)</f>
        <v>116</v>
      </c>
      <c r="M71" s="148">
        <v>350</v>
      </c>
      <c r="N71" s="148">
        <v>2320</v>
      </c>
      <c r="O71" s="149" t="s">
        <v>338</v>
      </c>
      <c r="P71" s="149" t="s">
        <v>339</v>
      </c>
      <c r="Q71" s="150">
        <f>IF(DATA[[#This Row],[TYPE]]="Normal", 13 * DATA[[#This Row],[STORAGE DAYS]], 20 * DATA[[#This Row],[STORAGE DAYS]])</f>
        <v>2320</v>
      </c>
      <c r="R71" s="150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389</v>
      </c>
    </row>
    <row r="72" spans="1:20" s="26" customFormat="1" ht="21" x14ac:dyDescent="0.25">
      <c r="A72" s="142" t="s">
        <v>340</v>
      </c>
      <c r="B72" s="143" t="s">
        <v>341</v>
      </c>
      <c r="C72" s="143">
        <v>80</v>
      </c>
      <c r="D72" s="144" t="s">
        <v>4</v>
      </c>
      <c r="E72" s="144" t="s">
        <v>342</v>
      </c>
      <c r="F72" s="144" t="s">
        <v>1607</v>
      </c>
      <c r="G72" s="144" t="s">
        <v>25</v>
      </c>
      <c r="H72" s="146">
        <v>0.33333333333333331</v>
      </c>
      <c r="I72" s="144" t="s">
        <v>10</v>
      </c>
      <c r="J72" s="147">
        <v>45658</v>
      </c>
      <c r="K72" s="147">
        <v>45772</v>
      </c>
      <c r="L72" s="143">
        <f>IF(ISBLANK(DATA[[#This Row],[DISCHARGE DATE]]), "NO DATE", DATA[[#This Row],[DISCHARGE DATE]]-DATA[[#This Row],[ADMISSION DATE]]+1)</f>
        <v>115</v>
      </c>
      <c r="M72" s="148">
        <v>350</v>
      </c>
      <c r="N72" s="148">
        <v>1495</v>
      </c>
      <c r="O72" s="149" t="s">
        <v>343</v>
      </c>
      <c r="P72" s="149" t="s">
        <v>344</v>
      </c>
      <c r="Q72" s="150">
        <f>IF(DATA[[#This Row],[TYPE]]="Normal", 13 * DATA[[#This Row],[STORAGE DAYS]], 20 * DATA[[#This Row],[STORAGE DAYS]])</f>
        <v>1495</v>
      </c>
      <c r="R72" s="150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389</v>
      </c>
    </row>
    <row r="73" spans="1:20" s="26" customFormat="1" ht="21" x14ac:dyDescent="0.25">
      <c r="A73" s="142" t="s">
        <v>345</v>
      </c>
      <c r="B73" s="143" t="s">
        <v>346</v>
      </c>
      <c r="C73" s="143">
        <v>68</v>
      </c>
      <c r="D73" s="144" t="s">
        <v>5</v>
      </c>
      <c r="E73" s="144" t="s">
        <v>347</v>
      </c>
      <c r="F73" s="144" t="s">
        <v>1608</v>
      </c>
      <c r="G73" s="144" t="s">
        <v>26</v>
      </c>
      <c r="H73" s="146">
        <v>0.70833333333333337</v>
      </c>
      <c r="I73" s="144" t="s">
        <v>12</v>
      </c>
      <c r="J73" s="147">
        <v>45664</v>
      </c>
      <c r="K73" s="147">
        <v>45771</v>
      </c>
      <c r="L73" s="143">
        <f>IF(ISBLANK(DATA[[#This Row],[DISCHARGE DATE]]), "NO DATE", DATA[[#This Row],[DISCHARGE DATE]]-DATA[[#This Row],[ADMISSION DATE]]+1)</f>
        <v>108</v>
      </c>
      <c r="M73" s="148">
        <v>350</v>
      </c>
      <c r="N73" s="148">
        <v>2160</v>
      </c>
      <c r="O73" s="149" t="s">
        <v>348</v>
      </c>
      <c r="P73" s="149" t="s">
        <v>349</v>
      </c>
      <c r="Q73" s="150">
        <f>IF(DATA[[#This Row],[TYPE]]="Normal", 13 * DATA[[#This Row],[STORAGE DAYS]], 20 * DATA[[#This Row],[STORAGE DAYS]])</f>
        <v>2160</v>
      </c>
      <c r="R73" s="150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389</v>
      </c>
    </row>
    <row r="74" spans="1:20" s="26" customFormat="1" ht="21" x14ac:dyDescent="0.25">
      <c r="A74" s="142" t="s">
        <v>350</v>
      </c>
      <c r="B74" s="143" t="s">
        <v>351</v>
      </c>
      <c r="C74" s="143">
        <v>50</v>
      </c>
      <c r="D74" s="144" t="s">
        <v>5</v>
      </c>
      <c r="E74" s="144" t="s">
        <v>352</v>
      </c>
      <c r="F74" s="144" t="s">
        <v>1609</v>
      </c>
      <c r="G74" s="144" t="s">
        <v>27</v>
      </c>
      <c r="H74" s="146">
        <v>0.47916666666666669</v>
      </c>
      <c r="I74" s="144" t="s">
        <v>10</v>
      </c>
      <c r="J74" s="147">
        <v>45666</v>
      </c>
      <c r="K74" s="147">
        <v>45744</v>
      </c>
      <c r="L74" s="143">
        <f>IF(ISBLANK(DATA[[#This Row],[DISCHARGE DATE]]), "NO DATE", DATA[[#This Row],[DISCHARGE DATE]]-DATA[[#This Row],[ADMISSION DATE]]+1)</f>
        <v>79</v>
      </c>
      <c r="M74" s="148">
        <v>350</v>
      </c>
      <c r="N74" s="148">
        <v>1027</v>
      </c>
      <c r="O74" s="149" t="s">
        <v>353</v>
      </c>
      <c r="P74" s="149" t="s">
        <v>328</v>
      </c>
      <c r="Q74" s="150">
        <f>IF(DATA[[#This Row],[TYPE]]="Normal", 13 * DATA[[#This Row],[STORAGE DAYS]], 20 * DATA[[#This Row],[STORAGE DAYS]])</f>
        <v>1027</v>
      </c>
      <c r="R74" s="150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389</v>
      </c>
    </row>
    <row r="75" spans="1:20" s="26" customFormat="1" ht="21" x14ac:dyDescent="0.25">
      <c r="A75" s="142" t="s">
        <v>354</v>
      </c>
      <c r="B75" s="143" t="s">
        <v>355</v>
      </c>
      <c r="C75" s="143">
        <v>40</v>
      </c>
      <c r="D75" s="144" t="s">
        <v>5</v>
      </c>
      <c r="E75" s="144" t="s">
        <v>356</v>
      </c>
      <c r="F75" s="144" t="s">
        <v>1610</v>
      </c>
      <c r="G75" s="144" t="s">
        <v>27</v>
      </c>
      <c r="H75" s="146">
        <v>0.35416666666666669</v>
      </c>
      <c r="I75" s="144" t="s">
        <v>10</v>
      </c>
      <c r="J75" s="147">
        <v>45673</v>
      </c>
      <c r="K75" s="147">
        <v>45744</v>
      </c>
      <c r="L75" s="143">
        <f>IF(ISBLANK(DATA[[#This Row],[DISCHARGE DATE]]), "NO DATE", DATA[[#This Row],[DISCHARGE DATE]]-DATA[[#This Row],[ADMISSION DATE]]+1)</f>
        <v>72</v>
      </c>
      <c r="M75" s="148">
        <v>350</v>
      </c>
      <c r="N75" s="148">
        <v>923</v>
      </c>
      <c r="O75" s="149" t="s">
        <v>357</v>
      </c>
      <c r="P75" s="149" t="s">
        <v>245</v>
      </c>
      <c r="Q75" s="150">
        <f>IF(DATA[[#This Row],[TYPE]]="Normal", 13 * DATA[[#This Row],[STORAGE DAYS]], 20 * DATA[[#This Row],[STORAGE DAYS]])</f>
        <v>936</v>
      </c>
      <c r="R75" s="150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389</v>
      </c>
    </row>
    <row r="76" spans="1:20" s="26" customFormat="1" ht="21" x14ac:dyDescent="0.25">
      <c r="A76" s="142" t="s">
        <v>358</v>
      </c>
      <c r="B76" s="143" t="s">
        <v>359</v>
      </c>
      <c r="C76" s="143">
        <v>30</v>
      </c>
      <c r="D76" s="144" t="s">
        <v>5</v>
      </c>
      <c r="E76" s="144" t="s">
        <v>360</v>
      </c>
      <c r="F76" s="144" t="s">
        <v>1611</v>
      </c>
      <c r="G76" s="144" t="s">
        <v>22</v>
      </c>
      <c r="H76" s="146">
        <v>0.6875</v>
      </c>
      <c r="I76" s="144" t="s">
        <v>10</v>
      </c>
      <c r="J76" s="147">
        <v>45672</v>
      </c>
      <c r="K76" s="147">
        <v>45730</v>
      </c>
      <c r="L76" s="143">
        <f>IF(ISBLANK(DATA[[#This Row],[DISCHARGE DATE]]), "NO DATE", DATA[[#This Row],[DISCHARGE DATE]]-DATA[[#This Row],[ADMISSION DATE]]+1)</f>
        <v>59</v>
      </c>
      <c r="M76" s="148">
        <v>350</v>
      </c>
      <c r="N76" s="148">
        <v>767</v>
      </c>
      <c r="O76" s="149" t="s">
        <v>344</v>
      </c>
      <c r="P76" s="149" t="s">
        <v>240</v>
      </c>
      <c r="Q76" s="150">
        <f>IF(DATA[[#This Row],[TYPE]]="Normal", 13 * DATA[[#This Row],[STORAGE DAYS]], 20 * DATA[[#This Row],[STORAGE DAYS]])</f>
        <v>767</v>
      </c>
      <c r="R76" s="150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389</v>
      </c>
    </row>
    <row r="77" spans="1:20" s="26" customFormat="1" ht="21" x14ac:dyDescent="0.25">
      <c r="A77" s="142" t="s">
        <v>361</v>
      </c>
      <c r="B77" s="143" t="s">
        <v>362</v>
      </c>
      <c r="C77" s="143">
        <v>65</v>
      </c>
      <c r="D77" s="144" t="s">
        <v>4</v>
      </c>
      <c r="E77" s="144" t="s">
        <v>363</v>
      </c>
      <c r="F77" s="144" t="s">
        <v>1612</v>
      </c>
      <c r="G77" s="144" t="s">
        <v>27</v>
      </c>
      <c r="H77" s="146">
        <v>0.95833333333333337</v>
      </c>
      <c r="I77" s="144" t="s">
        <v>10</v>
      </c>
      <c r="J77" s="147">
        <v>45676</v>
      </c>
      <c r="K77" s="147">
        <v>45807</v>
      </c>
      <c r="L77" s="143">
        <f>IF(ISBLANK(DATA[[#This Row],[DISCHARGE DATE]]), "NO DATE", DATA[[#This Row],[DISCHARGE DATE]]-DATA[[#This Row],[ADMISSION DATE]]+1)</f>
        <v>132</v>
      </c>
      <c r="M77" s="148">
        <v>350</v>
      </c>
      <c r="N77" s="148">
        <v>1716</v>
      </c>
      <c r="O77" s="149" t="s">
        <v>364</v>
      </c>
      <c r="P77" s="149" t="s">
        <v>365</v>
      </c>
      <c r="Q77" s="150">
        <f>IF(DATA[[#This Row],[TYPE]]="Normal", 13 * DATA[[#This Row],[STORAGE DAYS]], 20 * DATA[[#This Row],[STORAGE DAYS]])</f>
        <v>1716</v>
      </c>
      <c r="R77" s="150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389</v>
      </c>
    </row>
    <row r="78" spans="1:20" s="26" customFormat="1" ht="21" x14ac:dyDescent="0.25">
      <c r="A78" s="142" t="s">
        <v>366</v>
      </c>
      <c r="B78" s="143" t="s">
        <v>367</v>
      </c>
      <c r="C78" s="143">
        <v>49</v>
      </c>
      <c r="D78" s="144" t="s">
        <v>4</v>
      </c>
      <c r="E78" s="144" t="s">
        <v>368</v>
      </c>
      <c r="F78" s="144" t="s">
        <v>1613</v>
      </c>
      <c r="G78" s="144" t="s">
        <v>27</v>
      </c>
      <c r="H78" s="146">
        <v>0.95833333333333337</v>
      </c>
      <c r="I78" s="144" t="s">
        <v>10</v>
      </c>
      <c r="J78" s="147">
        <v>45675</v>
      </c>
      <c r="K78" s="147">
        <v>45772</v>
      </c>
      <c r="L78" s="143">
        <f>IF(ISBLANK(DATA[[#This Row],[DISCHARGE DATE]]), "NO DATE", DATA[[#This Row],[DISCHARGE DATE]]-DATA[[#This Row],[ADMISSION DATE]]+1)</f>
        <v>98</v>
      </c>
      <c r="M78" s="148">
        <v>350</v>
      </c>
      <c r="N78" s="148">
        <v>1274</v>
      </c>
      <c r="O78" s="149" t="s">
        <v>313</v>
      </c>
      <c r="P78" s="149" t="s">
        <v>369</v>
      </c>
      <c r="Q78" s="150">
        <f>IF(DATA[[#This Row],[TYPE]]="Normal", 13 * DATA[[#This Row],[STORAGE DAYS]], 20 * DATA[[#This Row],[STORAGE DAYS]])</f>
        <v>1274</v>
      </c>
      <c r="R78" s="150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389</v>
      </c>
    </row>
    <row r="79" spans="1:20" s="26" customFormat="1" ht="21" x14ac:dyDescent="0.25">
      <c r="A79" s="142" t="s">
        <v>370</v>
      </c>
      <c r="B79" s="143" t="s">
        <v>371</v>
      </c>
      <c r="C79" s="143">
        <v>65</v>
      </c>
      <c r="D79" s="144" t="s">
        <v>4</v>
      </c>
      <c r="E79" s="144" t="s">
        <v>372</v>
      </c>
      <c r="F79" s="144" t="s">
        <v>1614</v>
      </c>
      <c r="G79" s="144" t="s">
        <v>27</v>
      </c>
      <c r="H79" s="146">
        <v>0.51041666666666663</v>
      </c>
      <c r="I79" s="144" t="s">
        <v>10</v>
      </c>
      <c r="J79" s="147">
        <v>45679</v>
      </c>
      <c r="K79" s="147">
        <v>45744</v>
      </c>
      <c r="L79" s="143">
        <f>IF(ISBLANK(DATA[[#This Row],[DISCHARGE DATE]]), "NO DATE", DATA[[#This Row],[DISCHARGE DATE]]-DATA[[#This Row],[ADMISSION DATE]]+1)</f>
        <v>66</v>
      </c>
      <c r="M79" s="148">
        <v>350</v>
      </c>
      <c r="N79" s="148">
        <v>858</v>
      </c>
      <c r="O79" s="149" t="s">
        <v>246</v>
      </c>
      <c r="P79" s="149" t="s">
        <v>295</v>
      </c>
      <c r="Q79" s="150">
        <f>IF(DATA[[#This Row],[TYPE]]="Normal", 13 * DATA[[#This Row],[STORAGE DAYS]], 20 * DATA[[#This Row],[STORAGE DAYS]])</f>
        <v>858</v>
      </c>
      <c r="R79" s="150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389</v>
      </c>
    </row>
    <row r="80" spans="1:20" s="26" customFormat="1" ht="21" x14ac:dyDescent="0.25">
      <c r="A80" s="142" t="s">
        <v>373</v>
      </c>
      <c r="B80" s="143" t="s">
        <v>374</v>
      </c>
      <c r="C80" s="143">
        <v>55</v>
      </c>
      <c r="D80" s="144" t="s">
        <v>5</v>
      </c>
      <c r="E80" s="144" t="s">
        <v>375</v>
      </c>
      <c r="F80" s="144" t="s">
        <v>1615</v>
      </c>
      <c r="G80" s="144" t="s">
        <v>27</v>
      </c>
      <c r="H80" s="146">
        <v>0.71875</v>
      </c>
      <c r="I80" s="144" t="s">
        <v>10</v>
      </c>
      <c r="J80" s="147">
        <v>45683</v>
      </c>
      <c r="K80" s="147">
        <v>45709</v>
      </c>
      <c r="L80" s="143">
        <f>IF(ISBLANK(DATA[[#This Row],[DISCHARGE DATE]]), "NO DATE", DATA[[#This Row],[DISCHARGE DATE]]-DATA[[#This Row],[ADMISSION DATE]]+1)</f>
        <v>27</v>
      </c>
      <c r="M80" s="148">
        <v>350</v>
      </c>
      <c r="N80" s="148">
        <v>351</v>
      </c>
      <c r="O80" s="149" t="s">
        <v>369</v>
      </c>
      <c r="P80" s="149" t="s">
        <v>183</v>
      </c>
      <c r="Q80" s="150">
        <f>IF(DATA[[#This Row],[TYPE]]="Normal", 13 * DATA[[#This Row],[STORAGE DAYS]], 20 * DATA[[#This Row],[STORAGE DAYS]])</f>
        <v>351</v>
      </c>
      <c r="R80" s="150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389</v>
      </c>
    </row>
    <row r="81" spans="1:20" s="26" customFormat="1" ht="21" x14ac:dyDescent="0.25">
      <c r="A81" s="142" t="s">
        <v>376</v>
      </c>
      <c r="B81" s="143" t="s">
        <v>377</v>
      </c>
      <c r="C81" s="143">
        <v>32</v>
      </c>
      <c r="D81" s="144" t="s">
        <v>5</v>
      </c>
      <c r="E81" s="144" t="s">
        <v>378</v>
      </c>
      <c r="F81" s="144" t="s">
        <v>1616</v>
      </c>
      <c r="G81" s="144" t="s">
        <v>26</v>
      </c>
      <c r="H81" s="146">
        <v>0.36805555555555558</v>
      </c>
      <c r="I81" s="144" t="s">
        <v>10</v>
      </c>
      <c r="J81" s="147">
        <v>45684</v>
      </c>
      <c r="K81" s="147">
        <v>45989</v>
      </c>
      <c r="L81" s="143">
        <f>IF(ISBLANK(DATA[[#This Row],[DISCHARGE DATE]]), "NO DATE", DATA[[#This Row],[DISCHARGE DATE]]-DATA[[#This Row],[ADMISSION DATE]]+1)</f>
        <v>306</v>
      </c>
      <c r="M81" s="148">
        <v>350</v>
      </c>
      <c r="N81" s="148">
        <v>3978</v>
      </c>
      <c r="O81" s="149" t="s">
        <v>379</v>
      </c>
      <c r="P81" s="149" t="s">
        <v>463</v>
      </c>
      <c r="Q81" s="150">
        <f>IF(DATA[[#This Row],[TYPE]]="Normal", 13 * DATA[[#This Row],[STORAGE DAYS]], 20 * DATA[[#This Row],[STORAGE DAYS]])</f>
        <v>3978</v>
      </c>
      <c r="R81" s="150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389</v>
      </c>
    </row>
    <row r="82" spans="1:20" s="26" customFormat="1" ht="21" x14ac:dyDescent="0.25">
      <c r="A82" s="142" t="s">
        <v>380</v>
      </c>
      <c r="B82" s="143" t="s">
        <v>381</v>
      </c>
      <c r="C82" s="143">
        <v>30</v>
      </c>
      <c r="D82" s="144" t="s">
        <v>4</v>
      </c>
      <c r="E82" s="144" t="s">
        <v>382</v>
      </c>
      <c r="F82" s="144" t="s">
        <v>1617</v>
      </c>
      <c r="G82" s="144" t="s">
        <v>20</v>
      </c>
      <c r="H82" s="146">
        <v>0.21875</v>
      </c>
      <c r="I82" s="144" t="s">
        <v>10</v>
      </c>
      <c r="J82" s="147">
        <v>45684</v>
      </c>
      <c r="K82" s="147">
        <v>45849</v>
      </c>
      <c r="L82" s="143">
        <f>IF(ISBLANK(DATA[[#This Row],[DISCHARGE DATE]]), "NO DATE", DATA[[#This Row],[DISCHARGE DATE]]-DATA[[#This Row],[ADMISSION DATE]]+1)</f>
        <v>166</v>
      </c>
      <c r="M82" s="148">
        <v>350</v>
      </c>
      <c r="N82" s="148">
        <v>2158</v>
      </c>
      <c r="O82" s="149" t="s">
        <v>236</v>
      </c>
      <c r="P82" s="149" t="s">
        <v>383</v>
      </c>
      <c r="Q82" s="150">
        <f>IF(DATA[[#This Row],[TYPE]]="Normal", 13 * DATA[[#This Row],[STORAGE DAYS]], 20 * DATA[[#This Row],[STORAGE DAYS]])</f>
        <v>2158</v>
      </c>
      <c r="R82" s="150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389</v>
      </c>
    </row>
    <row r="83" spans="1:20" s="26" customFormat="1" ht="21" x14ac:dyDescent="0.25">
      <c r="A83" s="142" t="s">
        <v>384</v>
      </c>
      <c r="B83" s="143" t="s">
        <v>385</v>
      </c>
      <c r="C83" s="143">
        <v>77</v>
      </c>
      <c r="D83" s="144" t="s">
        <v>5</v>
      </c>
      <c r="E83" s="144" t="s">
        <v>386</v>
      </c>
      <c r="F83" s="144" t="s">
        <v>1618</v>
      </c>
      <c r="G83" s="144" t="s">
        <v>1366</v>
      </c>
      <c r="H83" s="146">
        <v>0.45833333333333331</v>
      </c>
      <c r="I83" s="144" t="s">
        <v>10</v>
      </c>
      <c r="J83" s="147">
        <v>45688</v>
      </c>
      <c r="K83" s="147">
        <v>45814</v>
      </c>
      <c r="L83" s="143">
        <f>IF(ISBLANK(DATA[[#This Row],[DISCHARGE DATE]]), "NO DATE", DATA[[#This Row],[DISCHARGE DATE]]-DATA[[#This Row],[ADMISSION DATE]]+1)</f>
        <v>127</v>
      </c>
      <c r="M83" s="148">
        <v>350</v>
      </c>
      <c r="N83" s="148">
        <v>1651</v>
      </c>
      <c r="O83" s="149" t="s">
        <v>387</v>
      </c>
      <c r="P83" s="149" t="s">
        <v>388</v>
      </c>
      <c r="Q83" s="150">
        <f>IF(DATA[[#This Row],[TYPE]]="Normal", 13 * DATA[[#This Row],[STORAGE DAYS]], 20 * DATA[[#This Row],[STORAGE DAYS]])</f>
        <v>1651</v>
      </c>
      <c r="R83" s="150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389</v>
      </c>
    </row>
    <row r="84" spans="1:20" s="26" customFormat="1" ht="21" x14ac:dyDescent="0.25">
      <c r="A84" s="142" t="s">
        <v>389</v>
      </c>
      <c r="B84" s="143" t="s">
        <v>367</v>
      </c>
      <c r="C84" s="143">
        <v>52</v>
      </c>
      <c r="D84" s="144" t="s">
        <v>4</v>
      </c>
      <c r="E84" s="144" t="s">
        <v>390</v>
      </c>
      <c r="F84" s="144" t="s">
        <v>1619</v>
      </c>
      <c r="G84" s="144" t="s">
        <v>27</v>
      </c>
      <c r="H84" s="146">
        <v>0.625</v>
      </c>
      <c r="I84" s="144" t="s">
        <v>10</v>
      </c>
      <c r="J84" s="147">
        <v>45687</v>
      </c>
      <c r="K84" s="147">
        <v>45744</v>
      </c>
      <c r="L84" s="143">
        <f>IF(ISBLANK(DATA[[#This Row],[DISCHARGE DATE]]), "NO DATE", DATA[[#This Row],[DISCHARGE DATE]]-DATA[[#This Row],[ADMISSION DATE]]+1)</f>
        <v>58</v>
      </c>
      <c r="M84" s="148">
        <v>350</v>
      </c>
      <c r="N84" s="148">
        <v>754</v>
      </c>
      <c r="O84" s="149" t="s">
        <v>349</v>
      </c>
      <c r="P84" s="149" t="s">
        <v>312</v>
      </c>
      <c r="Q84" s="150">
        <f>IF(DATA[[#This Row],[TYPE]]="Normal", 13 * DATA[[#This Row],[STORAGE DAYS]], 20 * DATA[[#This Row],[STORAGE DAYS]])</f>
        <v>754</v>
      </c>
      <c r="R84" s="150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389</v>
      </c>
    </row>
    <row r="85" spans="1:20" s="26" customFormat="1" ht="21" x14ac:dyDescent="0.25">
      <c r="A85" s="142" t="s">
        <v>391</v>
      </c>
      <c r="B85" s="143" t="s">
        <v>392</v>
      </c>
      <c r="C85" s="143">
        <v>46</v>
      </c>
      <c r="D85" s="144" t="s">
        <v>5</v>
      </c>
      <c r="E85" s="144" t="s">
        <v>393</v>
      </c>
      <c r="F85" s="144" t="s">
        <v>1620</v>
      </c>
      <c r="G85" s="144" t="s">
        <v>26</v>
      </c>
      <c r="H85" s="146">
        <v>0.66666666666666663</v>
      </c>
      <c r="I85" s="144" t="s">
        <v>10</v>
      </c>
      <c r="J85" s="147">
        <v>45690</v>
      </c>
      <c r="K85" s="147">
        <v>45709</v>
      </c>
      <c r="L85" s="143">
        <f>IF(ISBLANK(DATA[[#This Row],[DISCHARGE DATE]]), "NO DATE", DATA[[#This Row],[DISCHARGE DATE]]-DATA[[#This Row],[ADMISSION DATE]]+1)</f>
        <v>20</v>
      </c>
      <c r="M85" s="148">
        <v>350</v>
      </c>
      <c r="N85" s="148">
        <v>260</v>
      </c>
      <c r="O85" s="149" t="s">
        <v>189</v>
      </c>
      <c r="P85" s="149" t="s">
        <v>198</v>
      </c>
      <c r="Q85" s="150">
        <f>IF(DATA[[#This Row],[TYPE]]="Normal", 13 * DATA[[#This Row],[STORAGE DAYS]], 20 * DATA[[#This Row],[STORAGE DAYS]])</f>
        <v>260</v>
      </c>
      <c r="R85" s="150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389</v>
      </c>
    </row>
    <row r="86" spans="1:20" s="26" customFormat="1" ht="21" x14ac:dyDescent="0.25">
      <c r="A86" s="142" t="s">
        <v>394</v>
      </c>
      <c r="B86" s="143" t="s">
        <v>395</v>
      </c>
      <c r="C86" s="143">
        <v>90</v>
      </c>
      <c r="D86" s="144" t="s">
        <v>4</v>
      </c>
      <c r="E86" s="144" t="s">
        <v>396</v>
      </c>
      <c r="F86" s="144" t="s">
        <v>1621</v>
      </c>
      <c r="G86" s="144" t="s">
        <v>26</v>
      </c>
      <c r="H86" s="146">
        <v>0.16666666666666666</v>
      </c>
      <c r="I86" s="144" t="s">
        <v>12</v>
      </c>
      <c r="J86" s="147">
        <v>45692</v>
      </c>
      <c r="K86" s="147">
        <v>45806</v>
      </c>
      <c r="L86" s="143">
        <f>IF(ISBLANK(DATA[[#This Row],[DISCHARGE DATE]]), "NO DATE", DATA[[#This Row],[DISCHARGE DATE]]-DATA[[#This Row],[ADMISSION DATE]]+1)</f>
        <v>115</v>
      </c>
      <c r="M86" s="148">
        <v>350</v>
      </c>
      <c r="N86" s="148">
        <v>2300</v>
      </c>
      <c r="O86" s="149" t="s">
        <v>339</v>
      </c>
      <c r="P86" s="149" t="s">
        <v>250</v>
      </c>
      <c r="Q86" s="150">
        <f>IF(DATA[[#This Row],[TYPE]]="Normal", 13 * DATA[[#This Row],[STORAGE DAYS]], 20 * DATA[[#This Row],[STORAGE DAYS]])</f>
        <v>2300</v>
      </c>
      <c r="R86" s="150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389</v>
      </c>
    </row>
    <row r="87" spans="1:20" s="26" customFormat="1" ht="21" x14ac:dyDescent="0.25">
      <c r="A87" s="142" t="s">
        <v>397</v>
      </c>
      <c r="B87" s="143" t="s">
        <v>398</v>
      </c>
      <c r="C87" s="143">
        <v>20</v>
      </c>
      <c r="D87" s="144" t="s">
        <v>4</v>
      </c>
      <c r="E87" s="144" t="s">
        <v>399</v>
      </c>
      <c r="F87" s="144" t="s">
        <v>1622</v>
      </c>
      <c r="G87" s="144" t="s">
        <v>27</v>
      </c>
      <c r="H87" s="146">
        <v>0.29166666666666669</v>
      </c>
      <c r="I87" s="144" t="s">
        <v>10</v>
      </c>
      <c r="J87" s="147">
        <v>45692</v>
      </c>
      <c r="K87" s="147">
        <v>45849</v>
      </c>
      <c r="L87" s="143">
        <f>IF(ISBLANK(DATA[[#This Row],[DISCHARGE DATE]]), "NO DATE", DATA[[#This Row],[DISCHARGE DATE]]-DATA[[#This Row],[ADMISSION DATE]]+1)</f>
        <v>158</v>
      </c>
      <c r="M87" s="148">
        <v>350</v>
      </c>
      <c r="N87" s="148">
        <v>1885</v>
      </c>
      <c r="O87" s="149" t="s">
        <v>102</v>
      </c>
      <c r="P87" s="149" t="s">
        <v>400</v>
      </c>
      <c r="Q87" s="150">
        <f>IF(DATA[[#This Row],[TYPE]]="Normal", 13 * DATA[[#This Row],[STORAGE DAYS]], 20 * DATA[[#This Row],[STORAGE DAYS]])</f>
        <v>2054</v>
      </c>
      <c r="R87" s="150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389</v>
      </c>
    </row>
    <row r="88" spans="1:20" s="26" customFormat="1" ht="21" x14ac:dyDescent="0.25">
      <c r="A88" s="142" t="s">
        <v>401</v>
      </c>
      <c r="B88" s="143" t="s">
        <v>402</v>
      </c>
      <c r="C88" s="143">
        <v>54</v>
      </c>
      <c r="D88" s="144" t="s">
        <v>5</v>
      </c>
      <c r="E88" s="144" t="s">
        <v>403</v>
      </c>
      <c r="F88" s="144" t="s">
        <v>1623</v>
      </c>
      <c r="G88" s="144" t="s">
        <v>22</v>
      </c>
      <c r="H88" s="146">
        <v>0.6875</v>
      </c>
      <c r="I88" s="144" t="s">
        <v>10</v>
      </c>
      <c r="J88" s="147">
        <v>45692</v>
      </c>
      <c r="K88" s="147">
        <v>45856</v>
      </c>
      <c r="L88" s="143">
        <f>IF(ISBLANK(DATA[[#This Row],[DISCHARGE DATE]]), "NO DATE", DATA[[#This Row],[DISCHARGE DATE]]-DATA[[#This Row],[ADMISSION DATE]]+1)</f>
        <v>165</v>
      </c>
      <c r="M88" s="148">
        <v>350</v>
      </c>
      <c r="N88" s="148">
        <v>2145</v>
      </c>
      <c r="O88" s="149" t="s">
        <v>130</v>
      </c>
      <c r="P88" s="149" t="s">
        <v>404</v>
      </c>
      <c r="Q88" s="150">
        <f>IF(DATA[[#This Row],[TYPE]]="Normal", 13 * DATA[[#This Row],[STORAGE DAYS]], 20 * DATA[[#This Row],[STORAGE DAYS]])</f>
        <v>2145</v>
      </c>
      <c r="R88" s="150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389</v>
      </c>
    </row>
    <row r="89" spans="1:20" s="26" customFormat="1" ht="21" x14ac:dyDescent="0.25">
      <c r="A89" s="142" t="s">
        <v>405</v>
      </c>
      <c r="B89" s="143" t="s">
        <v>406</v>
      </c>
      <c r="C89" s="143">
        <v>66</v>
      </c>
      <c r="D89" s="144" t="s">
        <v>5</v>
      </c>
      <c r="E89" s="144" t="s">
        <v>396</v>
      </c>
      <c r="F89" s="144" t="s">
        <v>1624</v>
      </c>
      <c r="G89" s="144" t="s">
        <v>27</v>
      </c>
      <c r="H89" s="146">
        <v>0.8125</v>
      </c>
      <c r="I89" s="144" t="s">
        <v>10</v>
      </c>
      <c r="J89" s="147">
        <v>45692</v>
      </c>
      <c r="K89" s="147">
        <v>45744</v>
      </c>
      <c r="L89" s="143">
        <f>IF(ISBLANK(DATA[[#This Row],[DISCHARGE DATE]]), "NO DATE", DATA[[#This Row],[DISCHARGE DATE]]-DATA[[#This Row],[ADMISSION DATE]]+1)</f>
        <v>53</v>
      </c>
      <c r="M89" s="148">
        <v>350</v>
      </c>
      <c r="N89" s="148">
        <v>689</v>
      </c>
      <c r="O89" s="149" t="s">
        <v>407</v>
      </c>
      <c r="P89" s="149" t="s">
        <v>276</v>
      </c>
      <c r="Q89" s="150">
        <f>IF(DATA[[#This Row],[TYPE]]="Normal", 13 * DATA[[#This Row],[STORAGE DAYS]], 20 * DATA[[#This Row],[STORAGE DAYS]])</f>
        <v>689</v>
      </c>
      <c r="R89" s="150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389</v>
      </c>
    </row>
    <row r="90" spans="1:20" s="26" customFormat="1" ht="21" x14ac:dyDescent="0.25">
      <c r="A90" s="142" t="s">
        <v>408</v>
      </c>
      <c r="B90" s="143" t="s">
        <v>409</v>
      </c>
      <c r="C90" s="143">
        <v>49</v>
      </c>
      <c r="D90" s="144" t="s">
        <v>5</v>
      </c>
      <c r="E90" s="144" t="s">
        <v>410</v>
      </c>
      <c r="F90" s="144" t="s">
        <v>1625</v>
      </c>
      <c r="G90" s="144" t="s">
        <v>27</v>
      </c>
      <c r="H90" s="146">
        <v>0.52083333333333337</v>
      </c>
      <c r="I90" s="144" t="s">
        <v>10</v>
      </c>
      <c r="J90" s="147">
        <v>45694</v>
      </c>
      <c r="K90" s="147">
        <v>45700</v>
      </c>
      <c r="L90" s="143">
        <f>IF(ISBLANK(DATA[[#This Row],[DISCHARGE DATE]]), "NO DATE", DATA[[#This Row],[DISCHARGE DATE]]-DATA[[#This Row],[ADMISSION DATE]]+1)</f>
        <v>7</v>
      </c>
      <c r="M90" s="148">
        <v>350</v>
      </c>
      <c r="N90" s="148">
        <v>91</v>
      </c>
      <c r="O90" s="149" t="s">
        <v>400</v>
      </c>
      <c r="P90" s="149" t="s">
        <v>170</v>
      </c>
      <c r="Q90" s="150">
        <f>IF(DATA[[#This Row],[TYPE]]="Normal", 13 * DATA[[#This Row],[STORAGE DAYS]], 20 * DATA[[#This Row],[STORAGE DAYS]])</f>
        <v>91</v>
      </c>
      <c r="R90" s="150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389</v>
      </c>
    </row>
    <row r="91" spans="1:20" s="26" customFormat="1" ht="21" x14ac:dyDescent="0.25">
      <c r="A91" s="142" t="s">
        <v>411</v>
      </c>
      <c r="B91" s="143" t="s">
        <v>412</v>
      </c>
      <c r="C91" s="143">
        <v>66</v>
      </c>
      <c r="D91" s="144" t="s">
        <v>4</v>
      </c>
      <c r="E91" s="144" t="s">
        <v>413</v>
      </c>
      <c r="F91" s="144" t="s">
        <v>1626</v>
      </c>
      <c r="G91" s="144" t="s">
        <v>27</v>
      </c>
      <c r="H91" s="146">
        <v>0.6875</v>
      </c>
      <c r="I91" s="144" t="s">
        <v>10</v>
      </c>
      <c r="J91" s="147">
        <v>45697</v>
      </c>
      <c r="K91" s="147">
        <v>45744</v>
      </c>
      <c r="L91" s="143">
        <f>IF(ISBLANK(DATA[[#This Row],[DISCHARGE DATE]]), "NO DATE", DATA[[#This Row],[DISCHARGE DATE]]-DATA[[#This Row],[ADMISSION DATE]]+1)</f>
        <v>48</v>
      </c>
      <c r="M91" s="148">
        <v>350</v>
      </c>
      <c r="N91" s="148">
        <v>624</v>
      </c>
      <c r="O91" s="149" t="s">
        <v>231</v>
      </c>
      <c r="P91" s="149" t="s">
        <v>291</v>
      </c>
      <c r="Q91" s="150">
        <f>IF(DATA[[#This Row],[TYPE]]="Normal", 13 * DATA[[#This Row],[STORAGE DAYS]], 20 * DATA[[#This Row],[STORAGE DAYS]])</f>
        <v>624</v>
      </c>
      <c r="R91" s="150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389</v>
      </c>
    </row>
    <row r="92" spans="1:20" s="26" customFormat="1" ht="21" x14ac:dyDescent="0.25">
      <c r="A92" s="142" t="s">
        <v>414</v>
      </c>
      <c r="B92" s="143" t="s">
        <v>415</v>
      </c>
      <c r="C92" s="143">
        <v>80</v>
      </c>
      <c r="D92" s="144" t="s">
        <v>4</v>
      </c>
      <c r="E92" s="144" t="s">
        <v>416</v>
      </c>
      <c r="F92" s="144" t="s">
        <v>1627</v>
      </c>
      <c r="G92" s="144" t="s">
        <v>27</v>
      </c>
      <c r="H92" s="146">
        <v>0.625</v>
      </c>
      <c r="I92" s="144" t="s">
        <v>10</v>
      </c>
      <c r="J92" s="147">
        <v>45695</v>
      </c>
      <c r="K92" s="147">
        <v>45898</v>
      </c>
      <c r="L92" s="143">
        <f>IF(ISBLANK(DATA[[#This Row],[DISCHARGE DATE]]), "NO DATE", DATA[[#This Row],[DISCHARGE DATE]]-DATA[[#This Row],[ADMISSION DATE]]+1)</f>
        <v>204</v>
      </c>
      <c r="M92" s="148">
        <v>350</v>
      </c>
      <c r="N92" s="148">
        <v>2652</v>
      </c>
      <c r="O92" s="149" t="s">
        <v>272</v>
      </c>
      <c r="P92" s="149" t="s">
        <v>417</v>
      </c>
      <c r="Q92" s="150">
        <f>IF(DATA[[#This Row],[TYPE]]="Normal", 13 * DATA[[#This Row],[STORAGE DAYS]], 20 * DATA[[#This Row],[STORAGE DAYS]])</f>
        <v>2652</v>
      </c>
      <c r="R92" s="150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389</v>
      </c>
    </row>
    <row r="93" spans="1:20" s="26" customFormat="1" ht="21" x14ac:dyDescent="0.25">
      <c r="A93" s="142" t="s">
        <v>418</v>
      </c>
      <c r="B93" s="143" t="s">
        <v>419</v>
      </c>
      <c r="C93" s="143">
        <v>65</v>
      </c>
      <c r="D93" s="144" t="s">
        <v>5</v>
      </c>
      <c r="E93" s="144" t="s">
        <v>420</v>
      </c>
      <c r="F93" s="144" t="s">
        <v>1628</v>
      </c>
      <c r="G93" s="144" t="s">
        <v>27</v>
      </c>
      <c r="H93" s="146">
        <v>0.61805555555555558</v>
      </c>
      <c r="I93" s="144" t="s">
        <v>12</v>
      </c>
      <c r="J93" s="147">
        <v>45699</v>
      </c>
      <c r="K93" s="147">
        <v>45870</v>
      </c>
      <c r="L93" s="143">
        <f>IF(ISBLANK(DATA[[#This Row],[DISCHARGE DATE]]), "NO DATE", DATA[[#This Row],[DISCHARGE DATE]]-DATA[[#This Row],[ADMISSION DATE]]+1)</f>
        <v>172</v>
      </c>
      <c r="M93" s="148">
        <v>350</v>
      </c>
      <c r="N93" s="148">
        <v>3440</v>
      </c>
      <c r="O93" s="149" t="s">
        <v>421</v>
      </c>
      <c r="P93" s="149" t="s">
        <v>422</v>
      </c>
      <c r="Q93" s="150">
        <f>IF(DATA[[#This Row],[TYPE]]="Normal", 13 * DATA[[#This Row],[STORAGE DAYS]], 20 * DATA[[#This Row],[STORAGE DAYS]])</f>
        <v>3440</v>
      </c>
      <c r="R93" s="150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389</v>
      </c>
    </row>
    <row r="94" spans="1:20" s="26" customFormat="1" ht="21" x14ac:dyDescent="0.25">
      <c r="A94" s="142" t="s">
        <v>423</v>
      </c>
      <c r="B94" s="143" t="s">
        <v>424</v>
      </c>
      <c r="C94" s="143">
        <v>68</v>
      </c>
      <c r="D94" s="144" t="s">
        <v>5</v>
      </c>
      <c r="E94" s="144" t="s">
        <v>425</v>
      </c>
      <c r="F94" s="144" t="s">
        <v>1629</v>
      </c>
      <c r="G94" s="144" t="s">
        <v>27</v>
      </c>
      <c r="H94" s="146">
        <v>0.52083333333333337</v>
      </c>
      <c r="I94" s="144" t="s">
        <v>10</v>
      </c>
      <c r="J94" s="147">
        <v>45705</v>
      </c>
      <c r="K94" s="147">
        <v>45772</v>
      </c>
      <c r="L94" s="143">
        <f>IF(ISBLANK(DATA[[#This Row],[DISCHARGE DATE]]), "NO DATE", DATA[[#This Row],[DISCHARGE DATE]]-DATA[[#This Row],[ADMISSION DATE]]+1)</f>
        <v>68</v>
      </c>
      <c r="M94" s="148">
        <v>350</v>
      </c>
      <c r="N94" s="148">
        <v>884</v>
      </c>
      <c r="O94" s="149" t="s">
        <v>426</v>
      </c>
      <c r="P94" s="149" t="s">
        <v>387</v>
      </c>
      <c r="Q94" s="150">
        <f>IF(DATA[[#This Row],[TYPE]]="Normal", 13 * DATA[[#This Row],[STORAGE DAYS]], 20 * DATA[[#This Row],[STORAGE DAYS]])</f>
        <v>884</v>
      </c>
      <c r="R94" s="150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389</v>
      </c>
    </row>
    <row r="95" spans="1:20" s="26" customFormat="1" ht="21" x14ac:dyDescent="0.25">
      <c r="A95" s="142" t="s">
        <v>427</v>
      </c>
      <c r="B95" s="143" t="s">
        <v>428</v>
      </c>
      <c r="C95" s="143">
        <v>73</v>
      </c>
      <c r="D95" s="144" t="s">
        <v>4</v>
      </c>
      <c r="E95" s="144" t="s">
        <v>429</v>
      </c>
      <c r="F95" s="144" t="s">
        <v>1630</v>
      </c>
      <c r="G95" s="144" t="s">
        <v>27</v>
      </c>
      <c r="H95" s="146">
        <v>0.66666666666666663</v>
      </c>
      <c r="I95" s="144" t="s">
        <v>10</v>
      </c>
      <c r="J95" s="147">
        <v>45706</v>
      </c>
      <c r="K95" s="147">
        <v>45807</v>
      </c>
      <c r="L95" s="143">
        <f>IF(ISBLANK(DATA[[#This Row],[DISCHARGE DATE]]), "NO DATE", DATA[[#This Row],[DISCHARGE DATE]]-DATA[[#This Row],[ADMISSION DATE]]+1)</f>
        <v>102</v>
      </c>
      <c r="M95" s="148">
        <v>350</v>
      </c>
      <c r="N95" s="148">
        <v>1326</v>
      </c>
      <c r="O95" s="149" t="s">
        <v>430</v>
      </c>
      <c r="P95" s="149" t="s">
        <v>431</v>
      </c>
      <c r="Q95" s="150">
        <f>IF(DATA[[#This Row],[TYPE]]="Normal", 13 * DATA[[#This Row],[STORAGE DAYS]], 20 * DATA[[#This Row],[STORAGE DAYS]])</f>
        <v>1326</v>
      </c>
      <c r="R95" s="150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389</v>
      </c>
    </row>
    <row r="96" spans="1:20" s="26" customFormat="1" ht="21" x14ac:dyDescent="0.25">
      <c r="A96" s="142" t="s">
        <v>432</v>
      </c>
      <c r="B96" s="143" t="s">
        <v>433</v>
      </c>
      <c r="C96" s="143">
        <v>54</v>
      </c>
      <c r="D96" s="144" t="s">
        <v>5</v>
      </c>
      <c r="E96" s="144" t="s">
        <v>434</v>
      </c>
      <c r="F96" s="144" t="s">
        <v>1631</v>
      </c>
      <c r="G96" s="144" t="s">
        <v>27</v>
      </c>
      <c r="H96" s="146">
        <v>0.58333333333333337</v>
      </c>
      <c r="I96" s="144" t="s">
        <v>10</v>
      </c>
      <c r="J96" s="147">
        <v>45703</v>
      </c>
      <c r="K96" s="147">
        <v>45807</v>
      </c>
      <c r="L96" s="143">
        <f>IF(ISBLANK(DATA[[#This Row],[DISCHARGE DATE]]), "NO DATE", DATA[[#This Row],[DISCHARGE DATE]]-DATA[[#This Row],[ADMISSION DATE]]+1)</f>
        <v>105</v>
      </c>
      <c r="M96" s="148">
        <v>350</v>
      </c>
      <c r="N96" s="148">
        <v>1365</v>
      </c>
      <c r="O96" s="149" t="s">
        <v>435</v>
      </c>
      <c r="P96" s="149" t="s">
        <v>436</v>
      </c>
      <c r="Q96" s="150">
        <f>IF(DATA[[#This Row],[TYPE]]="Normal", 13 * DATA[[#This Row],[STORAGE DAYS]], 20 * DATA[[#This Row],[STORAGE DAYS]])</f>
        <v>1365</v>
      </c>
      <c r="R96" s="150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389</v>
      </c>
    </row>
    <row r="97" spans="1:20" s="26" customFormat="1" ht="21" x14ac:dyDescent="0.25">
      <c r="A97" s="142" t="s">
        <v>437</v>
      </c>
      <c r="B97" s="143" t="s">
        <v>438</v>
      </c>
      <c r="C97" s="143">
        <v>57</v>
      </c>
      <c r="D97" s="144" t="s">
        <v>4</v>
      </c>
      <c r="E97" s="144" t="s">
        <v>439</v>
      </c>
      <c r="F97" s="144" t="s">
        <v>1632</v>
      </c>
      <c r="G97" s="144" t="s">
        <v>27</v>
      </c>
      <c r="H97" s="146">
        <v>0.375</v>
      </c>
      <c r="I97" s="144" t="s">
        <v>10</v>
      </c>
      <c r="J97" s="147">
        <v>45708</v>
      </c>
      <c r="K97" s="147">
        <v>45744</v>
      </c>
      <c r="L97" s="143">
        <f>IF(ISBLANK(DATA[[#This Row],[DISCHARGE DATE]]), "NO DATE", DATA[[#This Row],[DISCHARGE DATE]]-DATA[[#This Row],[ADMISSION DATE]]+1)</f>
        <v>37</v>
      </c>
      <c r="M97" s="148">
        <v>350</v>
      </c>
      <c r="N97" s="148">
        <v>481</v>
      </c>
      <c r="O97" s="149" t="s">
        <v>219</v>
      </c>
      <c r="P97" s="149" t="s">
        <v>271</v>
      </c>
      <c r="Q97" s="150">
        <f>IF(DATA[[#This Row],[TYPE]]="Normal", 13 * DATA[[#This Row],[STORAGE DAYS]], 20 * DATA[[#This Row],[STORAGE DAYS]])</f>
        <v>481</v>
      </c>
      <c r="R97" s="150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389</v>
      </c>
    </row>
    <row r="98" spans="1:20" s="26" customFormat="1" ht="21" x14ac:dyDescent="0.25">
      <c r="A98" s="142" t="s">
        <v>440</v>
      </c>
      <c r="B98" s="143" t="s">
        <v>441</v>
      </c>
      <c r="C98" s="143">
        <v>52</v>
      </c>
      <c r="D98" s="144" t="s">
        <v>4</v>
      </c>
      <c r="E98" s="144" t="s">
        <v>442</v>
      </c>
      <c r="F98" s="144" t="s">
        <v>1633</v>
      </c>
      <c r="G98" s="144" t="s">
        <v>27</v>
      </c>
      <c r="H98" s="146">
        <v>0.52430555555555558</v>
      </c>
      <c r="I98" s="144" t="s">
        <v>10</v>
      </c>
      <c r="J98" s="147">
        <v>45709</v>
      </c>
      <c r="K98" s="147">
        <v>45805</v>
      </c>
      <c r="L98" s="143">
        <f>IF(ISBLANK(DATA[[#This Row],[DISCHARGE DATE]]), "NO DATE", DATA[[#This Row],[DISCHARGE DATE]]-DATA[[#This Row],[ADMISSION DATE]]+1)</f>
        <v>97</v>
      </c>
      <c r="M98" s="148">
        <v>350</v>
      </c>
      <c r="N98" s="148">
        <v>1261</v>
      </c>
      <c r="O98" s="149" t="s">
        <v>241</v>
      </c>
      <c r="P98" s="149" t="s">
        <v>421</v>
      </c>
      <c r="Q98" s="150">
        <f>IF(DATA[[#This Row],[TYPE]]="Normal", 13 * DATA[[#This Row],[STORAGE DAYS]], 20 * DATA[[#This Row],[STORAGE DAYS]])</f>
        <v>1261</v>
      </c>
      <c r="R98" s="150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389</v>
      </c>
    </row>
    <row r="99" spans="1:20" s="26" customFormat="1" ht="21" x14ac:dyDescent="0.25">
      <c r="A99" s="142" t="s">
        <v>443</v>
      </c>
      <c r="B99" s="143" t="s">
        <v>444</v>
      </c>
      <c r="C99" s="143">
        <v>90</v>
      </c>
      <c r="D99" s="144" t="s">
        <v>4</v>
      </c>
      <c r="E99" s="144" t="s">
        <v>445</v>
      </c>
      <c r="F99" s="144" t="s">
        <v>1634</v>
      </c>
      <c r="G99" s="144" t="s">
        <v>27</v>
      </c>
      <c r="H99" s="146">
        <v>0.22916666666666666</v>
      </c>
      <c r="I99" s="144" t="s">
        <v>12</v>
      </c>
      <c r="J99" s="147">
        <v>45712</v>
      </c>
      <c r="K99" s="147">
        <v>45954</v>
      </c>
      <c r="L99" s="143">
        <f>IF(ISBLANK(DATA[[#This Row],[DISCHARGE DATE]]), "NO DATE", DATA[[#This Row],[DISCHARGE DATE]]-DATA[[#This Row],[ADMISSION DATE]]+1)</f>
        <v>243</v>
      </c>
      <c r="M99" s="148">
        <v>350</v>
      </c>
      <c r="N99" s="148">
        <v>4860</v>
      </c>
      <c r="O99" s="149" t="s">
        <v>365</v>
      </c>
      <c r="P99" s="149" t="s">
        <v>1028</v>
      </c>
      <c r="Q99" s="150">
        <f>IF(DATA[[#This Row],[TYPE]]="Normal", 13 * DATA[[#This Row],[STORAGE DAYS]], 20 * DATA[[#This Row],[STORAGE DAYS]])</f>
        <v>4860</v>
      </c>
      <c r="R99" s="150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389</v>
      </c>
    </row>
    <row r="100" spans="1:20" s="26" customFormat="1" ht="21" x14ac:dyDescent="0.25">
      <c r="A100" s="142" t="s">
        <v>446</v>
      </c>
      <c r="B100" s="143" t="s">
        <v>77</v>
      </c>
      <c r="C100" s="143">
        <v>30</v>
      </c>
      <c r="D100" s="144" t="s">
        <v>5</v>
      </c>
      <c r="E100" s="144" t="s">
        <v>262</v>
      </c>
      <c r="F100" s="144" t="s">
        <v>1635</v>
      </c>
      <c r="G100" s="144" t="s">
        <v>27</v>
      </c>
      <c r="H100" s="146">
        <v>0.875</v>
      </c>
      <c r="I100" s="144" t="s">
        <v>10</v>
      </c>
      <c r="J100" s="147">
        <v>45710</v>
      </c>
      <c r="K100" s="147">
        <v>45751</v>
      </c>
      <c r="L100" s="143">
        <f>IF(ISBLANK(DATA[[#This Row],[DISCHARGE DATE]]), "NO DATE", DATA[[#This Row],[DISCHARGE DATE]]-DATA[[#This Row],[ADMISSION DATE]]+1)</f>
        <v>42</v>
      </c>
      <c r="M100" s="148">
        <v>350</v>
      </c>
      <c r="N100" s="148">
        <v>546</v>
      </c>
      <c r="O100" s="149" t="s">
        <v>334</v>
      </c>
      <c r="P100" s="149" t="s">
        <v>338</v>
      </c>
      <c r="Q100" s="150">
        <f>IF(DATA[[#This Row],[TYPE]]="Normal", 13 * DATA[[#This Row],[STORAGE DAYS]], 20 * DATA[[#This Row],[STORAGE DAYS]])</f>
        <v>546</v>
      </c>
      <c r="R100" s="150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389</v>
      </c>
    </row>
    <row r="101" spans="1:20" s="26" customFormat="1" ht="21" x14ac:dyDescent="0.25">
      <c r="A101" s="142" t="s">
        <v>447</v>
      </c>
      <c r="B101" s="143" t="s">
        <v>448</v>
      </c>
      <c r="C101" s="143">
        <v>70</v>
      </c>
      <c r="D101" s="144" t="s">
        <v>4</v>
      </c>
      <c r="E101" s="144" t="s">
        <v>449</v>
      </c>
      <c r="F101" s="144" t="s">
        <v>1636</v>
      </c>
      <c r="G101" s="144" t="s">
        <v>27</v>
      </c>
      <c r="H101" s="146">
        <v>0.8125</v>
      </c>
      <c r="I101" s="144" t="s">
        <v>10</v>
      </c>
      <c r="J101" s="147">
        <v>45712</v>
      </c>
      <c r="K101" s="147">
        <v>45772</v>
      </c>
      <c r="L101" s="143">
        <f>IF(ISBLANK(DATA[[#This Row],[DISCHARGE DATE]]), "NO DATE", DATA[[#This Row],[DISCHARGE DATE]]-DATA[[#This Row],[ADMISSION DATE]]+1)</f>
        <v>61</v>
      </c>
      <c r="M101" s="148">
        <v>350</v>
      </c>
      <c r="N101" s="148">
        <v>793</v>
      </c>
      <c r="O101" s="149" t="s">
        <v>450</v>
      </c>
      <c r="P101" s="149" t="s">
        <v>379</v>
      </c>
      <c r="Q101" s="150">
        <f>IF(DATA[[#This Row],[TYPE]]="Normal", 13 * DATA[[#This Row],[STORAGE DAYS]], 20 * DATA[[#This Row],[STORAGE DAYS]])</f>
        <v>793</v>
      </c>
      <c r="R101" s="150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389</v>
      </c>
    </row>
    <row r="102" spans="1:20" s="26" customFormat="1" ht="21" x14ac:dyDescent="0.25">
      <c r="A102" s="142" t="s">
        <v>451</v>
      </c>
      <c r="B102" s="143" t="s">
        <v>1535</v>
      </c>
      <c r="C102" s="143">
        <v>33</v>
      </c>
      <c r="D102" s="144" t="s">
        <v>4</v>
      </c>
      <c r="E102" s="144" t="s">
        <v>452</v>
      </c>
      <c r="F102" s="144" t="s">
        <v>1637</v>
      </c>
      <c r="G102" s="144" t="s">
        <v>25</v>
      </c>
      <c r="H102" s="146">
        <v>0.9375</v>
      </c>
      <c r="I102" s="144" t="s">
        <v>10</v>
      </c>
      <c r="J102" s="147">
        <v>45713</v>
      </c>
      <c r="K102" s="147">
        <v>45772</v>
      </c>
      <c r="L102" s="143">
        <f>IF(ISBLANK(DATA[[#This Row],[DISCHARGE DATE]]), "NO DATE", DATA[[#This Row],[DISCHARGE DATE]]-DATA[[#This Row],[ADMISSION DATE]]+1)</f>
        <v>60</v>
      </c>
      <c r="M102" s="148">
        <v>350</v>
      </c>
      <c r="N102" s="148">
        <v>780</v>
      </c>
      <c r="O102" s="149" t="s">
        <v>453</v>
      </c>
      <c r="P102" s="149" t="s">
        <v>364</v>
      </c>
      <c r="Q102" s="150">
        <f>IF(DATA[[#This Row],[TYPE]]="Normal", 13 * DATA[[#This Row],[STORAGE DAYS]], 20 * DATA[[#This Row],[STORAGE DAYS]])</f>
        <v>780</v>
      </c>
      <c r="R102" s="150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389</v>
      </c>
    </row>
    <row r="103" spans="1:20" s="26" customFormat="1" ht="21" x14ac:dyDescent="0.25">
      <c r="A103" s="142" t="s">
        <v>454</v>
      </c>
      <c r="B103" s="143" t="s">
        <v>1205</v>
      </c>
      <c r="C103" s="143">
        <v>75</v>
      </c>
      <c r="D103" s="144" t="s">
        <v>5</v>
      </c>
      <c r="E103" s="144" t="s">
        <v>1538</v>
      </c>
      <c r="F103" s="144" t="s">
        <v>1638</v>
      </c>
      <c r="G103" s="144" t="s">
        <v>25</v>
      </c>
      <c r="H103" s="146">
        <v>0.58333333333333337</v>
      </c>
      <c r="I103" s="144" t="s">
        <v>12</v>
      </c>
      <c r="J103" s="147">
        <v>45716</v>
      </c>
      <c r="K103" s="147">
        <v>45974</v>
      </c>
      <c r="L103" s="143">
        <f>IF(ISBLANK(DATA[[#This Row],[DISCHARGE DATE]]), "NO DATE", DATA[[#This Row],[DISCHARGE DATE]]-DATA[[#This Row],[ADMISSION DATE]]+1)</f>
        <v>259</v>
      </c>
      <c r="M103" s="148">
        <v>350</v>
      </c>
      <c r="N103" s="148">
        <v>5180</v>
      </c>
      <c r="O103" s="149" t="s">
        <v>455</v>
      </c>
      <c r="P103" s="149" t="s">
        <v>1182</v>
      </c>
      <c r="Q103" s="150">
        <f>IF(DATA[[#This Row],[TYPE]]="Normal", 13 * DATA[[#This Row],[STORAGE DAYS]], 20 * DATA[[#This Row],[STORAGE DAYS]])</f>
        <v>5180</v>
      </c>
      <c r="R103" s="150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389</v>
      </c>
    </row>
    <row r="104" spans="1:20" s="26" customFormat="1" ht="21" x14ac:dyDescent="0.25">
      <c r="A104" s="142" t="s">
        <v>456</v>
      </c>
      <c r="B104" s="143" t="s">
        <v>457</v>
      </c>
      <c r="C104" s="143">
        <v>60</v>
      </c>
      <c r="D104" s="144" t="s">
        <v>4</v>
      </c>
      <c r="E104" s="144" t="s">
        <v>458</v>
      </c>
      <c r="F104" s="144" t="s">
        <v>1639</v>
      </c>
      <c r="G104" s="144" t="s">
        <v>27</v>
      </c>
      <c r="H104" s="146">
        <v>0.875</v>
      </c>
      <c r="I104" s="144" t="s">
        <v>10</v>
      </c>
      <c r="J104" s="147">
        <v>45717</v>
      </c>
      <c r="K104" s="147">
        <v>45807</v>
      </c>
      <c r="L104" s="143">
        <f>IF(ISBLANK(DATA[[#This Row],[DISCHARGE DATE]]), "NO DATE", DATA[[#This Row],[DISCHARGE DATE]]-DATA[[#This Row],[ADMISSION DATE]]+1)</f>
        <v>91</v>
      </c>
      <c r="M104" s="148">
        <v>350</v>
      </c>
      <c r="N104" s="148">
        <v>1183</v>
      </c>
      <c r="O104" s="149" t="s">
        <v>459</v>
      </c>
      <c r="P104" s="149" t="s">
        <v>430</v>
      </c>
      <c r="Q104" s="150">
        <f>IF(DATA[[#This Row],[TYPE]]="Normal", 13 * DATA[[#This Row],[STORAGE DAYS]], 20 * DATA[[#This Row],[STORAGE DAYS]])</f>
        <v>1183</v>
      </c>
      <c r="R104" s="150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389</v>
      </c>
    </row>
    <row r="105" spans="1:20" s="26" customFormat="1" ht="21" x14ac:dyDescent="0.25">
      <c r="A105" s="142" t="s">
        <v>460</v>
      </c>
      <c r="B105" s="143" t="s">
        <v>461</v>
      </c>
      <c r="C105" s="143">
        <v>50</v>
      </c>
      <c r="D105" s="144" t="s">
        <v>5</v>
      </c>
      <c r="E105" s="144" t="s">
        <v>462</v>
      </c>
      <c r="F105" s="144" t="s">
        <v>1640</v>
      </c>
      <c r="G105" s="144" t="s">
        <v>26</v>
      </c>
      <c r="H105" s="146">
        <v>0.5</v>
      </c>
      <c r="I105" s="144" t="s">
        <v>10</v>
      </c>
      <c r="J105" s="147">
        <v>45715</v>
      </c>
      <c r="K105" s="147">
        <v>45891</v>
      </c>
      <c r="L105" s="143">
        <f>IF(ISBLANK(DATA[[#This Row],[DISCHARGE DATE]]), "NO DATE", DATA[[#This Row],[DISCHARGE DATE]]-DATA[[#This Row],[ADMISSION DATE]]+1)</f>
        <v>177</v>
      </c>
      <c r="M105" s="148">
        <v>350</v>
      </c>
      <c r="N105" s="148">
        <v>2301</v>
      </c>
      <c r="O105" s="149" t="s">
        <v>463</v>
      </c>
      <c r="P105" s="149" t="s">
        <v>464</v>
      </c>
      <c r="Q105" s="150">
        <f>IF(DATA[[#This Row],[TYPE]]="Normal", 13 * DATA[[#This Row],[STORAGE DAYS]], 20 * DATA[[#This Row],[STORAGE DAYS]])</f>
        <v>2301</v>
      </c>
      <c r="R105" s="150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389</v>
      </c>
    </row>
    <row r="106" spans="1:20" s="26" customFormat="1" ht="21" x14ac:dyDescent="0.25">
      <c r="A106" s="142" t="s">
        <v>465</v>
      </c>
      <c r="B106" s="143" t="s">
        <v>466</v>
      </c>
      <c r="C106" s="143">
        <v>30</v>
      </c>
      <c r="D106" s="144" t="s">
        <v>4</v>
      </c>
      <c r="E106" s="144" t="s">
        <v>230</v>
      </c>
      <c r="F106" s="144" t="s">
        <v>1641</v>
      </c>
      <c r="G106" s="144" t="s">
        <v>25</v>
      </c>
      <c r="H106" s="146">
        <v>0.2638888888888889</v>
      </c>
      <c r="I106" s="144" t="s">
        <v>10</v>
      </c>
      <c r="J106" s="147">
        <v>45721</v>
      </c>
      <c r="K106" s="147">
        <v>45772</v>
      </c>
      <c r="L106" s="143">
        <f>IF(ISBLANK(DATA[[#This Row],[DISCHARGE DATE]]), "NO DATE", DATA[[#This Row],[DISCHARGE DATE]]-DATA[[#This Row],[ADMISSION DATE]]+1)</f>
        <v>52</v>
      </c>
      <c r="M106" s="148">
        <v>350</v>
      </c>
      <c r="N106" s="148">
        <v>676</v>
      </c>
      <c r="O106" s="149" t="s">
        <v>467</v>
      </c>
      <c r="P106" s="149" t="s">
        <v>407</v>
      </c>
      <c r="Q106" s="150">
        <f>IF(DATA[[#This Row],[TYPE]]="Normal", 13 * DATA[[#This Row],[STORAGE DAYS]], 20 * DATA[[#This Row],[STORAGE DAYS]])</f>
        <v>676</v>
      </c>
      <c r="R106" s="150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389</v>
      </c>
    </row>
    <row r="107" spans="1:20" s="26" customFormat="1" ht="21" x14ac:dyDescent="0.25">
      <c r="A107" s="142" t="s">
        <v>468</v>
      </c>
      <c r="B107" s="143" t="s">
        <v>469</v>
      </c>
      <c r="C107" s="143">
        <v>76</v>
      </c>
      <c r="D107" s="144" t="s">
        <v>5</v>
      </c>
      <c r="E107" s="144" t="s">
        <v>470</v>
      </c>
      <c r="F107" s="144" t="s">
        <v>1642</v>
      </c>
      <c r="G107" s="144" t="s">
        <v>27</v>
      </c>
      <c r="H107" s="146">
        <v>0.57777777777777772</v>
      </c>
      <c r="I107" s="144" t="s">
        <v>10</v>
      </c>
      <c r="J107" s="147">
        <v>45723</v>
      </c>
      <c r="K107" s="147">
        <v>45849</v>
      </c>
      <c r="L107" s="143">
        <f>IF(ISBLANK(DATA[[#This Row],[DISCHARGE DATE]]), "NO DATE", DATA[[#This Row],[DISCHARGE DATE]]-DATA[[#This Row],[ADMISSION DATE]]+1)</f>
        <v>127</v>
      </c>
      <c r="M107" s="148">
        <v>350</v>
      </c>
      <c r="N107" s="148">
        <v>1651</v>
      </c>
      <c r="O107" s="149" t="s">
        <v>471</v>
      </c>
      <c r="P107" s="149" t="s">
        <v>472</v>
      </c>
      <c r="Q107" s="150">
        <f>IF(DATA[[#This Row],[TYPE]]="Normal", 13 * DATA[[#This Row],[STORAGE DAYS]], 20 * DATA[[#This Row],[STORAGE DAYS]])</f>
        <v>1651</v>
      </c>
      <c r="R107" s="150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389</v>
      </c>
    </row>
    <row r="108" spans="1:20" s="26" customFormat="1" ht="21" x14ac:dyDescent="0.25">
      <c r="A108" s="142" t="s">
        <v>473</v>
      </c>
      <c r="B108" s="143" t="s">
        <v>474</v>
      </c>
      <c r="C108" s="143">
        <v>67</v>
      </c>
      <c r="D108" s="144" t="s">
        <v>5</v>
      </c>
      <c r="E108" s="144" t="s">
        <v>475</v>
      </c>
      <c r="F108" s="144" t="s">
        <v>1643</v>
      </c>
      <c r="G108" s="144" t="s">
        <v>27</v>
      </c>
      <c r="H108" s="146">
        <v>0.54166666666666663</v>
      </c>
      <c r="I108" s="144" t="s">
        <v>12</v>
      </c>
      <c r="J108" s="147">
        <v>45724</v>
      </c>
      <c r="K108" s="147">
        <v>45828</v>
      </c>
      <c r="L108" s="143">
        <f>IF(ISBLANK(DATA[[#This Row],[DISCHARGE DATE]]), "NO DATE", DATA[[#This Row],[DISCHARGE DATE]]-DATA[[#This Row],[ADMISSION DATE]]+1)</f>
        <v>105</v>
      </c>
      <c r="M108" s="148">
        <v>350</v>
      </c>
      <c r="N108" s="148">
        <v>2100</v>
      </c>
      <c r="O108" s="149" t="s">
        <v>476</v>
      </c>
      <c r="P108" s="149" t="s">
        <v>477</v>
      </c>
      <c r="Q108" s="150">
        <f>IF(DATA[[#This Row],[TYPE]]="Normal", 13 * DATA[[#This Row],[STORAGE DAYS]], 20 * DATA[[#This Row],[STORAGE DAYS]])</f>
        <v>2100</v>
      </c>
      <c r="R108" s="150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389</v>
      </c>
    </row>
    <row r="109" spans="1:20" s="26" customFormat="1" ht="21" x14ac:dyDescent="0.25">
      <c r="A109" s="142" t="s">
        <v>478</v>
      </c>
      <c r="B109" s="143" t="s">
        <v>479</v>
      </c>
      <c r="C109" s="143">
        <v>38</v>
      </c>
      <c r="D109" s="144" t="s">
        <v>5</v>
      </c>
      <c r="E109" s="144" t="s">
        <v>480</v>
      </c>
      <c r="F109" s="144" t="s">
        <v>1644</v>
      </c>
      <c r="G109" s="144" t="s">
        <v>21</v>
      </c>
      <c r="H109" s="146">
        <v>0.52222222222222225</v>
      </c>
      <c r="I109" s="144" t="s">
        <v>10</v>
      </c>
      <c r="J109" s="147">
        <v>45726</v>
      </c>
      <c r="K109" s="147">
        <v>45807</v>
      </c>
      <c r="L109" s="143">
        <f>IF(ISBLANK(DATA[[#This Row],[DISCHARGE DATE]]), "NO DATE", DATA[[#This Row],[DISCHARGE DATE]]-DATA[[#This Row],[ADMISSION DATE]]+1)</f>
        <v>82</v>
      </c>
      <c r="M109" s="148">
        <v>350</v>
      </c>
      <c r="N109" s="148">
        <v>1066</v>
      </c>
      <c r="O109" s="149" t="s">
        <v>481</v>
      </c>
      <c r="P109" s="149" t="s">
        <v>435</v>
      </c>
      <c r="Q109" s="150">
        <f>IF(DATA[[#This Row],[TYPE]]="Normal", 13 * DATA[[#This Row],[STORAGE DAYS]], 20 * DATA[[#This Row],[STORAGE DAYS]])</f>
        <v>1066</v>
      </c>
      <c r="R109" s="150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389</v>
      </c>
    </row>
    <row r="110" spans="1:20" s="26" customFormat="1" ht="21" x14ac:dyDescent="0.25">
      <c r="A110" s="142" t="s">
        <v>482</v>
      </c>
      <c r="B110" s="143" t="s">
        <v>483</v>
      </c>
      <c r="C110" s="143">
        <v>66</v>
      </c>
      <c r="D110" s="144" t="s">
        <v>4</v>
      </c>
      <c r="E110" s="144" t="s">
        <v>484</v>
      </c>
      <c r="F110" s="144" t="s">
        <v>1645</v>
      </c>
      <c r="G110" s="144" t="s">
        <v>21</v>
      </c>
      <c r="H110" s="146">
        <v>0.67361111111111116</v>
      </c>
      <c r="I110" s="144" t="s">
        <v>12</v>
      </c>
      <c r="J110" s="147">
        <v>45727</v>
      </c>
      <c r="K110" s="147">
        <v>45898</v>
      </c>
      <c r="L110" s="143">
        <f>IF(ISBLANK(DATA[[#This Row],[DISCHARGE DATE]]), "NO DATE", DATA[[#This Row],[DISCHARGE DATE]]-DATA[[#This Row],[ADMISSION DATE]]+1)</f>
        <v>172</v>
      </c>
      <c r="M110" s="148">
        <v>350</v>
      </c>
      <c r="N110" s="148">
        <v>3440</v>
      </c>
      <c r="O110" s="149" t="s">
        <v>485</v>
      </c>
      <c r="P110" s="149" t="s">
        <v>486</v>
      </c>
      <c r="Q110" s="150">
        <f>IF(DATA[[#This Row],[TYPE]]="Normal", 13 * DATA[[#This Row],[STORAGE DAYS]], 20 * DATA[[#This Row],[STORAGE DAYS]])</f>
        <v>3440</v>
      </c>
      <c r="R110" s="150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389</v>
      </c>
    </row>
    <row r="111" spans="1:20" s="26" customFormat="1" ht="21" x14ac:dyDescent="0.25">
      <c r="A111" s="142" t="s">
        <v>487</v>
      </c>
      <c r="B111" s="143" t="s">
        <v>488</v>
      </c>
      <c r="C111" s="143">
        <v>61</v>
      </c>
      <c r="D111" s="144" t="s">
        <v>5</v>
      </c>
      <c r="E111" s="144" t="s">
        <v>489</v>
      </c>
      <c r="F111" s="144" t="s">
        <v>1646</v>
      </c>
      <c r="G111" s="144" t="s">
        <v>27</v>
      </c>
      <c r="H111" s="146">
        <v>0.5444444444444444</v>
      </c>
      <c r="I111" s="144" t="s">
        <v>10</v>
      </c>
      <c r="J111" s="147">
        <v>45729</v>
      </c>
      <c r="K111" s="147">
        <v>45849</v>
      </c>
      <c r="L111" s="143">
        <f>IF(ISBLANK(DATA[[#This Row],[DISCHARGE DATE]]), "NO DATE", DATA[[#This Row],[DISCHARGE DATE]]-DATA[[#This Row],[ADMISSION DATE]]+1)</f>
        <v>121</v>
      </c>
      <c r="M111" s="148">
        <v>350</v>
      </c>
      <c r="N111" s="148">
        <v>1573</v>
      </c>
      <c r="O111" s="149" t="s">
        <v>490</v>
      </c>
      <c r="P111" s="149" t="s">
        <v>491</v>
      </c>
      <c r="Q111" s="150">
        <f>IF(DATA[[#This Row],[TYPE]]="Normal", 13 * DATA[[#This Row],[STORAGE DAYS]], 20 * DATA[[#This Row],[STORAGE DAYS]])</f>
        <v>1573</v>
      </c>
      <c r="R111" s="150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389</v>
      </c>
    </row>
    <row r="112" spans="1:20" s="26" customFormat="1" ht="21" x14ac:dyDescent="0.25">
      <c r="A112" s="142" t="s">
        <v>492</v>
      </c>
      <c r="B112" s="143" t="s">
        <v>493</v>
      </c>
      <c r="C112" s="143">
        <v>77</v>
      </c>
      <c r="D112" s="144" t="s">
        <v>4</v>
      </c>
      <c r="E112" s="144" t="s">
        <v>494</v>
      </c>
      <c r="F112" s="144" t="s">
        <v>1647</v>
      </c>
      <c r="G112" s="144" t="s">
        <v>27</v>
      </c>
      <c r="H112" s="146">
        <v>0.67708333333333337</v>
      </c>
      <c r="I112" s="144" t="s">
        <v>12</v>
      </c>
      <c r="J112" s="147">
        <v>45733</v>
      </c>
      <c r="K112" s="147">
        <v>45807</v>
      </c>
      <c r="L112" s="143">
        <f>IF(ISBLANK(DATA[[#This Row],[DISCHARGE DATE]]), "NO DATE", DATA[[#This Row],[DISCHARGE DATE]]-DATA[[#This Row],[ADMISSION DATE]]+1)</f>
        <v>75</v>
      </c>
      <c r="M112" s="148">
        <v>350</v>
      </c>
      <c r="N112" s="148">
        <v>1486</v>
      </c>
      <c r="O112" s="149" t="s">
        <v>495</v>
      </c>
      <c r="P112" s="149" t="s">
        <v>426</v>
      </c>
      <c r="Q112" s="150">
        <f>IF(DATA[[#This Row],[TYPE]]="Normal", 13 * DATA[[#This Row],[STORAGE DAYS]], 20 * DATA[[#This Row],[STORAGE DAYS]])</f>
        <v>1500</v>
      </c>
      <c r="R112" s="150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389</v>
      </c>
    </row>
    <row r="113" spans="1:20" s="26" customFormat="1" ht="21" x14ac:dyDescent="0.25">
      <c r="A113" s="142" t="s">
        <v>496</v>
      </c>
      <c r="B113" s="143" t="s">
        <v>497</v>
      </c>
      <c r="C113" s="143">
        <v>64</v>
      </c>
      <c r="D113" s="144" t="s">
        <v>5</v>
      </c>
      <c r="E113" s="144" t="s">
        <v>498</v>
      </c>
      <c r="F113" s="144" t="s">
        <v>1648</v>
      </c>
      <c r="G113" s="144" t="s">
        <v>17</v>
      </c>
      <c r="H113" s="146">
        <v>0.4152777777777778</v>
      </c>
      <c r="I113" s="144" t="s">
        <v>10</v>
      </c>
      <c r="J113" s="147">
        <v>45743</v>
      </c>
      <c r="K113" s="147">
        <v>45835</v>
      </c>
      <c r="L113" s="143">
        <f>IF(ISBLANK(DATA[[#This Row],[DISCHARGE DATE]]), "NO DATE", DATA[[#This Row],[DISCHARGE DATE]]-DATA[[#This Row],[ADMISSION DATE]]+1)</f>
        <v>93</v>
      </c>
      <c r="M113" s="148">
        <v>350</v>
      </c>
      <c r="N113" s="148">
        <v>1209</v>
      </c>
      <c r="O113" s="149" t="s">
        <v>499</v>
      </c>
      <c r="P113" s="149" t="s">
        <v>500</v>
      </c>
      <c r="Q113" s="150">
        <f>IF(DATA[[#This Row],[TYPE]]="Normal", 13 * DATA[[#This Row],[STORAGE DAYS]], 20 * DATA[[#This Row],[STORAGE DAYS]])</f>
        <v>1209</v>
      </c>
      <c r="R113" s="150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389</v>
      </c>
    </row>
    <row r="114" spans="1:20" s="26" customFormat="1" ht="21" x14ac:dyDescent="0.25">
      <c r="A114" s="142" t="s">
        <v>501</v>
      </c>
      <c r="B114" s="143" t="s">
        <v>502</v>
      </c>
      <c r="C114" s="143">
        <v>68</v>
      </c>
      <c r="D114" s="144" t="s">
        <v>4</v>
      </c>
      <c r="E114" s="144" t="s">
        <v>503</v>
      </c>
      <c r="F114" s="144" t="s">
        <v>1580</v>
      </c>
      <c r="G114" s="144" t="s">
        <v>26</v>
      </c>
      <c r="H114" s="146">
        <v>0.70833333333333337</v>
      </c>
      <c r="I114" s="144" t="s">
        <v>12</v>
      </c>
      <c r="J114" s="147">
        <v>45746</v>
      </c>
      <c r="K114" s="147">
        <v>45764</v>
      </c>
      <c r="L114" s="143">
        <f>IF(ISBLANK(DATA[[#This Row],[DISCHARGE DATE]]), "NO DATE", DATA[[#This Row],[DISCHARGE DATE]]-DATA[[#This Row],[ADMISSION DATE]]+1)</f>
        <v>19</v>
      </c>
      <c r="M114" s="148">
        <v>350</v>
      </c>
      <c r="N114" s="148">
        <v>380</v>
      </c>
      <c r="O114" s="149" t="s">
        <v>504</v>
      </c>
      <c r="P114" s="149" t="s">
        <v>343</v>
      </c>
      <c r="Q114" s="150">
        <f>IF(DATA[[#This Row],[TYPE]]="Normal", 13 * DATA[[#This Row],[STORAGE DAYS]], 20 * DATA[[#This Row],[STORAGE DAYS]])</f>
        <v>380</v>
      </c>
      <c r="R114" s="150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389</v>
      </c>
    </row>
    <row r="115" spans="1:20" s="26" customFormat="1" ht="21" x14ac:dyDescent="0.25">
      <c r="A115" s="142" t="s">
        <v>505</v>
      </c>
      <c r="B115" s="143" t="s">
        <v>506</v>
      </c>
      <c r="C115" s="143">
        <v>82</v>
      </c>
      <c r="D115" s="144" t="s">
        <v>4</v>
      </c>
      <c r="E115" s="144" t="s">
        <v>507</v>
      </c>
      <c r="F115" s="144" t="s">
        <v>1649</v>
      </c>
      <c r="G115" s="144" t="s">
        <v>27</v>
      </c>
      <c r="H115" s="146">
        <v>0.58333333333333337</v>
      </c>
      <c r="I115" s="144" t="s">
        <v>10</v>
      </c>
      <c r="J115" s="147">
        <v>45745</v>
      </c>
      <c r="K115" s="147">
        <v>45961</v>
      </c>
      <c r="L115" s="143">
        <f>IF(ISBLANK(DATA[[#This Row],[DISCHARGE DATE]]), "NO DATE", DATA[[#This Row],[DISCHARGE DATE]]-DATA[[#This Row],[ADMISSION DATE]]+1)</f>
        <v>217</v>
      </c>
      <c r="M115" s="148">
        <v>350</v>
      </c>
      <c r="N115" s="148">
        <v>2821</v>
      </c>
      <c r="O115" s="149" t="s">
        <v>508</v>
      </c>
      <c r="P115" s="149" t="s">
        <v>1049</v>
      </c>
      <c r="Q115" s="150">
        <f>IF(DATA[[#This Row],[TYPE]]="Normal", 13 * DATA[[#This Row],[STORAGE DAYS]], 20 * DATA[[#This Row],[STORAGE DAYS]])</f>
        <v>2821</v>
      </c>
      <c r="R115" s="150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389</v>
      </c>
    </row>
    <row r="116" spans="1:20" s="26" customFormat="1" ht="21" x14ac:dyDescent="0.25">
      <c r="A116" s="142" t="s">
        <v>509</v>
      </c>
      <c r="B116" s="143" t="s">
        <v>510</v>
      </c>
      <c r="C116" s="143">
        <v>100</v>
      </c>
      <c r="D116" s="144" t="s">
        <v>4</v>
      </c>
      <c r="E116" s="144" t="s">
        <v>511</v>
      </c>
      <c r="F116" s="144" t="s">
        <v>1650</v>
      </c>
      <c r="G116" s="144" t="s">
        <v>6</v>
      </c>
      <c r="H116" s="146">
        <v>0.83333333333333337</v>
      </c>
      <c r="I116" s="144" t="s">
        <v>10</v>
      </c>
      <c r="J116" s="147">
        <v>45747</v>
      </c>
      <c r="K116" s="147">
        <v>45898</v>
      </c>
      <c r="L116" s="143">
        <f>IF(ISBLANK(DATA[[#This Row],[DISCHARGE DATE]]), "NO DATE", DATA[[#This Row],[DISCHARGE DATE]]-DATA[[#This Row],[ADMISSION DATE]]+1)</f>
        <v>152</v>
      </c>
      <c r="M116" s="148">
        <v>350</v>
      </c>
      <c r="N116" s="148">
        <v>1776</v>
      </c>
      <c r="O116" s="149" t="s">
        <v>512</v>
      </c>
      <c r="P116" s="149" t="s">
        <v>513</v>
      </c>
      <c r="Q116" s="150">
        <f>IF(DATA[[#This Row],[TYPE]]="Normal", 13 * DATA[[#This Row],[STORAGE DAYS]], 20 * DATA[[#This Row],[STORAGE DAYS]])</f>
        <v>1976</v>
      </c>
      <c r="R116" s="150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389</v>
      </c>
    </row>
    <row r="117" spans="1:20" s="26" customFormat="1" ht="21" x14ac:dyDescent="0.25">
      <c r="A117" s="142" t="s">
        <v>514</v>
      </c>
      <c r="B117" s="143" t="s">
        <v>515</v>
      </c>
      <c r="C117" s="143">
        <v>61</v>
      </c>
      <c r="D117" s="144" t="s">
        <v>4</v>
      </c>
      <c r="E117" s="144" t="s">
        <v>516</v>
      </c>
      <c r="F117" s="144" t="s">
        <v>1651</v>
      </c>
      <c r="G117" s="144" t="s">
        <v>27</v>
      </c>
      <c r="H117" s="146">
        <v>0.625</v>
      </c>
      <c r="I117" s="144" t="s">
        <v>10</v>
      </c>
      <c r="J117" s="147">
        <v>45753</v>
      </c>
      <c r="K117" s="147">
        <v>45807</v>
      </c>
      <c r="L117" s="143">
        <f>IF(ISBLANK(DATA[[#This Row],[DISCHARGE DATE]]), "NO DATE", DATA[[#This Row],[DISCHARGE DATE]]-DATA[[#This Row],[ADMISSION DATE]]+1)</f>
        <v>55</v>
      </c>
      <c r="M117" s="148">
        <v>350</v>
      </c>
      <c r="N117" s="148">
        <v>715</v>
      </c>
      <c r="O117" s="149" t="s">
        <v>517</v>
      </c>
      <c r="P117" s="149" t="s">
        <v>518</v>
      </c>
      <c r="Q117" s="150">
        <f>IF(DATA[[#This Row],[TYPE]]="Normal", 13 * DATA[[#This Row],[STORAGE DAYS]], 20 * DATA[[#This Row],[STORAGE DAYS]])</f>
        <v>715</v>
      </c>
      <c r="R117" s="150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389</v>
      </c>
    </row>
    <row r="118" spans="1:20" s="26" customFormat="1" ht="21" x14ac:dyDescent="0.25">
      <c r="A118" s="142" t="s">
        <v>519</v>
      </c>
      <c r="B118" s="143" t="s">
        <v>520</v>
      </c>
      <c r="C118" s="143">
        <v>63</v>
      </c>
      <c r="D118" s="144" t="s">
        <v>4</v>
      </c>
      <c r="E118" s="144" t="s">
        <v>521</v>
      </c>
      <c r="F118" s="144" t="s">
        <v>1652</v>
      </c>
      <c r="G118" s="144" t="s">
        <v>27</v>
      </c>
      <c r="H118" s="146">
        <v>0.48333333333333334</v>
      </c>
      <c r="I118" s="144" t="s">
        <v>12</v>
      </c>
      <c r="J118" s="147">
        <v>45755</v>
      </c>
      <c r="K118" s="147">
        <v>45870</v>
      </c>
      <c r="L118" s="143">
        <f>IF(ISBLANK(DATA[[#This Row],[DISCHARGE DATE]]), "NO DATE", DATA[[#This Row],[DISCHARGE DATE]]-DATA[[#This Row],[ADMISSION DATE]]+1)</f>
        <v>116</v>
      </c>
      <c r="M118" s="148">
        <v>350</v>
      </c>
      <c r="N118" s="148">
        <v>2320</v>
      </c>
      <c r="O118" s="149" t="s">
        <v>522</v>
      </c>
      <c r="P118" s="149" t="s">
        <v>523</v>
      </c>
      <c r="Q118" s="150">
        <f>IF(DATA[[#This Row],[TYPE]]="Normal", 13 * DATA[[#This Row],[STORAGE DAYS]], 20 * DATA[[#This Row],[STORAGE DAYS]])</f>
        <v>2320</v>
      </c>
      <c r="R118" s="150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389</v>
      </c>
    </row>
    <row r="119" spans="1:20" s="26" customFormat="1" ht="21" x14ac:dyDescent="0.25">
      <c r="A119" s="142" t="s">
        <v>524</v>
      </c>
      <c r="B119" s="143" t="s">
        <v>525</v>
      </c>
      <c r="C119" s="143">
        <v>55</v>
      </c>
      <c r="D119" s="144" t="s">
        <v>4</v>
      </c>
      <c r="E119" s="144" t="s">
        <v>526</v>
      </c>
      <c r="F119" s="144" t="s">
        <v>1653</v>
      </c>
      <c r="G119" s="144" t="s">
        <v>27</v>
      </c>
      <c r="H119" s="146">
        <v>0.83333333333333337</v>
      </c>
      <c r="I119" s="144" t="s">
        <v>12</v>
      </c>
      <c r="J119" s="147">
        <v>45757</v>
      </c>
      <c r="K119" s="147">
        <v>45898</v>
      </c>
      <c r="L119" s="143">
        <f>IF(ISBLANK(DATA[[#This Row],[DISCHARGE DATE]]), "NO DATE", DATA[[#This Row],[DISCHARGE DATE]]-DATA[[#This Row],[ADMISSION DATE]]+1)</f>
        <v>142</v>
      </c>
      <c r="M119" s="148">
        <v>350</v>
      </c>
      <c r="N119" s="148">
        <v>2540</v>
      </c>
      <c r="O119" s="149" t="s">
        <v>527</v>
      </c>
      <c r="P119" s="149" t="s">
        <v>528</v>
      </c>
      <c r="Q119" s="150">
        <f>IF(DATA[[#This Row],[TYPE]]="Normal", 13 * DATA[[#This Row],[STORAGE DAYS]], 20 * DATA[[#This Row],[STORAGE DAYS]])</f>
        <v>2840</v>
      </c>
      <c r="R119" s="150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389</v>
      </c>
    </row>
    <row r="120" spans="1:20" s="26" customFormat="1" ht="21" x14ac:dyDescent="0.25">
      <c r="A120" s="142" t="s">
        <v>529</v>
      </c>
      <c r="B120" s="143" t="s">
        <v>530</v>
      </c>
      <c r="C120" s="143">
        <v>26</v>
      </c>
      <c r="D120" s="144" t="s">
        <v>4</v>
      </c>
      <c r="E120" s="144" t="s">
        <v>531</v>
      </c>
      <c r="F120" s="144" t="s">
        <v>1515</v>
      </c>
      <c r="G120" s="144" t="s">
        <v>27</v>
      </c>
      <c r="H120" s="146">
        <v>0.95833333333333337</v>
      </c>
      <c r="I120" s="144" t="s">
        <v>12</v>
      </c>
      <c r="J120" s="147">
        <v>45757</v>
      </c>
      <c r="K120" s="147">
        <v>45835</v>
      </c>
      <c r="L120" s="143">
        <f>IF(ISBLANK(DATA[[#This Row],[DISCHARGE DATE]]), "NO DATE", DATA[[#This Row],[DISCHARGE DATE]]-DATA[[#This Row],[ADMISSION DATE]]+1)</f>
        <v>79</v>
      </c>
      <c r="M120" s="148">
        <v>350</v>
      </c>
      <c r="N120" s="148">
        <v>1580</v>
      </c>
      <c r="O120" s="149" t="s">
        <v>532</v>
      </c>
      <c r="P120" s="149" t="s">
        <v>533</v>
      </c>
      <c r="Q120" s="150">
        <f>IF(DATA[[#This Row],[TYPE]]="Normal", 13 * DATA[[#This Row],[STORAGE DAYS]], 20 * DATA[[#This Row],[STORAGE DAYS]])</f>
        <v>1580</v>
      </c>
      <c r="R120" s="150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389</v>
      </c>
    </row>
    <row r="121" spans="1:20" s="26" customFormat="1" ht="21" x14ac:dyDescent="0.25">
      <c r="A121" s="142" t="s">
        <v>534</v>
      </c>
      <c r="B121" s="143" t="s">
        <v>535</v>
      </c>
      <c r="C121" s="143">
        <v>125</v>
      </c>
      <c r="D121" s="144" t="s">
        <v>4</v>
      </c>
      <c r="E121" s="144" t="s">
        <v>536</v>
      </c>
      <c r="F121" s="144" t="s">
        <v>1654</v>
      </c>
      <c r="G121" s="144" t="s">
        <v>27</v>
      </c>
      <c r="H121" s="146">
        <v>0.61319444444444449</v>
      </c>
      <c r="I121" s="144" t="s">
        <v>10</v>
      </c>
      <c r="J121" s="147">
        <v>45758</v>
      </c>
      <c r="K121" s="147">
        <v>45828</v>
      </c>
      <c r="L121" s="143">
        <f>IF(ISBLANK(DATA[[#This Row],[DISCHARGE DATE]]), "NO DATE", DATA[[#This Row],[DISCHARGE DATE]]-DATA[[#This Row],[ADMISSION DATE]]+1)</f>
        <v>71</v>
      </c>
      <c r="M121" s="148">
        <v>350</v>
      </c>
      <c r="N121" s="148">
        <v>923</v>
      </c>
      <c r="O121" s="149" t="s">
        <v>537</v>
      </c>
      <c r="P121" s="149" t="s">
        <v>538</v>
      </c>
      <c r="Q121" s="150">
        <f>IF(DATA[[#This Row],[TYPE]]="Normal", 13 * DATA[[#This Row],[STORAGE DAYS]], 20 * DATA[[#This Row],[STORAGE DAYS]])</f>
        <v>923</v>
      </c>
      <c r="R121" s="150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389</v>
      </c>
    </row>
    <row r="122" spans="1:20" s="26" customFormat="1" ht="21" x14ac:dyDescent="0.25">
      <c r="A122" s="142" t="s">
        <v>539</v>
      </c>
      <c r="B122" s="143" t="s">
        <v>540</v>
      </c>
      <c r="C122" s="143">
        <v>66</v>
      </c>
      <c r="D122" s="144" t="s">
        <v>5</v>
      </c>
      <c r="E122" s="144" t="s">
        <v>541</v>
      </c>
      <c r="F122" s="144" t="s">
        <v>1655</v>
      </c>
      <c r="G122" s="144" t="s">
        <v>27</v>
      </c>
      <c r="H122" s="146">
        <v>0.37847222222222221</v>
      </c>
      <c r="I122" s="144" t="s">
        <v>10</v>
      </c>
      <c r="J122" s="147">
        <v>45761</v>
      </c>
      <c r="K122" s="147">
        <v>45762</v>
      </c>
      <c r="L122" s="143">
        <f>IF(ISBLANK(DATA[[#This Row],[DISCHARGE DATE]]), "NO DATE", DATA[[#This Row],[DISCHARGE DATE]]-DATA[[#This Row],[ADMISSION DATE]]+1)</f>
        <v>2</v>
      </c>
      <c r="M122" s="148">
        <v>350</v>
      </c>
      <c r="N122" s="148">
        <v>26</v>
      </c>
      <c r="O122" s="149" t="s">
        <v>542</v>
      </c>
      <c r="P122" s="149" t="s">
        <v>348</v>
      </c>
      <c r="Q122" s="150">
        <f>IF(DATA[[#This Row],[TYPE]]="Normal", 13 * DATA[[#This Row],[STORAGE DAYS]], 20 * DATA[[#This Row],[STORAGE DAYS]])</f>
        <v>26</v>
      </c>
      <c r="R122" s="150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389</v>
      </c>
    </row>
    <row r="123" spans="1:20" s="26" customFormat="1" ht="21" x14ac:dyDescent="0.25">
      <c r="A123" s="142" t="s">
        <v>543</v>
      </c>
      <c r="B123" s="143" t="s">
        <v>544</v>
      </c>
      <c r="C123" s="143">
        <v>74</v>
      </c>
      <c r="D123" s="144" t="s">
        <v>5</v>
      </c>
      <c r="E123" s="144" t="s">
        <v>545</v>
      </c>
      <c r="F123" s="144" t="s">
        <v>1656</v>
      </c>
      <c r="G123" s="144" t="s">
        <v>26</v>
      </c>
      <c r="H123" s="146">
        <v>0.66666666666666663</v>
      </c>
      <c r="I123" s="144" t="s">
        <v>10</v>
      </c>
      <c r="J123" s="147">
        <v>45758</v>
      </c>
      <c r="K123" s="147">
        <v>45989</v>
      </c>
      <c r="L123" s="143">
        <f>IF(ISBLANK(DATA[[#This Row],[DISCHARGE DATE]]), "NO DATE", DATA[[#This Row],[DISCHARGE DATE]]-DATA[[#This Row],[ADMISSION DATE]]+1)</f>
        <v>232</v>
      </c>
      <c r="M123" s="148">
        <v>350</v>
      </c>
      <c r="N123" s="148">
        <v>3016</v>
      </c>
      <c r="O123" s="149" t="s">
        <v>546</v>
      </c>
      <c r="P123" s="149" t="s">
        <v>1191</v>
      </c>
      <c r="Q123" s="150">
        <f>IF(DATA[[#This Row],[TYPE]]="Normal", 13 * DATA[[#This Row],[STORAGE DAYS]], 20 * DATA[[#This Row],[STORAGE DAYS]])</f>
        <v>3016</v>
      </c>
      <c r="R123" s="150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389</v>
      </c>
    </row>
    <row r="124" spans="1:20" s="26" customFormat="1" ht="21" x14ac:dyDescent="0.25">
      <c r="A124" s="142" t="s">
        <v>547</v>
      </c>
      <c r="B124" s="143" t="s">
        <v>548</v>
      </c>
      <c r="C124" s="143">
        <v>62</v>
      </c>
      <c r="D124" s="144" t="s">
        <v>5</v>
      </c>
      <c r="E124" s="144" t="s">
        <v>549</v>
      </c>
      <c r="F124" s="144" t="s">
        <v>1657</v>
      </c>
      <c r="G124" s="144" t="s">
        <v>27</v>
      </c>
      <c r="H124" s="146">
        <v>0.79166666666666663</v>
      </c>
      <c r="I124" s="144" t="s">
        <v>10</v>
      </c>
      <c r="J124" s="147">
        <v>45760</v>
      </c>
      <c r="K124" s="147">
        <v>45898</v>
      </c>
      <c r="L124" s="143">
        <f>IF(ISBLANK(DATA[[#This Row],[DISCHARGE DATE]]), "NO DATE", DATA[[#This Row],[DISCHARGE DATE]]-DATA[[#This Row],[ADMISSION DATE]]+1)</f>
        <v>139</v>
      </c>
      <c r="M124" s="148">
        <v>350</v>
      </c>
      <c r="N124" s="148">
        <v>1807</v>
      </c>
      <c r="O124" s="149" t="s">
        <v>550</v>
      </c>
      <c r="P124" s="149" t="s">
        <v>551</v>
      </c>
      <c r="Q124" s="150">
        <f>IF(DATA[[#This Row],[TYPE]]="Normal", 13 * DATA[[#This Row],[STORAGE DAYS]], 20 * DATA[[#This Row],[STORAGE DAYS]])</f>
        <v>1807</v>
      </c>
      <c r="R124" s="150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389</v>
      </c>
    </row>
    <row r="125" spans="1:20" s="26" customFormat="1" ht="21" x14ac:dyDescent="0.25">
      <c r="A125" s="142" t="s">
        <v>552</v>
      </c>
      <c r="B125" s="143" t="s">
        <v>553</v>
      </c>
      <c r="C125" s="143">
        <v>60</v>
      </c>
      <c r="D125" s="144" t="s">
        <v>4</v>
      </c>
      <c r="E125" s="144" t="s">
        <v>554</v>
      </c>
      <c r="F125" s="144" t="s">
        <v>1658</v>
      </c>
      <c r="G125" s="144" t="s">
        <v>27</v>
      </c>
      <c r="H125" s="146">
        <v>0.625</v>
      </c>
      <c r="I125" s="144" t="s">
        <v>12</v>
      </c>
      <c r="J125" s="147">
        <v>45761</v>
      </c>
      <c r="K125" s="147">
        <v>45989</v>
      </c>
      <c r="L125" s="143">
        <f>IF(ISBLANK(DATA[[#This Row],[DISCHARGE DATE]]), "NO DATE", DATA[[#This Row],[DISCHARGE DATE]]-DATA[[#This Row],[ADMISSION DATE]]+1)</f>
        <v>229</v>
      </c>
      <c r="M125" s="148">
        <v>350</v>
      </c>
      <c r="N125" s="148">
        <v>4380</v>
      </c>
      <c r="O125" s="149" t="s">
        <v>555</v>
      </c>
      <c r="P125" s="149" t="s">
        <v>467</v>
      </c>
      <c r="Q125" s="150">
        <f>IF(DATA[[#This Row],[TYPE]]="Normal", 13 * DATA[[#This Row],[STORAGE DAYS]], 20 * DATA[[#This Row],[STORAGE DAYS]])</f>
        <v>4580</v>
      </c>
      <c r="R125" s="150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389</v>
      </c>
    </row>
    <row r="126" spans="1:20" s="26" customFormat="1" ht="21" x14ac:dyDescent="0.25">
      <c r="A126" s="142" t="s">
        <v>556</v>
      </c>
      <c r="B126" s="143" t="s">
        <v>557</v>
      </c>
      <c r="C126" s="143">
        <v>46</v>
      </c>
      <c r="D126" s="144" t="s">
        <v>4</v>
      </c>
      <c r="E126" s="144" t="s">
        <v>558</v>
      </c>
      <c r="F126" s="144" t="s">
        <v>1659</v>
      </c>
      <c r="G126" s="144" t="s">
        <v>21</v>
      </c>
      <c r="H126" s="146">
        <v>0.66666666666666663</v>
      </c>
      <c r="I126" s="144" t="s">
        <v>12</v>
      </c>
      <c r="J126" s="147">
        <v>45761</v>
      </c>
      <c r="K126" s="147">
        <v>45870</v>
      </c>
      <c r="L126" s="143">
        <f>IF(ISBLANK(DATA[[#This Row],[DISCHARGE DATE]]), "NO DATE", DATA[[#This Row],[DISCHARGE DATE]]-DATA[[#This Row],[ADMISSION DATE]]+1)</f>
        <v>110</v>
      </c>
      <c r="M126" s="148">
        <v>350</v>
      </c>
      <c r="N126" s="148">
        <v>2200</v>
      </c>
      <c r="O126" s="149" t="s">
        <v>559</v>
      </c>
      <c r="P126" s="149" t="s">
        <v>560</v>
      </c>
      <c r="Q126" s="150">
        <f>IF(DATA[[#This Row],[TYPE]]="Normal", 13 * DATA[[#This Row],[STORAGE DAYS]], 20 * DATA[[#This Row],[STORAGE DAYS]])</f>
        <v>2200</v>
      </c>
      <c r="R126" s="150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389</v>
      </c>
    </row>
    <row r="127" spans="1:20" s="26" customFormat="1" ht="21" x14ac:dyDescent="0.25">
      <c r="A127" s="142" t="s">
        <v>561</v>
      </c>
      <c r="B127" s="143" t="s">
        <v>562</v>
      </c>
      <c r="C127" s="143">
        <v>15</v>
      </c>
      <c r="D127" s="144" t="s">
        <v>4</v>
      </c>
      <c r="E127" s="144" t="s">
        <v>563</v>
      </c>
      <c r="F127" s="144" t="s">
        <v>1660</v>
      </c>
      <c r="G127" s="144" t="s">
        <v>27</v>
      </c>
      <c r="H127" s="146">
        <v>0.61458333333333337</v>
      </c>
      <c r="I127" s="144" t="s">
        <v>10</v>
      </c>
      <c r="J127" s="147">
        <v>45762</v>
      </c>
      <c r="K127" s="147">
        <v>45771</v>
      </c>
      <c r="L127" s="143">
        <f>IF(ISBLANK(DATA[[#This Row],[DISCHARGE DATE]]), "NO DATE", DATA[[#This Row],[DISCHARGE DATE]]-DATA[[#This Row],[ADMISSION DATE]]+1)</f>
        <v>10</v>
      </c>
      <c r="M127" s="148">
        <v>350</v>
      </c>
      <c r="N127" s="148">
        <v>130</v>
      </c>
      <c r="O127" s="149" t="s">
        <v>564</v>
      </c>
      <c r="P127" s="149" t="s">
        <v>353</v>
      </c>
      <c r="Q127" s="150">
        <f>IF(DATA[[#This Row],[TYPE]]="Normal", 13 * DATA[[#This Row],[STORAGE DAYS]], 20 * DATA[[#This Row],[STORAGE DAYS]])</f>
        <v>130</v>
      </c>
      <c r="R127" s="150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389</v>
      </c>
    </row>
    <row r="128" spans="1:20" s="26" customFormat="1" ht="21" x14ac:dyDescent="0.25">
      <c r="A128" s="142" t="s">
        <v>565</v>
      </c>
      <c r="B128" s="143" t="s">
        <v>566</v>
      </c>
      <c r="C128" s="143">
        <v>54</v>
      </c>
      <c r="D128" s="144" t="s">
        <v>4</v>
      </c>
      <c r="E128" s="144" t="s">
        <v>526</v>
      </c>
      <c r="F128" s="144" t="s">
        <v>1653</v>
      </c>
      <c r="G128" s="144" t="s">
        <v>23</v>
      </c>
      <c r="H128" s="146">
        <v>0.4201388888888889</v>
      </c>
      <c r="I128" s="144" t="s">
        <v>12</v>
      </c>
      <c r="J128" s="147">
        <v>45763</v>
      </c>
      <c r="K128" s="147">
        <v>45959</v>
      </c>
      <c r="L128" s="143">
        <f>IF(ISBLANK(DATA[[#This Row],[DISCHARGE DATE]]), "NO DATE", DATA[[#This Row],[DISCHARGE DATE]]-DATA[[#This Row],[ADMISSION DATE]]+1)</f>
        <v>197</v>
      </c>
      <c r="M128" s="148">
        <v>350</v>
      </c>
      <c r="N128" s="148">
        <v>3940</v>
      </c>
      <c r="O128" s="149" t="s">
        <v>567</v>
      </c>
      <c r="P128" s="149" t="s">
        <v>1095</v>
      </c>
      <c r="Q128" s="150">
        <f>IF(DATA[[#This Row],[TYPE]]="Normal", 13 * DATA[[#This Row],[STORAGE DAYS]], 20 * DATA[[#This Row],[STORAGE DAYS]])</f>
        <v>3940</v>
      </c>
      <c r="R128" s="150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389</v>
      </c>
    </row>
    <row r="129" spans="1:20" s="26" customFormat="1" ht="21" x14ac:dyDescent="0.25">
      <c r="A129" s="142" t="s">
        <v>568</v>
      </c>
      <c r="B129" s="143" t="s">
        <v>569</v>
      </c>
      <c r="C129" s="143">
        <v>28</v>
      </c>
      <c r="D129" s="144" t="s">
        <v>5</v>
      </c>
      <c r="E129" s="144" t="s">
        <v>570</v>
      </c>
      <c r="F129" s="144" t="s">
        <v>1661</v>
      </c>
      <c r="G129" s="144" t="s">
        <v>24</v>
      </c>
      <c r="H129" s="146">
        <v>0.60416666666666663</v>
      </c>
      <c r="I129" s="144" t="s">
        <v>10</v>
      </c>
      <c r="J129" s="147">
        <v>45763</v>
      </c>
      <c r="K129" s="147">
        <v>45807</v>
      </c>
      <c r="L129" s="143">
        <f>IF(ISBLANK(DATA[[#This Row],[DISCHARGE DATE]]), "NO DATE", DATA[[#This Row],[DISCHARGE DATE]]-DATA[[#This Row],[ADMISSION DATE]]+1)</f>
        <v>45</v>
      </c>
      <c r="M129" s="148">
        <v>350</v>
      </c>
      <c r="N129" s="148">
        <v>585</v>
      </c>
      <c r="O129" s="149" t="s">
        <v>571</v>
      </c>
      <c r="P129" s="149" t="s">
        <v>572</v>
      </c>
      <c r="Q129" s="150">
        <f>IF(DATA[[#This Row],[TYPE]]="Normal", 13 * DATA[[#This Row],[STORAGE DAYS]], 20 * DATA[[#This Row],[STORAGE DAYS]])</f>
        <v>585</v>
      </c>
      <c r="R129" s="150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389</v>
      </c>
    </row>
    <row r="130" spans="1:20" s="26" customFormat="1" ht="21" x14ac:dyDescent="0.25">
      <c r="A130" s="142" t="s">
        <v>573</v>
      </c>
      <c r="B130" s="143" t="s">
        <v>574</v>
      </c>
      <c r="C130" s="143">
        <v>75</v>
      </c>
      <c r="D130" s="144" t="s">
        <v>4</v>
      </c>
      <c r="E130" s="144" t="s">
        <v>575</v>
      </c>
      <c r="F130" s="144" t="s">
        <v>1662</v>
      </c>
      <c r="G130" s="144" t="s">
        <v>14</v>
      </c>
      <c r="H130" s="146">
        <v>0.9375</v>
      </c>
      <c r="I130" s="144" t="s">
        <v>10</v>
      </c>
      <c r="J130" s="147">
        <v>45763</v>
      </c>
      <c r="K130" s="147">
        <v>45982</v>
      </c>
      <c r="L130" s="143">
        <f>IF(ISBLANK(DATA[[#This Row],[DISCHARGE DATE]]), "NO DATE", DATA[[#This Row],[DISCHARGE DATE]]-DATA[[#This Row],[ADMISSION DATE]]+1)</f>
        <v>220</v>
      </c>
      <c r="M130" s="148">
        <v>350</v>
      </c>
      <c r="N130" s="148">
        <v>2760</v>
      </c>
      <c r="O130" s="149" t="s">
        <v>576</v>
      </c>
      <c r="P130" s="149" t="s">
        <v>1184</v>
      </c>
      <c r="Q130" s="150">
        <f>IF(DATA[[#This Row],[TYPE]]="Normal", 13 * DATA[[#This Row],[STORAGE DAYS]], 20 * DATA[[#This Row],[STORAGE DAYS]])</f>
        <v>2860</v>
      </c>
      <c r="R130" s="150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389</v>
      </c>
    </row>
    <row r="131" spans="1:20" s="26" customFormat="1" ht="21" x14ac:dyDescent="0.25">
      <c r="A131" s="142" t="s">
        <v>577</v>
      </c>
      <c r="B131" s="143" t="s">
        <v>578</v>
      </c>
      <c r="C131" s="143">
        <v>60</v>
      </c>
      <c r="D131" s="144" t="s">
        <v>5</v>
      </c>
      <c r="E131" s="144" t="s">
        <v>579</v>
      </c>
      <c r="F131" s="144" t="s">
        <v>1663</v>
      </c>
      <c r="G131" s="144" t="s">
        <v>27</v>
      </c>
      <c r="H131" s="146">
        <v>0.64583333333333337</v>
      </c>
      <c r="I131" s="144" t="s">
        <v>10</v>
      </c>
      <c r="J131" s="147">
        <v>45765</v>
      </c>
      <c r="K131" s="147">
        <v>45870</v>
      </c>
      <c r="L131" s="143">
        <f>IF(ISBLANK(DATA[[#This Row],[DISCHARGE DATE]]), "NO DATE", DATA[[#This Row],[DISCHARGE DATE]]-DATA[[#This Row],[ADMISSION DATE]]+1)</f>
        <v>106</v>
      </c>
      <c r="M131" s="148">
        <v>350</v>
      </c>
      <c r="N131" s="148">
        <v>1378</v>
      </c>
      <c r="O131" s="149" t="s">
        <v>580</v>
      </c>
      <c r="P131" s="149" t="s">
        <v>581</v>
      </c>
      <c r="Q131" s="150">
        <f>IF(DATA[[#This Row],[TYPE]]="Normal", 13 * DATA[[#This Row],[STORAGE DAYS]], 20 * DATA[[#This Row],[STORAGE DAYS]])</f>
        <v>1378</v>
      </c>
      <c r="R131" s="150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389</v>
      </c>
    </row>
    <row r="132" spans="1:20" s="26" customFormat="1" ht="21" x14ac:dyDescent="0.25">
      <c r="A132" s="142" t="s">
        <v>582</v>
      </c>
      <c r="B132" s="143" t="s">
        <v>583</v>
      </c>
      <c r="C132" s="143">
        <v>81</v>
      </c>
      <c r="D132" s="144" t="s">
        <v>5</v>
      </c>
      <c r="E132" s="144" t="s">
        <v>584</v>
      </c>
      <c r="F132" s="144" t="s">
        <v>1664</v>
      </c>
      <c r="G132" s="144" t="s">
        <v>9</v>
      </c>
      <c r="H132" s="146">
        <v>0.22916666666666666</v>
      </c>
      <c r="I132" s="144" t="s">
        <v>12</v>
      </c>
      <c r="J132" s="147">
        <v>45766</v>
      </c>
      <c r="K132" s="147">
        <v>45905</v>
      </c>
      <c r="L132" s="143">
        <f>IF(ISBLANK(DATA[[#This Row],[DISCHARGE DATE]]), "NO DATE", DATA[[#This Row],[DISCHARGE DATE]]-DATA[[#This Row],[ADMISSION DATE]]+1)</f>
        <v>140</v>
      </c>
      <c r="M132" s="148">
        <v>350</v>
      </c>
      <c r="N132" s="148">
        <v>2800</v>
      </c>
      <c r="O132" s="149" t="s">
        <v>585</v>
      </c>
      <c r="P132" s="149" t="s">
        <v>586</v>
      </c>
      <c r="Q132" s="150">
        <f>IF(DATA[[#This Row],[TYPE]]="Normal", 13 * DATA[[#This Row],[STORAGE DAYS]], 20 * DATA[[#This Row],[STORAGE DAYS]])</f>
        <v>2800</v>
      </c>
      <c r="R132" s="150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389</v>
      </c>
    </row>
    <row r="133" spans="1:20" s="26" customFormat="1" ht="21" x14ac:dyDescent="0.25">
      <c r="A133" s="142" t="s">
        <v>587</v>
      </c>
      <c r="B133" s="143" t="s">
        <v>588</v>
      </c>
      <c r="C133" s="143">
        <v>50</v>
      </c>
      <c r="D133" s="144" t="s">
        <v>5</v>
      </c>
      <c r="E133" s="144" t="s">
        <v>589</v>
      </c>
      <c r="F133" s="144" t="s">
        <v>1665</v>
      </c>
      <c r="G133" s="144" t="s">
        <v>26</v>
      </c>
      <c r="H133" s="146">
        <v>0.5625</v>
      </c>
      <c r="I133" s="144" t="s">
        <v>10</v>
      </c>
      <c r="J133" s="147">
        <v>45777</v>
      </c>
      <c r="K133" s="147">
        <v>45961</v>
      </c>
      <c r="L133" s="143">
        <f>IF(ISBLANK(DATA[[#This Row],[DISCHARGE DATE]]), "NO DATE", DATA[[#This Row],[DISCHARGE DATE]]-DATA[[#This Row],[ADMISSION DATE]]+1)</f>
        <v>185</v>
      </c>
      <c r="M133" s="148">
        <v>350</v>
      </c>
      <c r="N133" s="148">
        <v>2405</v>
      </c>
      <c r="O133" s="149" t="s">
        <v>590</v>
      </c>
      <c r="P133" s="149" t="s">
        <v>1152</v>
      </c>
      <c r="Q133" s="150">
        <f>IF(DATA[[#This Row],[TYPE]]="Normal", 13 * DATA[[#This Row],[STORAGE DAYS]], 20 * DATA[[#This Row],[STORAGE DAYS]])</f>
        <v>2405</v>
      </c>
      <c r="R133" s="150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389</v>
      </c>
    </row>
    <row r="134" spans="1:20" s="26" customFormat="1" ht="21" x14ac:dyDescent="0.25">
      <c r="A134" s="142" t="s">
        <v>591</v>
      </c>
      <c r="B134" s="143" t="s">
        <v>592</v>
      </c>
      <c r="C134" s="143">
        <v>45</v>
      </c>
      <c r="D134" s="144" t="s">
        <v>5</v>
      </c>
      <c r="E134" s="144" t="s">
        <v>593</v>
      </c>
      <c r="F134" s="144" t="s">
        <v>1583</v>
      </c>
      <c r="G134" s="144" t="s">
        <v>27</v>
      </c>
      <c r="H134" s="146">
        <v>0.40277777777777779</v>
      </c>
      <c r="I134" s="144" t="s">
        <v>10</v>
      </c>
      <c r="J134" s="147">
        <v>45778</v>
      </c>
      <c r="K134" s="147">
        <v>45849</v>
      </c>
      <c r="L134" s="143">
        <f>IF(ISBLANK(DATA[[#This Row],[DISCHARGE DATE]]), "NO DATE", DATA[[#This Row],[DISCHARGE DATE]]-DATA[[#This Row],[ADMISSION DATE]]+1)</f>
        <v>72</v>
      </c>
      <c r="M134" s="148">
        <v>350</v>
      </c>
      <c r="N134" s="148">
        <v>936</v>
      </c>
      <c r="O134" s="149" t="s">
        <v>594</v>
      </c>
      <c r="P134" s="149" t="s">
        <v>595</v>
      </c>
      <c r="Q134" s="150">
        <f>IF(DATA[[#This Row],[TYPE]]="Normal", 13 * DATA[[#This Row],[STORAGE DAYS]], 20 * DATA[[#This Row],[STORAGE DAYS]])</f>
        <v>936</v>
      </c>
      <c r="R134" s="150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389</v>
      </c>
    </row>
    <row r="135" spans="1:20" s="26" customFormat="1" ht="21" x14ac:dyDescent="0.25">
      <c r="A135" s="142" t="s">
        <v>596</v>
      </c>
      <c r="B135" s="143" t="s">
        <v>597</v>
      </c>
      <c r="C135" s="143">
        <v>78</v>
      </c>
      <c r="D135" s="144" t="s">
        <v>4</v>
      </c>
      <c r="E135" s="144" t="s">
        <v>598</v>
      </c>
      <c r="F135" s="144" t="s">
        <v>1666</v>
      </c>
      <c r="G135" s="144" t="s">
        <v>27</v>
      </c>
      <c r="H135" s="146">
        <v>0.91666666666666663</v>
      </c>
      <c r="I135" s="144" t="s">
        <v>12</v>
      </c>
      <c r="J135" s="147">
        <v>45779</v>
      </c>
      <c r="K135" s="147">
        <v>45933</v>
      </c>
      <c r="L135" s="143">
        <f>IF(ISBLANK(DATA[[#This Row],[DISCHARGE DATE]]), "NO DATE", DATA[[#This Row],[DISCHARGE DATE]]-DATA[[#This Row],[ADMISSION DATE]]+1)</f>
        <v>155</v>
      </c>
      <c r="M135" s="148">
        <v>350</v>
      </c>
      <c r="N135" s="148">
        <v>3100</v>
      </c>
      <c r="O135" s="149" t="s">
        <v>599</v>
      </c>
      <c r="P135" s="149" t="s">
        <v>817</v>
      </c>
      <c r="Q135" s="150">
        <f>IF(DATA[[#This Row],[TYPE]]="Normal", 13 * DATA[[#This Row],[STORAGE DAYS]], 20 * DATA[[#This Row],[STORAGE DAYS]])</f>
        <v>3100</v>
      </c>
      <c r="R135" s="150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389</v>
      </c>
    </row>
    <row r="136" spans="1:20" s="26" customFormat="1" ht="21" x14ac:dyDescent="0.25">
      <c r="A136" s="142" t="s">
        <v>600</v>
      </c>
      <c r="B136" s="143" t="s">
        <v>601</v>
      </c>
      <c r="C136" s="143">
        <v>81</v>
      </c>
      <c r="D136" s="144" t="s">
        <v>5</v>
      </c>
      <c r="E136" s="144" t="s">
        <v>602</v>
      </c>
      <c r="F136" s="144" t="s">
        <v>1667</v>
      </c>
      <c r="G136" s="144" t="s">
        <v>18</v>
      </c>
      <c r="H136" s="146">
        <v>0.83333333333333337</v>
      </c>
      <c r="I136" s="144" t="s">
        <v>12</v>
      </c>
      <c r="J136" s="147">
        <v>45781</v>
      </c>
      <c r="K136" s="147">
        <v>45961</v>
      </c>
      <c r="L136" s="143">
        <f>IF(ISBLANK(DATA[[#This Row],[DISCHARGE DATE]]), "NO DATE", DATA[[#This Row],[DISCHARGE DATE]]-DATA[[#This Row],[ADMISSION DATE]]+1)</f>
        <v>181</v>
      </c>
      <c r="M136" s="148">
        <v>350</v>
      </c>
      <c r="N136" s="148">
        <v>3620</v>
      </c>
      <c r="O136" s="149" t="s">
        <v>603</v>
      </c>
      <c r="P136" s="149" t="s">
        <v>1113</v>
      </c>
      <c r="Q136" s="150">
        <f>IF(DATA[[#This Row],[TYPE]]="Normal", 13 * DATA[[#This Row],[STORAGE DAYS]], 20 * DATA[[#This Row],[STORAGE DAYS]])</f>
        <v>3620</v>
      </c>
      <c r="R136" s="150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389</v>
      </c>
    </row>
    <row r="137" spans="1:20" s="26" customFormat="1" ht="21" x14ac:dyDescent="0.25">
      <c r="A137" s="142" t="s">
        <v>604</v>
      </c>
      <c r="B137" s="143" t="s">
        <v>605</v>
      </c>
      <c r="C137" s="143">
        <v>63</v>
      </c>
      <c r="D137" s="144" t="s">
        <v>4</v>
      </c>
      <c r="E137" s="144" t="s">
        <v>606</v>
      </c>
      <c r="F137" s="144" t="s">
        <v>1668</v>
      </c>
      <c r="G137" s="144" t="s">
        <v>27</v>
      </c>
      <c r="H137" s="146">
        <v>0.46180555555555558</v>
      </c>
      <c r="I137" s="144" t="s">
        <v>12</v>
      </c>
      <c r="J137" s="147">
        <v>45786</v>
      </c>
      <c r="K137" s="147">
        <v>45898</v>
      </c>
      <c r="L137" s="143">
        <f>IF(ISBLANK(DATA[[#This Row],[DISCHARGE DATE]]), "NO DATE", DATA[[#This Row],[DISCHARGE DATE]]-DATA[[#This Row],[ADMISSION DATE]]+1)</f>
        <v>113</v>
      </c>
      <c r="M137" s="148">
        <v>350</v>
      </c>
      <c r="N137" s="148">
        <v>2260</v>
      </c>
      <c r="O137" s="149" t="s">
        <v>607</v>
      </c>
      <c r="P137" s="149" t="s">
        <v>608</v>
      </c>
      <c r="Q137" s="150">
        <f>IF(DATA[[#This Row],[TYPE]]="Normal", 13 * DATA[[#This Row],[STORAGE DAYS]], 20 * DATA[[#This Row],[STORAGE DAYS]])</f>
        <v>2260</v>
      </c>
      <c r="R137" s="150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389</v>
      </c>
    </row>
    <row r="138" spans="1:20" s="26" customFormat="1" ht="21" x14ac:dyDescent="0.25">
      <c r="A138" s="142" t="s">
        <v>609</v>
      </c>
      <c r="B138" s="143" t="s">
        <v>610</v>
      </c>
      <c r="C138" s="143">
        <v>54</v>
      </c>
      <c r="D138" s="144" t="s">
        <v>4</v>
      </c>
      <c r="E138" s="144" t="s">
        <v>611</v>
      </c>
      <c r="F138" s="144" t="s">
        <v>1669</v>
      </c>
      <c r="G138" s="144" t="s">
        <v>23</v>
      </c>
      <c r="H138" s="146">
        <v>0.65277777777777779</v>
      </c>
      <c r="I138" s="144" t="s">
        <v>10</v>
      </c>
      <c r="J138" s="147">
        <v>45788</v>
      </c>
      <c r="K138" s="147">
        <v>45898</v>
      </c>
      <c r="L138" s="143">
        <f>IF(ISBLANK(DATA[[#This Row],[DISCHARGE DATE]]), "NO DATE", DATA[[#This Row],[DISCHARGE DATE]]-DATA[[#This Row],[ADMISSION DATE]]+1)</f>
        <v>111</v>
      </c>
      <c r="M138" s="148">
        <v>350</v>
      </c>
      <c r="N138" s="148">
        <v>1443</v>
      </c>
      <c r="O138" s="149" t="s">
        <v>612</v>
      </c>
      <c r="P138" s="149" t="s">
        <v>613</v>
      </c>
      <c r="Q138" s="150">
        <f>IF(DATA[[#This Row],[TYPE]]="Normal", 13 * DATA[[#This Row],[STORAGE DAYS]], 20 * DATA[[#This Row],[STORAGE DAYS]])</f>
        <v>1443</v>
      </c>
      <c r="R138" s="150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389</v>
      </c>
    </row>
    <row r="139" spans="1:20" s="26" customFormat="1" ht="21" x14ac:dyDescent="0.25">
      <c r="A139" s="142" t="s">
        <v>614</v>
      </c>
      <c r="B139" s="143" t="s">
        <v>615</v>
      </c>
      <c r="C139" s="143">
        <v>62</v>
      </c>
      <c r="D139" s="144" t="s">
        <v>5</v>
      </c>
      <c r="E139" s="144" t="s">
        <v>616</v>
      </c>
      <c r="F139" s="144" t="s">
        <v>1670</v>
      </c>
      <c r="G139" s="144" t="s">
        <v>20</v>
      </c>
      <c r="H139" s="146">
        <v>0.47916666666666669</v>
      </c>
      <c r="I139" s="144" t="s">
        <v>10</v>
      </c>
      <c r="J139" s="147">
        <v>45792</v>
      </c>
      <c r="K139" s="147">
        <v>45891</v>
      </c>
      <c r="L139" s="143">
        <f>IF(ISBLANK(DATA[[#This Row],[DISCHARGE DATE]]), "NO DATE", DATA[[#This Row],[DISCHARGE DATE]]-DATA[[#This Row],[ADMISSION DATE]]+1)</f>
        <v>100</v>
      </c>
      <c r="M139" s="148">
        <v>350</v>
      </c>
      <c r="N139" s="148">
        <v>1300</v>
      </c>
      <c r="O139" s="149" t="s">
        <v>617</v>
      </c>
      <c r="P139" s="149" t="s">
        <v>618</v>
      </c>
      <c r="Q139" s="150">
        <f>IF(DATA[[#This Row],[TYPE]]="Normal", 13 * DATA[[#This Row],[STORAGE DAYS]], 20 * DATA[[#This Row],[STORAGE DAYS]])</f>
        <v>1300</v>
      </c>
      <c r="R139" s="150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389</v>
      </c>
    </row>
    <row r="140" spans="1:20" s="26" customFormat="1" ht="21" x14ac:dyDescent="0.25">
      <c r="A140" s="142" t="s">
        <v>619</v>
      </c>
      <c r="B140" s="143" t="s">
        <v>620</v>
      </c>
      <c r="C140" s="143">
        <v>42</v>
      </c>
      <c r="D140" s="144" t="s">
        <v>5</v>
      </c>
      <c r="E140" s="144" t="s">
        <v>621</v>
      </c>
      <c r="F140" s="144" t="s">
        <v>1671</v>
      </c>
      <c r="G140" s="144" t="s">
        <v>27</v>
      </c>
      <c r="H140" s="146">
        <v>0.625</v>
      </c>
      <c r="I140" s="144" t="s">
        <v>10</v>
      </c>
      <c r="J140" s="147">
        <v>45797</v>
      </c>
      <c r="K140" s="147">
        <v>45870</v>
      </c>
      <c r="L140" s="143">
        <f>IF(ISBLANK(DATA[[#This Row],[DISCHARGE DATE]]), "NO DATE", DATA[[#This Row],[DISCHARGE DATE]]-DATA[[#This Row],[ADMISSION DATE]]+1)</f>
        <v>74</v>
      </c>
      <c r="M140" s="148">
        <v>350</v>
      </c>
      <c r="N140" s="148">
        <v>962</v>
      </c>
      <c r="O140" s="149" t="s">
        <v>622</v>
      </c>
      <c r="P140" s="149" t="s">
        <v>623</v>
      </c>
      <c r="Q140" s="150">
        <f>IF(DATA[[#This Row],[TYPE]]="Normal", 13 * DATA[[#This Row],[STORAGE DAYS]], 20 * DATA[[#This Row],[STORAGE DAYS]])</f>
        <v>962</v>
      </c>
      <c r="R140" s="150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389</v>
      </c>
    </row>
    <row r="141" spans="1:20" s="26" customFormat="1" ht="21" x14ac:dyDescent="0.25">
      <c r="A141" s="142" t="s">
        <v>624</v>
      </c>
      <c r="B141" s="143" t="s">
        <v>625</v>
      </c>
      <c r="C141" s="143">
        <v>59</v>
      </c>
      <c r="D141" s="144" t="s">
        <v>4</v>
      </c>
      <c r="E141" s="144" t="s">
        <v>589</v>
      </c>
      <c r="F141" s="144" t="s">
        <v>1672</v>
      </c>
      <c r="G141" s="144" t="s">
        <v>27</v>
      </c>
      <c r="H141" s="146">
        <v>0.5</v>
      </c>
      <c r="I141" s="144" t="s">
        <v>10</v>
      </c>
      <c r="J141" s="147">
        <v>45798</v>
      </c>
      <c r="K141" s="147">
        <v>45961</v>
      </c>
      <c r="L141" s="143">
        <f>IF(ISBLANK(DATA[[#This Row],[DISCHARGE DATE]]), "NO DATE", DATA[[#This Row],[DISCHARGE DATE]]-DATA[[#This Row],[ADMISSION DATE]]+1)</f>
        <v>164</v>
      </c>
      <c r="M141" s="148">
        <v>350</v>
      </c>
      <c r="N141" s="148">
        <v>2132</v>
      </c>
      <c r="O141" s="149" t="s">
        <v>626</v>
      </c>
      <c r="P141" s="149" t="s">
        <v>1114</v>
      </c>
      <c r="Q141" s="150">
        <f>IF(DATA[[#This Row],[TYPE]]="Normal", 13 * DATA[[#This Row],[STORAGE DAYS]], 20 * DATA[[#This Row],[STORAGE DAYS]])</f>
        <v>2132</v>
      </c>
      <c r="R141" s="150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389</v>
      </c>
    </row>
    <row r="142" spans="1:20" s="26" customFormat="1" ht="21" x14ac:dyDescent="0.25">
      <c r="A142" s="142" t="s">
        <v>627</v>
      </c>
      <c r="B142" s="143" t="s">
        <v>628</v>
      </c>
      <c r="C142" s="143">
        <v>60</v>
      </c>
      <c r="D142" s="144" t="s">
        <v>4</v>
      </c>
      <c r="E142" s="144" t="s">
        <v>629</v>
      </c>
      <c r="F142" s="144" t="s">
        <v>1051</v>
      </c>
      <c r="G142" s="144" t="s">
        <v>7</v>
      </c>
      <c r="H142" s="146">
        <v>0.58333333333333337</v>
      </c>
      <c r="I142" s="144" t="s">
        <v>10</v>
      </c>
      <c r="J142" s="147">
        <v>45799</v>
      </c>
      <c r="K142" s="147">
        <v>45961</v>
      </c>
      <c r="L142" s="143">
        <f>IF(ISBLANK(DATA[[#This Row],[DISCHARGE DATE]]), "NO DATE", DATA[[#This Row],[DISCHARGE DATE]]-DATA[[#This Row],[ADMISSION DATE]]+1)</f>
        <v>163</v>
      </c>
      <c r="M142" s="148">
        <v>350</v>
      </c>
      <c r="N142" s="148">
        <v>2002</v>
      </c>
      <c r="O142" s="149" t="s">
        <v>630</v>
      </c>
      <c r="P142" s="149" t="s">
        <v>1097</v>
      </c>
      <c r="Q142" s="150">
        <f>IF(DATA[[#This Row],[TYPE]]="Normal", 13 * DATA[[#This Row],[STORAGE DAYS]], 20 * DATA[[#This Row],[STORAGE DAYS]])</f>
        <v>2119</v>
      </c>
      <c r="R142" s="150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389</v>
      </c>
    </row>
    <row r="143" spans="1:20" s="26" customFormat="1" ht="21" x14ac:dyDescent="0.25">
      <c r="A143" s="142" t="s">
        <v>631</v>
      </c>
      <c r="B143" s="143" t="s">
        <v>632</v>
      </c>
      <c r="C143" s="143">
        <v>61</v>
      </c>
      <c r="D143" s="144" t="s">
        <v>5</v>
      </c>
      <c r="E143" s="144" t="s">
        <v>633</v>
      </c>
      <c r="F143" s="144" t="s">
        <v>1673</v>
      </c>
      <c r="G143" s="144" t="s">
        <v>27</v>
      </c>
      <c r="H143" s="146">
        <v>0.3125</v>
      </c>
      <c r="I143" s="144" t="s">
        <v>10</v>
      </c>
      <c r="J143" s="147">
        <v>45800</v>
      </c>
      <c r="K143" s="147">
        <v>45849</v>
      </c>
      <c r="L143" s="143">
        <f>IF(ISBLANK(DATA[[#This Row],[DISCHARGE DATE]]), "NO DATE", DATA[[#This Row],[DISCHARGE DATE]]-DATA[[#This Row],[ADMISSION DATE]]+1)</f>
        <v>50</v>
      </c>
      <c r="M143" s="148">
        <v>350</v>
      </c>
      <c r="N143" s="148">
        <v>650</v>
      </c>
      <c r="O143" s="149" t="s">
        <v>634</v>
      </c>
      <c r="P143" s="149" t="s">
        <v>635</v>
      </c>
      <c r="Q143" s="150">
        <f>IF(DATA[[#This Row],[TYPE]]="Normal", 13 * DATA[[#This Row],[STORAGE DAYS]], 20 * DATA[[#This Row],[STORAGE DAYS]])</f>
        <v>650</v>
      </c>
      <c r="R143" s="150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389</v>
      </c>
    </row>
    <row r="144" spans="1:20" s="26" customFormat="1" ht="21" x14ac:dyDescent="0.25">
      <c r="A144" s="142" t="s">
        <v>636</v>
      </c>
      <c r="B144" s="143" t="s">
        <v>637</v>
      </c>
      <c r="C144" s="143">
        <v>65</v>
      </c>
      <c r="D144" s="144" t="s">
        <v>5</v>
      </c>
      <c r="E144" s="144" t="s">
        <v>638</v>
      </c>
      <c r="F144" s="144" t="s">
        <v>1674</v>
      </c>
      <c r="G144" s="144" t="s">
        <v>27</v>
      </c>
      <c r="H144" s="146">
        <v>0.33333333333333331</v>
      </c>
      <c r="I144" s="144" t="s">
        <v>12</v>
      </c>
      <c r="J144" s="147">
        <v>45802</v>
      </c>
      <c r="K144" s="147">
        <v>45989</v>
      </c>
      <c r="L144" s="143">
        <f>IF(ISBLANK(DATA[[#This Row],[DISCHARGE DATE]]), "NO DATE", DATA[[#This Row],[DISCHARGE DATE]]-DATA[[#This Row],[ADMISSION DATE]]+1)</f>
        <v>188</v>
      </c>
      <c r="M144" s="148">
        <v>350</v>
      </c>
      <c r="N144" s="148">
        <v>3560</v>
      </c>
      <c r="O144" s="149" t="s">
        <v>639</v>
      </c>
      <c r="P144" s="149" t="s">
        <v>499</v>
      </c>
      <c r="Q144" s="150">
        <f>IF(DATA[[#This Row],[TYPE]]="Normal", 13 * DATA[[#This Row],[STORAGE DAYS]], 20 * DATA[[#This Row],[STORAGE DAYS]])</f>
        <v>3760</v>
      </c>
      <c r="R144" s="150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389</v>
      </c>
    </row>
    <row r="145" spans="1:20" s="26" customFormat="1" ht="21" x14ac:dyDescent="0.25">
      <c r="A145" s="142" t="s">
        <v>640</v>
      </c>
      <c r="B145" s="143" t="s">
        <v>641</v>
      </c>
      <c r="C145" s="143">
        <v>66</v>
      </c>
      <c r="D145" s="144" t="s">
        <v>4</v>
      </c>
      <c r="E145" s="144" t="s">
        <v>642</v>
      </c>
      <c r="F145" s="144" t="s">
        <v>1675</v>
      </c>
      <c r="G145" s="144" t="s">
        <v>27</v>
      </c>
      <c r="H145" s="146">
        <v>0.29166666666666669</v>
      </c>
      <c r="I145" s="144" t="s">
        <v>12</v>
      </c>
      <c r="J145" s="147">
        <v>45805</v>
      </c>
      <c r="K145" s="147">
        <v>45898</v>
      </c>
      <c r="L145" s="143">
        <f>IF(ISBLANK(DATA[[#This Row],[DISCHARGE DATE]]), "NO DATE", DATA[[#This Row],[DISCHARGE DATE]]-DATA[[#This Row],[ADMISSION DATE]]+1)</f>
        <v>94</v>
      </c>
      <c r="M145" s="148">
        <v>350</v>
      </c>
      <c r="N145" s="148">
        <v>1380</v>
      </c>
      <c r="O145" s="149" t="s">
        <v>643</v>
      </c>
      <c r="P145" s="149" t="s">
        <v>644</v>
      </c>
      <c r="Q145" s="150">
        <f>IF(DATA[[#This Row],[TYPE]]="Normal", 13 * DATA[[#This Row],[STORAGE DAYS]], 20 * DATA[[#This Row],[STORAGE DAYS]])</f>
        <v>1880</v>
      </c>
      <c r="R145" s="150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389</v>
      </c>
    </row>
    <row r="146" spans="1:20" s="26" customFormat="1" ht="21" x14ac:dyDescent="0.25">
      <c r="A146" s="142" t="s">
        <v>645</v>
      </c>
      <c r="B146" s="143" t="s">
        <v>646</v>
      </c>
      <c r="C146" s="143">
        <v>65</v>
      </c>
      <c r="D146" s="144" t="s">
        <v>5</v>
      </c>
      <c r="E146" s="144" t="s">
        <v>647</v>
      </c>
      <c r="F146" s="144" t="s">
        <v>1676</v>
      </c>
      <c r="G146" s="144" t="s">
        <v>16</v>
      </c>
      <c r="H146" s="146">
        <v>0.72916666666666663</v>
      </c>
      <c r="I146" s="144" t="s">
        <v>10</v>
      </c>
      <c r="J146" s="147">
        <v>45806</v>
      </c>
      <c r="K146" s="147">
        <v>45891</v>
      </c>
      <c r="L146" s="143">
        <f>IF(ISBLANK(DATA[[#This Row],[DISCHARGE DATE]]), "NO DATE", DATA[[#This Row],[DISCHARGE DATE]]-DATA[[#This Row],[ADMISSION DATE]]+1)</f>
        <v>86</v>
      </c>
      <c r="M146" s="148">
        <v>350</v>
      </c>
      <c r="N146" s="148">
        <v>1118</v>
      </c>
      <c r="O146" s="149" t="s">
        <v>648</v>
      </c>
      <c r="P146" s="149" t="s">
        <v>649</v>
      </c>
      <c r="Q146" s="150">
        <f>IF(DATA[[#This Row],[TYPE]]="Normal", 13 * DATA[[#This Row],[STORAGE DAYS]], 20 * DATA[[#This Row],[STORAGE DAYS]])</f>
        <v>1118</v>
      </c>
      <c r="R146" s="150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389</v>
      </c>
    </row>
    <row r="147" spans="1:20" s="26" customFormat="1" ht="21" x14ac:dyDescent="0.25">
      <c r="A147" s="142" t="s">
        <v>650</v>
      </c>
      <c r="B147" s="143" t="s">
        <v>651</v>
      </c>
      <c r="C147" s="143">
        <v>63</v>
      </c>
      <c r="D147" s="144" t="s">
        <v>5</v>
      </c>
      <c r="E147" s="144" t="s">
        <v>652</v>
      </c>
      <c r="F147" s="144" t="s">
        <v>1677</v>
      </c>
      <c r="G147" s="144" t="s">
        <v>27</v>
      </c>
      <c r="H147" s="146">
        <v>0.89583333333333337</v>
      </c>
      <c r="I147" s="144" t="s">
        <v>10</v>
      </c>
      <c r="J147" s="147">
        <v>45809</v>
      </c>
      <c r="K147" s="147">
        <v>45849</v>
      </c>
      <c r="L147" s="143">
        <f>IF(ISBLANK(DATA[[#This Row],[DISCHARGE DATE]]), "NO DATE", DATA[[#This Row],[DISCHARGE DATE]]-DATA[[#This Row],[ADMISSION DATE]]+1)</f>
        <v>41</v>
      </c>
      <c r="M147" s="148">
        <v>350</v>
      </c>
      <c r="N147" s="148">
        <v>533</v>
      </c>
      <c r="O147" s="149" t="s">
        <v>653</v>
      </c>
      <c r="P147" s="149" t="s">
        <v>654</v>
      </c>
      <c r="Q147" s="150">
        <f>IF(DATA[[#This Row],[TYPE]]="Normal", 13 * DATA[[#This Row],[STORAGE DAYS]], 20 * DATA[[#This Row],[STORAGE DAYS]])</f>
        <v>533</v>
      </c>
      <c r="R147" s="150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389</v>
      </c>
    </row>
    <row r="148" spans="1:20" s="26" customFormat="1" ht="21" x14ac:dyDescent="0.25">
      <c r="A148" s="142" t="s">
        <v>655</v>
      </c>
      <c r="B148" s="143" t="s">
        <v>656</v>
      </c>
      <c r="C148" s="143">
        <v>80</v>
      </c>
      <c r="D148" s="144" t="s">
        <v>4</v>
      </c>
      <c r="E148" s="144" t="s">
        <v>657</v>
      </c>
      <c r="F148" s="144" t="s">
        <v>1678</v>
      </c>
      <c r="G148" s="144" t="s">
        <v>25</v>
      </c>
      <c r="H148" s="146">
        <v>0.5625</v>
      </c>
      <c r="I148" s="144" t="s">
        <v>12</v>
      </c>
      <c r="J148" s="147">
        <v>45808</v>
      </c>
      <c r="K148" s="147">
        <v>45961</v>
      </c>
      <c r="L148" s="143">
        <f>IF(ISBLANK(DATA[[#This Row],[DISCHARGE DATE]]), "NO DATE", DATA[[#This Row],[DISCHARGE DATE]]-DATA[[#This Row],[ADMISSION DATE]]+1)</f>
        <v>154</v>
      </c>
      <c r="M148" s="148">
        <v>350</v>
      </c>
      <c r="N148" s="148">
        <v>3080</v>
      </c>
      <c r="O148" s="149" t="s">
        <v>436</v>
      </c>
      <c r="P148" s="149" t="s">
        <v>1143</v>
      </c>
      <c r="Q148" s="150">
        <f>IF(DATA[[#This Row],[TYPE]]="Normal", 13 * DATA[[#This Row],[STORAGE DAYS]], 20 * DATA[[#This Row],[STORAGE DAYS]])</f>
        <v>3080</v>
      </c>
      <c r="R148" s="150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389</v>
      </c>
    </row>
    <row r="149" spans="1:20" s="26" customFormat="1" ht="21" x14ac:dyDescent="0.25">
      <c r="A149" s="142" t="s">
        <v>658</v>
      </c>
      <c r="B149" s="143" t="s">
        <v>133</v>
      </c>
      <c r="C149" s="143">
        <v>70</v>
      </c>
      <c r="D149" s="144" t="s">
        <v>5</v>
      </c>
      <c r="E149" s="144" t="s">
        <v>659</v>
      </c>
      <c r="F149" s="144" t="s">
        <v>1632</v>
      </c>
      <c r="G149" s="144" t="s">
        <v>27</v>
      </c>
      <c r="H149" s="146">
        <v>0.33333333333333331</v>
      </c>
      <c r="I149" s="144" t="s">
        <v>10</v>
      </c>
      <c r="J149" s="147">
        <v>45811</v>
      </c>
      <c r="K149" s="147">
        <v>45933</v>
      </c>
      <c r="L149" s="143">
        <f>IF(ISBLANK(DATA[[#This Row],[DISCHARGE DATE]]), "NO DATE", DATA[[#This Row],[DISCHARGE DATE]]-DATA[[#This Row],[ADMISSION DATE]]+1)</f>
        <v>123</v>
      </c>
      <c r="M149" s="148">
        <v>350</v>
      </c>
      <c r="N149" s="148">
        <v>1599</v>
      </c>
      <c r="O149" s="149" t="s">
        <v>518</v>
      </c>
      <c r="P149" s="149" t="s">
        <v>972</v>
      </c>
      <c r="Q149" s="150">
        <f>IF(DATA[[#This Row],[TYPE]]="Normal", 13 * DATA[[#This Row],[STORAGE DAYS]], 20 * DATA[[#This Row],[STORAGE DAYS]])</f>
        <v>1599</v>
      </c>
      <c r="R149" s="150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389</v>
      </c>
    </row>
    <row r="150" spans="1:20" s="26" customFormat="1" ht="21" x14ac:dyDescent="0.25">
      <c r="A150" s="142" t="s">
        <v>660</v>
      </c>
      <c r="B150" s="143" t="s">
        <v>661</v>
      </c>
      <c r="C150" s="143">
        <v>100</v>
      </c>
      <c r="D150" s="144" t="s">
        <v>4</v>
      </c>
      <c r="E150" s="144" t="s">
        <v>662</v>
      </c>
      <c r="F150" s="144" t="s">
        <v>1679</v>
      </c>
      <c r="G150" s="144" t="s">
        <v>27</v>
      </c>
      <c r="H150" s="146">
        <v>0.35416666666666669</v>
      </c>
      <c r="I150" s="144" t="s">
        <v>10</v>
      </c>
      <c r="J150" s="147">
        <v>45812</v>
      </c>
      <c r="K150" s="147">
        <v>45933</v>
      </c>
      <c r="L150" s="143">
        <f>IF(ISBLANK(DATA[[#This Row],[DISCHARGE DATE]]), "NO DATE", DATA[[#This Row],[DISCHARGE DATE]]-DATA[[#This Row],[ADMISSION DATE]]+1)</f>
        <v>122</v>
      </c>
      <c r="M150" s="148">
        <v>350</v>
      </c>
      <c r="N150" s="148">
        <v>1200</v>
      </c>
      <c r="O150" s="149" t="s">
        <v>431</v>
      </c>
      <c r="P150" s="149" t="s">
        <v>965</v>
      </c>
      <c r="Q150" s="150">
        <f>IF(DATA[[#This Row],[TYPE]]="Normal", 13 * DATA[[#This Row],[STORAGE DAYS]], 20 * DATA[[#This Row],[STORAGE DAYS]])</f>
        <v>1586</v>
      </c>
      <c r="R150" s="150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389</v>
      </c>
    </row>
    <row r="151" spans="1:20" s="26" customFormat="1" ht="21" x14ac:dyDescent="0.25">
      <c r="A151" s="142" t="s">
        <v>663</v>
      </c>
      <c r="B151" s="143" t="s">
        <v>664</v>
      </c>
      <c r="C151" s="143">
        <v>69</v>
      </c>
      <c r="D151" s="144" t="s">
        <v>4</v>
      </c>
      <c r="E151" s="144" t="s">
        <v>96</v>
      </c>
      <c r="F151" s="144" t="s">
        <v>1550</v>
      </c>
      <c r="G151" s="144" t="s">
        <v>27</v>
      </c>
      <c r="H151" s="146">
        <v>0.70833333333333337</v>
      </c>
      <c r="I151" s="144" t="s">
        <v>10</v>
      </c>
      <c r="J151" s="147">
        <v>45811</v>
      </c>
      <c r="K151" s="147">
        <v>46108</v>
      </c>
      <c r="L151" s="143">
        <f>IF(ISBLANK(DATA[[#This Row],[DISCHARGE DATE]]), "NO DATE", DATA[[#This Row],[DISCHARGE DATE]]-DATA[[#This Row],[ADMISSION DATE]]+1)</f>
        <v>298</v>
      </c>
      <c r="M151" s="148">
        <v>350</v>
      </c>
      <c r="N151" s="148">
        <v>3874</v>
      </c>
      <c r="O151" s="149" t="s">
        <v>572</v>
      </c>
      <c r="P151" s="149">
        <v>257</v>
      </c>
      <c r="Q151" s="150">
        <f>IF(DATA[[#This Row],[TYPE]]="Normal", 13 * DATA[[#This Row],[STORAGE DAYS]], 20 * DATA[[#This Row],[STORAGE DAYS]])</f>
        <v>3874</v>
      </c>
      <c r="R151" s="150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389</v>
      </c>
    </row>
    <row r="152" spans="1:20" s="26" customFormat="1" ht="21" x14ac:dyDescent="0.25">
      <c r="A152" s="142" t="s">
        <v>665</v>
      </c>
      <c r="B152" s="143" t="s">
        <v>666</v>
      </c>
      <c r="C152" s="143">
        <v>58</v>
      </c>
      <c r="D152" s="144" t="s">
        <v>5</v>
      </c>
      <c r="E152" s="144" t="s">
        <v>667</v>
      </c>
      <c r="F152" s="144" t="s">
        <v>1680</v>
      </c>
      <c r="G152" s="144" t="s">
        <v>23</v>
      </c>
      <c r="H152" s="146">
        <v>0.66666666666666663</v>
      </c>
      <c r="I152" s="144" t="s">
        <v>12</v>
      </c>
      <c r="J152" s="147">
        <v>45811</v>
      </c>
      <c r="K152" s="147">
        <v>45919</v>
      </c>
      <c r="L152" s="143">
        <f>IF(ISBLANK(DATA[[#This Row],[DISCHARGE DATE]]), "NO DATE", DATA[[#This Row],[DISCHARGE DATE]]-DATA[[#This Row],[ADMISSION DATE]]+1)</f>
        <v>109</v>
      </c>
      <c r="M152" s="148">
        <v>350</v>
      </c>
      <c r="N152" s="148">
        <v>2180</v>
      </c>
      <c r="O152" s="149" t="s">
        <v>135</v>
      </c>
      <c r="P152" s="149" t="s">
        <v>813</v>
      </c>
      <c r="Q152" s="150">
        <f>IF(DATA[[#This Row],[TYPE]]="Normal", 13 * DATA[[#This Row],[STORAGE DAYS]], 20 * DATA[[#This Row],[STORAGE DAYS]])</f>
        <v>2180</v>
      </c>
      <c r="R152" s="150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389</v>
      </c>
    </row>
    <row r="153" spans="1:20" s="26" customFormat="1" ht="21" x14ac:dyDescent="0.25">
      <c r="A153" s="142" t="s">
        <v>668</v>
      </c>
      <c r="B153" s="143" t="s">
        <v>669</v>
      </c>
      <c r="C153" s="143">
        <v>80</v>
      </c>
      <c r="D153" s="144" t="s">
        <v>5</v>
      </c>
      <c r="E153" s="144" t="s">
        <v>670</v>
      </c>
      <c r="F153" s="144" t="s">
        <v>1681</v>
      </c>
      <c r="G153" s="144" t="s">
        <v>27</v>
      </c>
      <c r="H153" s="146">
        <v>0.55069444444444449</v>
      </c>
      <c r="I153" s="144" t="s">
        <v>12</v>
      </c>
      <c r="J153" s="147">
        <v>45813</v>
      </c>
      <c r="K153" s="147">
        <v>45989</v>
      </c>
      <c r="L153" s="143">
        <f>IF(ISBLANK(DATA[[#This Row],[DISCHARGE DATE]]), "NO DATE", DATA[[#This Row],[DISCHARGE DATE]]-DATA[[#This Row],[ADMISSION DATE]]+1)</f>
        <v>177</v>
      </c>
      <c r="M153" s="148">
        <v>350</v>
      </c>
      <c r="N153" s="148">
        <v>3340</v>
      </c>
      <c r="O153" s="149" t="s">
        <v>388</v>
      </c>
      <c r="P153" s="149" t="s">
        <v>1274</v>
      </c>
      <c r="Q153" s="150">
        <f>IF(DATA[[#This Row],[TYPE]]="Normal", 13 * DATA[[#This Row],[STORAGE DAYS]], 20 * DATA[[#This Row],[STORAGE DAYS]])</f>
        <v>3540</v>
      </c>
      <c r="R153" s="150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389</v>
      </c>
    </row>
    <row r="154" spans="1:20" s="26" customFormat="1" ht="21" x14ac:dyDescent="0.25">
      <c r="A154" s="142" t="s">
        <v>671</v>
      </c>
      <c r="B154" s="143" t="s">
        <v>672</v>
      </c>
      <c r="C154" s="143">
        <v>90</v>
      </c>
      <c r="D154" s="144" t="s">
        <v>5</v>
      </c>
      <c r="E154" s="144" t="s">
        <v>673</v>
      </c>
      <c r="F154" s="144" t="s">
        <v>1682</v>
      </c>
      <c r="G154" s="144" t="s">
        <v>27</v>
      </c>
      <c r="H154" s="146">
        <v>0.4375</v>
      </c>
      <c r="I154" s="144" t="s">
        <v>10</v>
      </c>
      <c r="J154" s="147">
        <v>45814</v>
      </c>
      <c r="K154" s="147">
        <v>45933</v>
      </c>
      <c r="L154" s="143">
        <f>IF(ISBLANK(DATA[[#This Row],[DISCHARGE DATE]]), "NO DATE", DATA[[#This Row],[DISCHARGE DATE]]-DATA[[#This Row],[ADMISSION DATE]]+1)</f>
        <v>120</v>
      </c>
      <c r="M154" s="148">
        <v>350</v>
      </c>
      <c r="N154" s="148">
        <v>1560</v>
      </c>
      <c r="O154" s="149" t="s">
        <v>332</v>
      </c>
      <c r="P154" s="149" t="s">
        <v>954</v>
      </c>
      <c r="Q154" s="150">
        <f>IF(DATA[[#This Row],[TYPE]]="Normal", 13 * DATA[[#This Row],[STORAGE DAYS]], 20 * DATA[[#This Row],[STORAGE DAYS]])</f>
        <v>1560</v>
      </c>
      <c r="R154" s="150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389</v>
      </c>
    </row>
    <row r="155" spans="1:20" s="26" customFormat="1" ht="21" x14ac:dyDescent="0.25">
      <c r="A155" s="142" t="s">
        <v>674</v>
      </c>
      <c r="B155" s="143" t="s">
        <v>675</v>
      </c>
      <c r="C155" s="143">
        <v>80</v>
      </c>
      <c r="D155" s="144" t="s">
        <v>5</v>
      </c>
      <c r="E155" s="144" t="s">
        <v>676</v>
      </c>
      <c r="F155" s="144" t="s">
        <v>1683</v>
      </c>
      <c r="G155" s="144" t="s">
        <v>27</v>
      </c>
      <c r="H155" s="146">
        <v>0.29166666666666669</v>
      </c>
      <c r="I155" s="144" t="s">
        <v>10</v>
      </c>
      <c r="J155" s="147">
        <v>45815</v>
      </c>
      <c r="K155" s="147">
        <v>45959</v>
      </c>
      <c r="L155" s="143">
        <f>IF(ISBLANK(DATA[[#This Row],[DISCHARGE DATE]]), "NO DATE", DATA[[#This Row],[DISCHARGE DATE]]-DATA[[#This Row],[ADMISSION DATE]]+1)</f>
        <v>145</v>
      </c>
      <c r="M155" s="148">
        <v>350</v>
      </c>
      <c r="N155" s="148">
        <v>1885</v>
      </c>
      <c r="O155" s="149" t="s">
        <v>538</v>
      </c>
      <c r="P155" s="149" t="s">
        <v>1070</v>
      </c>
      <c r="Q155" s="150">
        <f>IF(DATA[[#This Row],[TYPE]]="Normal", 13 * DATA[[#This Row],[STORAGE DAYS]], 20 * DATA[[#This Row],[STORAGE DAYS]])</f>
        <v>1885</v>
      </c>
      <c r="R155" s="150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389</v>
      </c>
    </row>
    <row r="156" spans="1:20" s="26" customFormat="1" ht="21" x14ac:dyDescent="0.25">
      <c r="A156" s="142" t="s">
        <v>677</v>
      </c>
      <c r="B156" s="143" t="s">
        <v>678</v>
      </c>
      <c r="C156" s="143">
        <v>41</v>
      </c>
      <c r="D156" s="144" t="s">
        <v>4</v>
      </c>
      <c r="E156" s="144" t="s">
        <v>679</v>
      </c>
      <c r="F156" s="144" t="s">
        <v>1684</v>
      </c>
      <c r="G156" s="144" t="s">
        <v>25</v>
      </c>
      <c r="H156" s="146">
        <v>0.72916666666666663</v>
      </c>
      <c r="I156" s="144" t="s">
        <v>10</v>
      </c>
      <c r="J156" s="147">
        <v>45817</v>
      </c>
      <c r="K156" s="147">
        <v>45898</v>
      </c>
      <c r="L156" s="143">
        <f>IF(ISBLANK(DATA[[#This Row],[DISCHARGE DATE]]), "NO DATE", DATA[[#This Row],[DISCHARGE DATE]]-DATA[[#This Row],[ADMISSION DATE]]+1)</f>
        <v>82</v>
      </c>
      <c r="M156" s="148">
        <v>350</v>
      </c>
      <c r="N156" s="148">
        <v>1066</v>
      </c>
      <c r="O156" s="149" t="s">
        <v>680</v>
      </c>
      <c r="P156" s="149" t="s">
        <v>681</v>
      </c>
      <c r="Q156" s="150">
        <f>IF(DATA[[#This Row],[TYPE]]="Normal", 13 * DATA[[#This Row],[STORAGE DAYS]], 20 * DATA[[#This Row],[STORAGE DAYS]])</f>
        <v>1066</v>
      </c>
      <c r="R156" s="150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389</v>
      </c>
    </row>
    <row r="157" spans="1:20" s="26" customFormat="1" ht="21" x14ac:dyDescent="0.25">
      <c r="A157" s="142" t="s">
        <v>682</v>
      </c>
      <c r="B157" s="143" t="s">
        <v>683</v>
      </c>
      <c r="C157" s="143">
        <v>70</v>
      </c>
      <c r="D157" s="144" t="s">
        <v>5</v>
      </c>
      <c r="E157" s="144" t="s">
        <v>684</v>
      </c>
      <c r="F157" s="144" t="s">
        <v>1685</v>
      </c>
      <c r="G157" s="144" t="s">
        <v>24</v>
      </c>
      <c r="H157" s="146"/>
      <c r="I157" s="144" t="s">
        <v>10</v>
      </c>
      <c r="J157" s="147">
        <v>45818</v>
      </c>
      <c r="K157" s="147">
        <v>45954</v>
      </c>
      <c r="L157" s="143">
        <f>IF(ISBLANK(DATA[[#This Row],[DISCHARGE DATE]]), "NO DATE", DATA[[#This Row],[DISCHARGE DATE]]-DATA[[#This Row],[ADMISSION DATE]]+1)</f>
        <v>137</v>
      </c>
      <c r="M157" s="148">
        <v>350</v>
      </c>
      <c r="N157" s="148">
        <v>1781</v>
      </c>
      <c r="O157" s="149" t="s">
        <v>685</v>
      </c>
      <c r="P157" s="149" t="s">
        <v>1064</v>
      </c>
      <c r="Q157" s="150">
        <f>IF(DATA[[#This Row],[TYPE]]="Normal", 13 * DATA[[#This Row],[STORAGE DAYS]], 20 * DATA[[#This Row],[STORAGE DAYS]])</f>
        <v>1781</v>
      </c>
      <c r="R157" s="150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389</v>
      </c>
    </row>
    <row r="158" spans="1:20" s="26" customFormat="1" ht="21" x14ac:dyDescent="0.25">
      <c r="A158" s="142" t="s">
        <v>1</v>
      </c>
      <c r="B158" s="143" t="s">
        <v>29</v>
      </c>
      <c r="C158" s="143">
        <v>90</v>
      </c>
      <c r="D158" s="144" t="s">
        <v>5</v>
      </c>
      <c r="E158" s="144" t="s">
        <v>30</v>
      </c>
      <c r="F158" s="144" t="s">
        <v>1686</v>
      </c>
      <c r="G158" s="144" t="s">
        <v>27</v>
      </c>
      <c r="H158" s="146">
        <v>0.53125</v>
      </c>
      <c r="I158" s="144" t="s">
        <v>10</v>
      </c>
      <c r="J158" s="147">
        <v>45818</v>
      </c>
      <c r="K158" s="147">
        <v>45898</v>
      </c>
      <c r="L158" s="143">
        <f>IF(ISBLANK(DATA[[#This Row],[DISCHARGE DATE]]), "NO DATE", DATA[[#This Row],[DISCHARGE DATE]]-DATA[[#This Row],[ADMISSION DATE]]+1)</f>
        <v>81</v>
      </c>
      <c r="M158" s="148">
        <v>350</v>
      </c>
      <c r="N158" s="148">
        <v>1053</v>
      </c>
      <c r="O158" s="149" t="s">
        <v>533</v>
      </c>
      <c r="P158" s="149" t="s">
        <v>33</v>
      </c>
      <c r="Q158" s="150">
        <f>IF(DATA[[#This Row],[TYPE]]="Normal", 13 * DATA[[#This Row],[STORAGE DAYS]], 20 * DATA[[#This Row],[STORAGE DAYS]])</f>
        <v>1053</v>
      </c>
      <c r="R158" s="150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389</v>
      </c>
    </row>
    <row r="159" spans="1:20" s="26" customFormat="1" ht="21" x14ac:dyDescent="0.25">
      <c r="A159" s="142" t="s">
        <v>686</v>
      </c>
      <c r="B159" s="143" t="s">
        <v>687</v>
      </c>
      <c r="C159" s="143">
        <v>55</v>
      </c>
      <c r="D159" s="144" t="s">
        <v>4</v>
      </c>
      <c r="E159" s="144" t="s">
        <v>688</v>
      </c>
      <c r="F159" s="144" t="s">
        <v>1687</v>
      </c>
      <c r="G159" s="144" t="s">
        <v>27</v>
      </c>
      <c r="H159" s="146">
        <v>0.80208333333333337</v>
      </c>
      <c r="I159" s="144" t="s">
        <v>10</v>
      </c>
      <c r="J159" s="147">
        <v>45820</v>
      </c>
      <c r="K159" s="147">
        <v>45961</v>
      </c>
      <c r="L159" s="143">
        <f>IF(ISBLANK(DATA[[#This Row],[DISCHARGE DATE]]), "NO DATE", DATA[[#This Row],[DISCHARGE DATE]]-DATA[[#This Row],[ADMISSION DATE]]+1)</f>
        <v>142</v>
      </c>
      <c r="M159" s="148">
        <v>350</v>
      </c>
      <c r="N159" s="148">
        <v>1846</v>
      </c>
      <c r="O159" s="149" t="s">
        <v>477</v>
      </c>
      <c r="P159" s="149" t="s">
        <v>1158</v>
      </c>
      <c r="Q159" s="150">
        <f>IF(DATA[[#This Row],[TYPE]]="Normal", 13 * DATA[[#This Row],[STORAGE DAYS]], 20 * DATA[[#This Row],[STORAGE DAYS]])</f>
        <v>1846</v>
      </c>
      <c r="R159" s="150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389</v>
      </c>
    </row>
    <row r="160" spans="1:20" s="26" customFormat="1" ht="21" x14ac:dyDescent="0.25">
      <c r="A160" s="142" t="s">
        <v>689</v>
      </c>
      <c r="B160" s="143" t="s">
        <v>690</v>
      </c>
      <c r="C160" s="143">
        <v>87</v>
      </c>
      <c r="D160" s="144" t="s">
        <v>4</v>
      </c>
      <c r="E160" s="144" t="s">
        <v>489</v>
      </c>
      <c r="F160" s="144" t="s">
        <v>1590</v>
      </c>
      <c r="G160" s="144" t="s">
        <v>27</v>
      </c>
      <c r="H160" s="146">
        <v>0.56944444444444442</v>
      </c>
      <c r="I160" s="144" t="s">
        <v>10</v>
      </c>
      <c r="J160" s="147">
        <v>45822</v>
      </c>
      <c r="K160" s="147">
        <v>46143</v>
      </c>
      <c r="L160" s="143">
        <f>IF(ISBLANK(DATA[[#This Row],[DISCHARGE DATE]]), "NO DATE", DATA[[#This Row],[DISCHARGE DATE]]-DATA[[#This Row],[ADMISSION DATE]]+1)</f>
        <v>322</v>
      </c>
      <c r="M160" s="148">
        <v>350</v>
      </c>
      <c r="N160" s="148">
        <v>4186</v>
      </c>
      <c r="O160" s="149" t="s">
        <v>691</v>
      </c>
      <c r="P160" s="149">
        <v>294</v>
      </c>
      <c r="Q160" s="150">
        <f>IF(DATA[[#This Row],[TYPE]]="Normal", 13 * DATA[[#This Row],[STORAGE DAYS]], 20 * DATA[[#This Row],[STORAGE DAYS]])</f>
        <v>4186</v>
      </c>
      <c r="R160" s="150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389</v>
      </c>
    </row>
    <row r="161" spans="1:20" s="26" customFormat="1" ht="21" x14ac:dyDescent="0.25">
      <c r="A161" s="142" t="s">
        <v>692</v>
      </c>
      <c r="B161" s="143" t="s">
        <v>693</v>
      </c>
      <c r="C161" s="143">
        <v>50</v>
      </c>
      <c r="D161" s="144" t="s">
        <v>4</v>
      </c>
      <c r="E161" s="144" t="s">
        <v>694</v>
      </c>
      <c r="F161" s="144" t="s">
        <v>1688</v>
      </c>
      <c r="G161" s="144" t="s">
        <v>27</v>
      </c>
      <c r="H161" s="146">
        <v>0.45833333333333331</v>
      </c>
      <c r="I161" s="144" t="s">
        <v>12</v>
      </c>
      <c r="J161" s="147">
        <v>45824</v>
      </c>
      <c r="K161" s="147">
        <v>45898</v>
      </c>
      <c r="L161" s="143">
        <f>IF(ISBLANK(DATA[[#This Row],[DISCHARGE DATE]]), "NO DATE", DATA[[#This Row],[DISCHARGE DATE]]-DATA[[#This Row],[ADMISSION DATE]]+1)</f>
        <v>75</v>
      </c>
      <c r="M161" s="148">
        <v>350</v>
      </c>
      <c r="N161" s="148">
        <v>1500</v>
      </c>
      <c r="O161" s="149" t="s">
        <v>500</v>
      </c>
      <c r="P161" s="149" t="s">
        <v>695</v>
      </c>
      <c r="Q161" s="150">
        <f>IF(DATA[[#This Row],[TYPE]]="Normal", 13 * DATA[[#This Row],[STORAGE DAYS]], 20 * DATA[[#This Row],[STORAGE DAYS]])</f>
        <v>1500</v>
      </c>
      <c r="R161" s="150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389</v>
      </c>
    </row>
    <row r="162" spans="1:20" s="26" customFormat="1" ht="21" x14ac:dyDescent="0.25">
      <c r="A162" s="142" t="s">
        <v>696</v>
      </c>
      <c r="B162" s="143" t="s">
        <v>697</v>
      </c>
      <c r="C162" s="143">
        <v>74</v>
      </c>
      <c r="D162" s="144" t="s">
        <v>5</v>
      </c>
      <c r="E162" s="144" t="s">
        <v>698</v>
      </c>
      <c r="F162" s="144" t="s">
        <v>1689</v>
      </c>
      <c r="G162" s="144" t="s">
        <v>26</v>
      </c>
      <c r="H162" s="146">
        <v>0.35416666666666669</v>
      </c>
      <c r="I162" s="144" t="s">
        <v>10</v>
      </c>
      <c r="J162" s="147">
        <v>45827</v>
      </c>
      <c r="K162" s="147">
        <v>45864</v>
      </c>
      <c r="L162" s="143">
        <f>IF(ISBLANK(DATA[[#This Row],[DISCHARGE DATE]]), "NO DATE", DATA[[#This Row],[DISCHARGE DATE]]-DATA[[#This Row],[ADMISSION DATE]]+1)</f>
        <v>38</v>
      </c>
      <c r="M162" s="148">
        <v>350</v>
      </c>
      <c r="N162" s="148">
        <v>494</v>
      </c>
      <c r="O162" s="149" t="s">
        <v>595</v>
      </c>
      <c r="P162" s="149" t="s">
        <v>699</v>
      </c>
      <c r="Q162" s="150">
        <f>IF(DATA[[#This Row],[TYPE]]="Normal", 13 * DATA[[#This Row],[STORAGE DAYS]], 20 * DATA[[#This Row],[STORAGE DAYS]])</f>
        <v>494</v>
      </c>
      <c r="R162" s="150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389</v>
      </c>
    </row>
    <row r="163" spans="1:20" s="26" customFormat="1" ht="21" x14ac:dyDescent="0.25">
      <c r="A163" s="142" t="s">
        <v>700</v>
      </c>
      <c r="B163" s="143" t="s">
        <v>701</v>
      </c>
      <c r="C163" s="143">
        <v>60</v>
      </c>
      <c r="D163" s="144" t="s">
        <v>4</v>
      </c>
      <c r="E163" s="144" t="s">
        <v>702</v>
      </c>
      <c r="F163" s="144" t="s">
        <v>1690</v>
      </c>
      <c r="G163" s="144" t="s">
        <v>27</v>
      </c>
      <c r="H163" s="146">
        <v>0.4375</v>
      </c>
      <c r="I163" s="144" t="s">
        <v>10</v>
      </c>
      <c r="J163" s="147">
        <v>45827</v>
      </c>
      <c r="K163" s="147">
        <v>45933</v>
      </c>
      <c r="L163" s="143">
        <f>IF(ISBLANK(DATA[[#This Row],[DISCHARGE DATE]]), "NO DATE", DATA[[#This Row],[DISCHARGE DATE]]-DATA[[#This Row],[ADMISSION DATE]]+1)</f>
        <v>107</v>
      </c>
      <c r="M163" s="148">
        <v>350</v>
      </c>
      <c r="N163" s="148">
        <v>1391</v>
      </c>
      <c r="O163" s="149" t="s">
        <v>654</v>
      </c>
      <c r="P163" s="149" t="s">
        <v>821</v>
      </c>
      <c r="Q163" s="150">
        <f>IF(DATA[[#This Row],[TYPE]]="Normal", 13 * DATA[[#This Row],[STORAGE DAYS]], 20 * DATA[[#This Row],[STORAGE DAYS]])</f>
        <v>1391</v>
      </c>
      <c r="R163" s="150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389</v>
      </c>
    </row>
    <row r="164" spans="1:20" s="26" customFormat="1" ht="21" x14ac:dyDescent="0.25">
      <c r="A164" s="142" t="s">
        <v>703</v>
      </c>
      <c r="B164" s="143" t="s">
        <v>704</v>
      </c>
      <c r="C164" s="143">
        <v>55</v>
      </c>
      <c r="D164" s="144" t="s">
        <v>5</v>
      </c>
      <c r="E164" s="144" t="s">
        <v>705</v>
      </c>
      <c r="F164" s="144" t="s">
        <v>1691</v>
      </c>
      <c r="G164" s="144" t="s">
        <v>27</v>
      </c>
      <c r="H164" s="146">
        <v>0.52777777777777779</v>
      </c>
      <c r="I164" s="144" t="s">
        <v>10</v>
      </c>
      <c r="J164" s="147">
        <v>45827</v>
      </c>
      <c r="K164" s="147">
        <v>45832</v>
      </c>
      <c r="L164" s="143">
        <f>IF(ISBLANK(DATA[[#This Row],[DISCHARGE DATE]]), "NO DATE", DATA[[#This Row],[DISCHARGE DATE]]-DATA[[#This Row],[ADMISSION DATE]]+1)</f>
        <v>6</v>
      </c>
      <c r="M164" s="148">
        <v>350</v>
      </c>
      <c r="N164" s="148">
        <v>78</v>
      </c>
      <c r="O164" s="149" t="s">
        <v>635</v>
      </c>
      <c r="P164" s="149" t="s">
        <v>685</v>
      </c>
      <c r="Q164" s="150">
        <f>IF(DATA[[#This Row],[TYPE]]="Normal", 13 * DATA[[#This Row],[STORAGE DAYS]], 20 * DATA[[#This Row],[STORAGE DAYS]])</f>
        <v>78</v>
      </c>
      <c r="R164" s="150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389</v>
      </c>
    </row>
    <row r="165" spans="1:20" s="26" customFormat="1" ht="21" x14ac:dyDescent="0.25">
      <c r="A165" s="142" t="s">
        <v>706</v>
      </c>
      <c r="B165" s="143" t="s">
        <v>707</v>
      </c>
      <c r="C165" s="143">
        <v>42</v>
      </c>
      <c r="D165" s="144" t="s">
        <v>4</v>
      </c>
      <c r="E165" s="144" t="s">
        <v>708</v>
      </c>
      <c r="F165" s="144" t="s">
        <v>1692</v>
      </c>
      <c r="G165" s="144" t="s">
        <v>25</v>
      </c>
      <c r="H165" s="146">
        <v>0.60416666666666663</v>
      </c>
      <c r="I165" s="144" t="s">
        <v>10</v>
      </c>
      <c r="J165" s="147">
        <v>45827</v>
      </c>
      <c r="K165" s="147">
        <v>45842</v>
      </c>
      <c r="L165" s="143">
        <f>IF(ISBLANK(DATA[[#This Row],[DISCHARGE DATE]]), "NO DATE", DATA[[#This Row],[DISCHARGE DATE]]-DATA[[#This Row],[ADMISSION DATE]]+1)</f>
        <v>16</v>
      </c>
      <c r="M165" s="148">
        <v>350</v>
      </c>
      <c r="N165" s="148">
        <v>208</v>
      </c>
      <c r="O165" s="149" t="s">
        <v>472</v>
      </c>
      <c r="P165" s="149" t="s">
        <v>709</v>
      </c>
      <c r="Q165" s="150">
        <f>IF(DATA[[#This Row],[TYPE]]="Normal", 13 * DATA[[#This Row],[STORAGE DAYS]], 20 * DATA[[#This Row],[STORAGE DAYS]])</f>
        <v>208</v>
      </c>
      <c r="R165" s="150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389</v>
      </c>
    </row>
    <row r="166" spans="1:20" s="26" customFormat="1" ht="21" x14ac:dyDescent="0.25">
      <c r="A166" s="142" t="s">
        <v>710</v>
      </c>
      <c r="B166" s="143" t="s">
        <v>711</v>
      </c>
      <c r="C166" s="143">
        <v>72</v>
      </c>
      <c r="D166" s="144" t="s">
        <v>4</v>
      </c>
      <c r="E166" s="144" t="s">
        <v>712</v>
      </c>
      <c r="F166" s="144" t="s">
        <v>1693</v>
      </c>
      <c r="G166" s="144" t="s">
        <v>13</v>
      </c>
      <c r="H166" s="146">
        <v>0.54166666666666663</v>
      </c>
      <c r="I166" s="144" t="s">
        <v>10</v>
      </c>
      <c r="J166" s="147">
        <v>45830</v>
      </c>
      <c r="K166" s="147">
        <v>45961</v>
      </c>
      <c r="L166" s="143">
        <f>IF(ISBLANK(DATA[[#This Row],[DISCHARGE DATE]]), "NO DATE", DATA[[#This Row],[DISCHARGE DATE]]-DATA[[#This Row],[ADMISSION DATE]]+1)</f>
        <v>132</v>
      </c>
      <c r="M166" s="148">
        <v>350</v>
      </c>
      <c r="N166" s="148">
        <v>1612</v>
      </c>
      <c r="O166" s="149" t="s">
        <v>383</v>
      </c>
      <c r="P166" s="149" t="s">
        <v>1029</v>
      </c>
      <c r="Q166" s="150">
        <f>IF(DATA[[#This Row],[TYPE]]="Normal", 13 * DATA[[#This Row],[STORAGE DAYS]], 20 * DATA[[#This Row],[STORAGE DAYS]])</f>
        <v>1716</v>
      </c>
      <c r="R166" s="150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389</v>
      </c>
    </row>
    <row r="167" spans="1:20" s="26" customFormat="1" ht="21" x14ac:dyDescent="0.25">
      <c r="A167" s="142" t="s">
        <v>713</v>
      </c>
      <c r="B167" s="143" t="s">
        <v>714</v>
      </c>
      <c r="C167" s="143">
        <v>58</v>
      </c>
      <c r="D167" s="144" t="s">
        <v>4</v>
      </c>
      <c r="E167" s="144" t="s">
        <v>715</v>
      </c>
      <c r="F167" s="144" t="s">
        <v>1515</v>
      </c>
      <c r="G167" s="144" t="s">
        <v>27</v>
      </c>
      <c r="H167" s="146">
        <v>0.72916666666666663</v>
      </c>
      <c r="I167" s="144" t="s">
        <v>12</v>
      </c>
      <c r="J167" s="147">
        <v>45832</v>
      </c>
      <c r="K167" s="147">
        <v>45933</v>
      </c>
      <c r="L167" s="143">
        <f>IF(ISBLANK(DATA[[#This Row],[DISCHARGE DATE]]), "NO DATE", DATA[[#This Row],[DISCHARGE DATE]]-DATA[[#This Row],[ADMISSION DATE]]+1)</f>
        <v>102</v>
      </c>
      <c r="M167" s="148">
        <v>350</v>
      </c>
      <c r="N167" s="148">
        <v>2040</v>
      </c>
      <c r="O167" s="149" t="s">
        <v>491</v>
      </c>
      <c r="P167" s="149" t="s">
        <v>825</v>
      </c>
      <c r="Q167" s="150">
        <f>IF(DATA[[#This Row],[TYPE]]="Normal", 13 * DATA[[#This Row],[STORAGE DAYS]], 20 * DATA[[#This Row],[STORAGE DAYS]])</f>
        <v>2040</v>
      </c>
      <c r="R167" s="150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389</v>
      </c>
    </row>
    <row r="168" spans="1:20" s="26" customFormat="1" ht="21" x14ac:dyDescent="0.25">
      <c r="A168" s="142" t="s">
        <v>716</v>
      </c>
      <c r="B168" s="143" t="s">
        <v>717</v>
      </c>
      <c r="C168" s="143">
        <v>97</v>
      </c>
      <c r="D168" s="144" t="s">
        <v>4</v>
      </c>
      <c r="E168" s="144" t="s">
        <v>718</v>
      </c>
      <c r="F168" s="144" t="s">
        <v>1515</v>
      </c>
      <c r="G168" s="144" t="s">
        <v>27</v>
      </c>
      <c r="H168" s="146">
        <v>0.47916666666666669</v>
      </c>
      <c r="I168" s="144" t="s">
        <v>10</v>
      </c>
      <c r="J168" s="147">
        <v>45833</v>
      </c>
      <c r="K168" s="147">
        <v>45961</v>
      </c>
      <c r="L168" s="143">
        <f>IF(ISBLANK(DATA[[#This Row],[DISCHARGE DATE]]), "NO DATE", DATA[[#This Row],[DISCHARGE DATE]]-DATA[[#This Row],[ADMISSION DATE]]+1)</f>
        <v>129</v>
      </c>
      <c r="M168" s="148">
        <v>350</v>
      </c>
      <c r="N168" s="148">
        <v>1677</v>
      </c>
      <c r="O168" s="149" t="s">
        <v>324</v>
      </c>
      <c r="P168" s="149" t="s">
        <v>1149</v>
      </c>
      <c r="Q168" s="150">
        <f>IF(DATA[[#This Row],[TYPE]]="Normal", 13 * DATA[[#This Row],[STORAGE DAYS]], 20 * DATA[[#This Row],[STORAGE DAYS]])</f>
        <v>1677</v>
      </c>
      <c r="R168" s="150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389</v>
      </c>
    </row>
    <row r="169" spans="1:20" s="26" customFormat="1" ht="21" x14ac:dyDescent="0.25">
      <c r="A169" s="142" t="s">
        <v>719</v>
      </c>
      <c r="B169" s="143" t="s">
        <v>720</v>
      </c>
      <c r="C169" s="143">
        <v>82</v>
      </c>
      <c r="D169" s="144" t="s">
        <v>5</v>
      </c>
      <c r="E169" s="144" t="s">
        <v>721</v>
      </c>
      <c r="F169" s="144" t="s">
        <v>1694</v>
      </c>
      <c r="G169" s="144" t="s">
        <v>26</v>
      </c>
      <c r="H169" s="146">
        <v>0.79166666666666663</v>
      </c>
      <c r="I169" s="144" t="s">
        <v>10</v>
      </c>
      <c r="J169" s="147">
        <v>45833</v>
      </c>
      <c r="K169" s="147">
        <v>45960</v>
      </c>
      <c r="L169" s="143">
        <f>IF(ISBLANK(DATA[[#This Row],[DISCHARGE DATE]]), "NO DATE", DATA[[#This Row],[DISCHARGE DATE]]-DATA[[#This Row],[ADMISSION DATE]]+1)</f>
        <v>128</v>
      </c>
      <c r="M169" s="148">
        <v>350</v>
      </c>
      <c r="N169" s="148">
        <v>1664</v>
      </c>
      <c r="O169" s="149" t="s">
        <v>404</v>
      </c>
      <c r="P169" s="149" t="s">
        <v>1018</v>
      </c>
      <c r="Q169" s="150">
        <f>IF(DATA[[#This Row],[TYPE]]="Normal", 13 * DATA[[#This Row],[STORAGE DAYS]], 20 * DATA[[#This Row],[STORAGE DAYS]])</f>
        <v>1664</v>
      </c>
      <c r="R169" s="150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389</v>
      </c>
    </row>
    <row r="170" spans="1:20" s="26" customFormat="1" ht="21" x14ac:dyDescent="0.25">
      <c r="A170" s="142" t="s">
        <v>722</v>
      </c>
      <c r="B170" s="143" t="s">
        <v>723</v>
      </c>
      <c r="C170" s="143">
        <v>50</v>
      </c>
      <c r="D170" s="144" t="s">
        <v>5</v>
      </c>
      <c r="E170" s="144" t="s">
        <v>724</v>
      </c>
      <c r="F170" s="144" t="s">
        <v>1695</v>
      </c>
      <c r="G170" s="144" t="s">
        <v>25</v>
      </c>
      <c r="H170" s="146">
        <v>0.66666666666666663</v>
      </c>
      <c r="I170" s="144" t="s">
        <v>10</v>
      </c>
      <c r="J170" s="147">
        <v>45837</v>
      </c>
      <c r="K170" s="147">
        <v>45933</v>
      </c>
      <c r="L170" s="143">
        <f>IF(ISBLANK(DATA[[#This Row],[DISCHARGE DATE]]), "NO DATE", DATA[[#This Row],[DISCHARGE DATE]]-DATA[[#This Row],[ADMISSION DATE]]+1)</f>
        <v>97</v>
      </c>
      <c r="M170" s="148">
        <v>350</v>
      </c>
      <c r="N170" s="148">
        <v>1261</v>
      </c>
      <c r="O170" s="149" t="s">
        <v>699</v>
      </c>
      <c r="P170" s="149" t="s">
        <v>978</v>
      </c>
      <c r="Q170" s="150">
        <f>IF(DATA[[#This Row],[TYPE]]="Normal", 13 * DATA[[#This Row],[STORAGE DAYS]], 20 * DATA[[#This Row],[STORAGE DAYS]])</f>
        <v>1261</v>
      </c>
      <c r="R170" s="150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389</v>
      </c>
    </row>
    <row r="171" spans="1:20" s="26" customFormat="1" ht="21" x14ac:dyDescent="0.25">
      <c r="A171" s="142" t="s">
        <v>725</v>
      </c>
      <c r="B171" s="143" t="s">
        <v>726</v>
      </c>
      <c r="C171" s="143">
        <v>70</v>
      </c>
      <c r="D171" s="144" t="s">
        <v>4</v>
      </c>
      <c r="E171" s="144" t="s">
        <v>156</v>
      </c>
      <c r="F171" s="144" t="s">
        <v>1696</v>
      </c>
      <c r="G171" s="144" t="s">
        <v>26</v>
      </c>
      <c r="H171" s="146">
        <v>0.79166666666666663</v>
      </c>
      <c r="I171" s="144" t="s">
        <v>10</v>
      </c>
      <c r="J171" s="147">
        <v>45836</v>
      </c>
      <c r="K171" s="147">
        <v>45961</v>
      </c>
      <c r="L171" s="143">
        <f>IF(ISBLANK(DATA[[#This Row],[DISCHARGE DATE]]), "NO DATE", DATA[[#This Row],[DISCHARGE DATE]]-DATA[[#This Row],[ADMISSION DATE]]+1)</f>
        <v>126</v>
      </c>
      <c r="M171" s="148">
        <v>350</v>
      </c>
      <c r="N171" s="148">
        <v>1638</v>
      </c>
      <c r="O171" s="149" t="s">
        <v>709</v>
      </c>
      <c r="P171" s="149" t="s">
        <v>1115</v>
      </c>
      <c r="Q171" s="150">
        <f>IF(DATA[[#This Row],[TYPE]]="Normal", 13 * DATA[[#This Row],[STORAGE DAYS]], 20 * DATA[[#This Row],[STORAGE DAYS]])</f>
        <v>1638</v>
      </c>
      <c r="R171" s="150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389</v>
      </c>
    </row>
    <row r="172" spans="1:20" s="26" customFormat="1" ht="21" x14ac:dyDescent="0.25">
      <c r="A172" s="142" t="s">
        <v>727</v>
      </c>
      <c r="B172" s="143" t="s">
        <v>728</v>
      </c>
      <c r="C172" s="143">
        <v>70</v>
      </c>
      <c r="D172" s="144" t="s">
        <v>4</v>
      </c>
      <c r="E172" s="144" t="s">
        <v>729</v>
      </c>
      <c r="F172" s="144" t="s">
        <v>1697</v>
      </c>
      <c r="G172" s="144" t="s">
        <v>26</v>
      </c>
      <c r="H172" s="146">
        <v>0.6875</v>
      </c>
      <c r="I172" s="144" t="s">
        <v>12</v>
      </c>
      <c r="J172" s="147">
        <v>45838</v>
      </c>
      <c r="K172" s="147">
        <v>45961</v>
      </c>
      <c r="L172" s="143">
        <f>IF(ISBLANK(DATA[[#This Row],[DISCHARGE DATE]]), "NO DATE", DATA[[#This Row],[DISCHARGE DATE]]-DATA[[#This Row],[ADMISSION DATE]]+1)</f>
        <v>124</v>
      </c>
      <c r="M172" s="148">
        <v>350</v>
      </c>
      <c r="N172" s="148">
        <v>2480</v>
      </c>
      <c r="O172" s="149" t="s">
        <v>560</v>
      </c>
      <c r="P172" s="149" t="s">
        <v>1121</v>
      </c>
      <c r="Q172" s="150">
        <f>IF(DATA[[#This Row],[TYPE]]="Normal", 13 * DATA[[#This Row],[STORAGE DAYS]], 20 * DATA[[#This Row],[STORAGE DAYS]])</f>
        <v>2480</v>
      </c>
      <c r="R172" s="150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389</v>
      </c>
    </row>
    <row r="173" spans="1:20" s="26" customFormat="1" ht="21" x14ac:dyDescent="0.25">
      <c r="A173" s="142" t="s">
        <v>730</v>
      </c>
      <c r="B173" s="143" t="s">
        <v>731</v>
      </c>
      <c r="C173" s="143">
        <v>41</v>
      </c>
      <c r="D173" s="144" t="s">
        <v>5</v>
      </c>
      <c r="E173" s="144" t="s">
        <v>302</v>
      </c>
      <c r="F173" s="144" t="s">
        <v>1698</v>
      </c>
      <c r="G173" s="144" t="s">
        <v>27</v>
      </c>
      <c r="H173" s="146">
        <v>0.5</v>
      </c>
      <c r="I173" s="144" t="s">
        <v>10</v>
      </c>
      <c r="J173" s="147">
        <v>45839</v>
      </c>
      <c r="K173" s="147">
        <v>45898</v>
      </c>
      <c r="L173" s="143">
        <f>IF(ISBLANK(DATA[[#This Row],[DISCHARGE DATE]]), "NO DATE", DATA[[#This Row],[DISCHARGE DATE]]-DATA[[#This Row],[ADMISSION DATE]]+1)</f>
        <v>60</v>
      </c>
      <c r="M173" s="148">
        <v>350</v>
      </c>
      <c r="N173" s="148">
        <v>780</v>
      </c>
      <c r="O173" s="149" t="s">
        <v>523</v>
      </c>
      <c r="P173" s="149" t="s">
        <v>732</v>
      </c>
      <c r="Q173" s="150">
        <f>IF(DATA[[#This Row],[TYPE]]="Normal", 13 * DATA[[#This Row],[STORAGE DAYS]], 20 * DATA[[#This Row],[STORAGE DAYS]])</f>
        <v>780</v>
      </c>
      <c r="R173" s="150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389</v>
      </c>
    </row>
    <row r="174" spans="1:20" s="26" customFormat="1" ht="21" x14ac:dyDescent="0.25">
      <c r="A174" s="142" t="s">
        <v>733</v>
      </c>
      <c r="B174" s="143" t="s">
        <v>734</v>
      </c>
      <c r="C174" s="143">
        <v>90</v>
      </c>
      <c r="D174" s="144" t="s">
        <v>4</v>
      </c>
      <c r="E174" s="144" t="s">
        <v>735</v>
      </c>
      <c r="F174" s="144" t="s">
        <v>1699</v>
      </c>
      <c r="G174" s="144" t="s">
        <v>27</v>
      </c>
      <c r="H174" s="146">
        <v>0.58333333333333337</v>
      </c>
      <c r="I174" s="144" t="s">
        <v>10</v>
      </c>
      <c r="J174" s="147">
        <v>45847</v>
      </c>
      <c r="K174" s="147">
        <v>45989</v>
      </c>
      <c r="L174" s="143">
        <f>IF(ISBLANK(DATA[[#This Row],[DISCHARGE DATE]]), "NO DATE", DATA[[#This Row],[DISCHARGE DATE]]-DATA[[#This Row],[ADMISSION DATE]]+1)</f>
        <v>143</v>
      </c>
      <c r="M174" s="148">
        <v>350</v>
      </c>
      <c r="N174" s="148">
        <v>1859</v>
      </c>
      <c r="O174" s="149" t="s">
        <v>736</v>
      </c>
      <c r="P174" s="149" t="s">
        <v>1183</v>
      </c>
      <c r="Q174" s="150">
        <f>IF(DATA[[#This Row],[TYPE]]="Normal", 13 * DATA[[#This Row],[STORAGE DAYS]], 20 * DATA[[#This Row],[STORAGE DAYS]])</f>
        <v>1859</v>
      </c>
      <c r="R174" s="150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389</v>
      </c>
    </row>
    <row r="175" spans="1:20" s="26" customFormat="1" ht="21" x14ac:dyDescent="0.25">
      <c r="A175" s="142" t="s">
        <v>737</v>
      </c>
      <c r="B175" s="143" t="s">
        <v>738</v>
      </c>
      <c r="C175" s="143">
        <v>78</v>
      </c>
      <c r="D175" s="144" t="s">
        <v>5</v>
      </c>
      <c r="E175" s="144" t="s">
        <v>489</v>
      </c>
      <c r="F175" s="144" t="s">
        <v>1590</v>
      </c>
      <c r="G175" s="144" t="s">
        <v>27</v>
      </c>
      <c r="H175" s="146">
        <v>0.625</v>
      </c>
      <c r="I175" s="144" t="s">
        <v>10</v>
      </c>
      <c r="J175" s="147">
        <v>45849</v>
      </c>
      <c r="K175" s="147">
        <v>46143</v>
      </c>
      <c r="L175" s="143">
        <f>IF(ISBLANK(DATA[[#This Row],[DISCHARGE DATE]]), "NO DATE", DATA[[#This Row],[DISCHARGE DATE]]-DATA[[#This Row],[ADMISSION DATE]]+1)</f>
        <v>295</v>
      </c>
      <c r="M175" s="148">
        <v>350</v>
      </c>
      <c r="N175" s="148">
        <v>3835</v>
      </c>
      <c r="O175" s="149" t="s">
        <v>581</v>
      </c>
      <c r="P175" s="149">
        <v>270</v>
      </c>
      <c r="Q175" s="150">
        <f>IF(DATA[[#This Row],[TYPE]]="Normal", 13 * DATA[[#This Row],[STORAGE DAYS]], 20 * DATA[[#This Row],[STORAGE DAYS]])</f>
        <v>3835</v>
      </c>
      <c r="R175" s="150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389</v>
      </c>
    </row>
    <row r="176" spans="1:20" s="26" customFormat="1" ht="21" x14ac:dyDescent="0.25">
      <c r="A176" s="142" t="s">
        <v>739</v>
      </c>
      <c r="B176" s="143" t="s">
        <v>740</v>
      </c>
      <c r="C176" s="143">
        <v>53</v>
      </c>
      <c r="D176" s="144" t="s">
        <v>4</v>
      </c>
      <c r="E176" s="144" t="s">
        <v>741</v>
      </c>
      <c r="F176" s="144" t="s">
        <v>1700</v>
      </c>
      <c r="G176" s="144" t="s">
        <v>25</v>
      </c>
      <c r="H176" s="146">
        <v>0.58333333333333337</v>
      </c>
      <c r="I176" s="144" t="s">
        <v>10</v>
      </c>
      <c r="J176" s="147">
        <v>45851</v>
      </c>
      <c r="K176" s="147">
        <v>45933</v>
      </c>
      <c r="L176" s="143">
        <f>IF(ISBLANK(DATA[[#This Row],[DISCHARGE DATE]]), "NO DATE", DATA[[#This Row],[DISCHARGE DATE]]-DATA[[#This Row],[ADMISSION DATE]]+1)</f>
        <v>83</v>
      </c>
      <c r="M176" s="148">
        <v>350</v>
      </c>
      <c r="N176" s="148">
        <v>1079</v>
      </c>
      <c r="O176" s="149" t="s">
        <v>422</v>
      </c>
      <c r="P176" s="149" t="s">
        <v>983</v>
      </c>
      <c r="Q176" s="150">
        <f>IF(DATA[[#This Row],[TYPE]]="Normal", 13 * DATA[[#This Row],[STORAGE DAYS]], 20 * DATA[[#This Row],[STORAGE DAYS]])</f>
        <v>1079</v>
      </c>
      <c r="R176" s="150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389</v>
      </c>
    </row>
    <row r="177" spans="1:20" s="26" customFormat="1" ht="21" x14ac:dyDescent="0.25">
      <c r="A177" s="142" t="s">
        <v>742</v>
      </c>
      <c r="B177" s="143" t="s">
        <v>743</v>
      </c>
      <c r="C177" s="143">
        <v>60</v>
      </c>
      <c r="D177" s="144" t="s">
        <v>5</v>
      </c>
      <c r="E177" s="144" t="s">
        <v>744</v>
      </c>
      <c r="F177" s="144" t="s">
        <v>1701</v>
      </c>
      <c r="G177" s="144" t="s">
        <v>25</v>
      </c>
      <c r="H177" s="146">
        <v>0.71944444444444444</v>
      </c>
      <c r="I177" s="144" t="s">
        <v>10</v>
      </c>
      <c r="J177" s="147">
        <v>45855</v>
      </c>
      <c r="K177" s="147">
        <v>45933</v>
      </c>
      <c r="L177" s="143">
        <f>IF(ISBLANK(DATA[[#This Row],[DISCHARGE DATE]]), "NO DATE", DATA[[#This Row],[DISCHARGE DATE]]-DATA[[#This Row],[ADMISSION DATE]]+1)</f>
        <v>79</v>
      </c>
      <c r="M177" s="148">
        <v>350</v>
      </c>
      <c r="N177" s="148">
        <v>1027</v>
      </c>
      <c r="O177" s="149" t="s">
        <v>623</v>
      </c>
      <c r="P177" s="149" t="s">
        <v>1003</v>
      </c>
      <c r="Q177" s="150">
        <f>IF(DATA[[#This Row],[TYPE]]="Normal", 13 * DATA[[#This Row],[STORAGE DAYS]], 20 * DATA[[#This Row],[STORAGE DAYS]])</f>
        <v>1027</v>
      </c>
      <c r="R177" s="150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389</v>
      </c>
    </row>
    <row r="178" spans="1:20" s="26" customFormat="1" ht="21" x14ac:dyDescent="0.25">
      <c r="A178" s="142" t="s">
        <v>745</v>
      </c>
      <c r="B178" s="143" t="s">
        <v>1011</v>
      </c>
      <c r="C178" s="143">
        <v>47</v>
      </c>
      <c r="D178" s="144" t="s">
        <v>4</v>
      </c>
      <c r="E178" s="144" t="s">
        <v>746</v>
      </c>
      <c r="F178" s="144" t="s">
        <v>1702</v>
      </c>
      <c r="G178" s="144" t="s">
        <v>27</v>
      </c>
      <c r="H178" s="146">
        <v>0.33333333333333331</v>
      </c>
      <c r="I178" s="144" t="s">
        <v>12</v>
      </c>
      <c r="J178" s="147">
        <v>45857</v>
      </c>
      <c r="K178" s="147">
        <v>45933</v>
      </c>
      <c r="L178" s="143">
        <f>IF(ISBLANK(DATA[[#This Row],[DISCHARGE DATE]]), "NO DATE", DATA[[#This Row],[DISCHARGE DATE]]-DATA[[#This Row],[ADMISSION DATE]]+1)</f>
        <v>77</v>
      </c>
      <c r="M178" s="148">
        <v>350</v>
      </c>
      <c r="N178" s="148">
        <v>1540</v>
      </c>
      <c r="O178" s="149" t="s">
        <v>747</v>
      </c>
      <c r="P178" s="149" t="s">
        <v>997</v>
      </c>
      <c r="Q178" s="150">
        <f>IF(DATA[[#This Row],[TYPE]]="Normal", 13 * DATA[[#This Row],[STORAGE DAYS]], 20 * DATA[[#This Row],[STORAGE DAYS]])</f>
        <v>1540</v>
      </c>
      <c r="R178" s="150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389</v>
      </c>
    </row>
    <row r="179" spans="1:20" s="26" customFormat="1" ht="21" x14ac:dyDescent="0.25">
      <c r="A179" s="142" t="s">
        <v>748</v>
      </c>
      <c r="B179" s="143" t="s">
        <v>749</v>
      </c>
      <c r="C179" s="143">
        <v>42</v>
      </c>
      <c r="D179" s="144" t="s">
        <v>5</v>
      </c>
      <c r="E179" s="144" t="s">
        <v>750</v>
      </c>
      <c r="F179" s="144" t="s">
        <v>1703</v>
      </c>
      <c r="G179" s="144" t="s">
        <v>26</v>
      </c>
      <c r="H179" s="146">
        <v>0.97222222222222221</v>
      </c>
      <c r="I179" s="144" t="s">
        <v>12</v>
      </c>
      <c r="J179" s="147">
        <v>45856</v>
      </c>
      <c r="K179" s="147">
        <v>45919</v>
      </c>
      <c r="L179" s="143">
        <f>IF(ISBLANK(DATA[[#This Row],[DISCHARGE DATE]]), "NO DATE", DATA[[#This Row],[DISCHARGE DATE]]-DATA[[#This Row],[ADMISSION DATE]]+1)</f>
        <v>64</v>
      </c>
      <c r="M179" s="148">
        <v>350</v>
      </c>
      <c r="N179" s="148">
        <v>1280</v>
      </c>
      <c r="O179" s="149" t="s">
        <v>464</v>
      </c>
      <c r="P179" s="149" t="s">
        <v>805</v>
      </c>
      <c r="Q179" s="150">
        <f>IF(DATA[[#This Row],[TYPE]]="Normal", 13 * DATA[[#This Row],[STORAGE DAYS]], 20 * DATA[[#This Row],[STORAGE DAYS]])</f>
        <v>1280</v>
      </c>
      <c r="R179" s="150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389</v>
      </c>
    </row>
    <row r="180" spans="1:20" s="26" customFormat="1" ht="21" x14ac:dyDescent="0.25">
      <c r="A180" s="142" t="s">
        <v>751</v>
      </c>
      <c r="B180" s="143" t="s">
        <v>752</v>
      </c>
      <c r="C180" s="143">
        <v>31</v>
      </c>
      <c r="D180" s="144" t="s">
        <v>5</v>
      </c>
      <c r="E180" s="144" t="s">
        <v>753</v>
      </c>
      <c r="F180" s="144" t="s">
        <v>1704</v>
      </c>
      <c r="G180" s="144" t="s">
        <v>15</v>
      </c>
      <c r="H180" s="146">
        <v>0.41388888888888886</v>
      </c>
      <c r="I180" s="144" t="s">
        <v>10</v>
      </c>
      <c r="J180" s="147">
        <v>45858</v>
      </c>
      <c r="K180" s="147">
        <v>45870</v>
      </c>
      <c r="L180" s="143">
        <f>IF(ISBLANK(DATA[[#This Row],[DISCHARGE DATE]]), "NO DATE", DATA[[#This Row],[DISCHARGE DATE]]-DATA[[#This Row],[ADMISSION DATE]]+1)</f>
        <v>13</v>
      </c>
      <c r="M180" s="148">
        <v>350</v>
      </c>
      <c r="N180" s="148">
        <v>169</v>
      </c>
      <c r="O180" s="149" t="s">
        <v>551</v>
      </c>
      <c r="P180" s="149" t="s">
        <v>736</v>
      </c>
      <c r="Q180" s="150">
        <f>IF(DATA[[#This Row],[TYPE]]="Normal", 13 * DATA[[#This Row],[STORAGE DAYS]], 20 * DATA[[#This Row],[STORAGE DAYS]])</f>
        <v>169</v>
      </c>
      <c r="R180" s="150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389</v>
      </c>
    </row>
    <row r="181" spans="1:20" s="26" customFormat="1" ht="21" x14ac:dyDescent="0.25">
      <c r="A181" s="142" t="s">
        <v>754</v>
      </c>
      <c r="B181" s="143" t="s">
        <v>755</v>
      </c>
      <c r="C181" s="143">
        <v>46</v>
      </c>
      <c r="D181" s="144" t="s">
        <v>4</v>
      </c>
      <c r="E181" s="144" t="s">
        <v>756</v>
      </c>
      <c r="F181" s="144" t="s">
        <v>1705</v>
      </c>
      <c r="G181" s="144" t="s">
        <v>27</v>
      </c>
      <c r="H181" s="146">
        <v>0.75</v>
      </c>
      <c r="I181" s="144" t="s">
        <v>10</v>
      </c>
      <c r="J181" s="147">
        <v>45857</v>
      </c>
      <c r="K181" s="147">
        <v>45961</v>
      </c>
      <c r="L181" s="143">
        <f>IF(ISBLANK(DATA[[#This Row],[DISCHARGE DATE]]), "NO DATE", DATA[[#This Row],[DISCHARGE DATE]]-DATA[[#This Row],[ADMISSION DATE]]+1)</f>
        <v>105</v>
      </c>
      <c r="M181" s="148">
        <v>350</v>
      </c>
      <c r="N181" s="148">
        <v>1365</v>
      </c>
      <c r="O181" s="149" t="s">
        <v>618</v>
      </c>
      <c r="P181" s="149" t="s">
        <v>1096</v>
      </c>
      <c r="Q181" s="150">
        <f>IF(DATA[[#This Row],[TYPE]]="Normal", 13 * DATA[[#This Row],[STORAGE DAYS]], 20 * DATA[[#This Row],[STORAGE DAYS]])</f>
        <v>1365</v>
      </c>
      <c r="R181" s="150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389</v>
      </c>
    </row>
    <row r="182" spans="1:20" s="26" customFormat="1" ht="21" x14ac:dyDescent="0.25">
      <c r="A182" s="142" t="s">
        <v>757</v>
      </c>
      <c r="B182" s="143" t="s">
        <v>1010</v>
      </c>
      <c r="C182" s="143">
        <v>45</v>
      </c>
      <c r="D182" s="144" t="s">
        <v>5</v>
      </c>
      <c r="E182" s="144" t="s">
        <v>758</v>
      </c>
      <c r="F182" s="144" t="s">
        <v>1706</v>
      </c>
      <c r="G182" s="144" t="s">
        <v>26</v>
      </c>
      <c r="H182" s="146">
        <v>0.34513888888888888</v>
      </c>
      <c r="I182" s="144" t="s">
        <v>12</v>
      </c>
      <c r="J182" s="147">
        <v>45860</v>
      </c>
      <c r="K182" s="147">
        <v>45954</v>
      </c>
      <c r="L182" s="143">
        <f>IF(ISBLANK(DATA[[#This Row],[DISCHARGE DATE]]), "NO DATE", DATA[[#This Row],[DISCHARGE DATE]]-DATA[[#This Row],[ADMISSION DATE]]+1)</f>
        <v>95</v>
      </c>
      <c r="M182" s="148">
        <v>350</v>
      </c>
      <c r="N182" s="148">
        <v>1900</v>
      </c>
      <c r="O182" s="149" t="s">
        <v>649</v>
      </c>
      <c r="P182" s="149" t="s">
        <v>1041</v>
      </c>
      <c r="Q182" s="150">
        <f>IF(DATA[[#This Row],[TYPE]]="Normal", 13 * DATA[[#This Row],[STORAGE DAYS]], 20 * DATA[[#This Row],[STORAGE DAYS]])</f>
        <v>1900</v>
      </c>
      <c r="R182" s="150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389</v>
      </c>
    </row>
    <row r="183" spans="1:20" s="26" customFormat="1" ht="21" x14ac:dyDescent="0.25">
      <c r="A183" s="142" t="s">
        <v>759</v>
      </c>
      <c r="B183" s="143" t="s">
        <v>760</v>
      </c>
      <c r="C183" s="143">
        <v>35</v>
      </c>
      <c r="D183" s="144" t="s">
        <v>4</v>
      </c>
      <c r="E183" s="144" t="s">
        <v>761</v>
      </c>
      <c r="F183" s="144" t="s">
        <v>1707</v>
      </c>
      <c r="G183" s="144" t="s">
        <v>23</v>
      </c>
      <c r="H183" s="146">
        <v>0.6958333333333333</v>
      </c>
      <c r="I183" s="144" t="s">
        <v>12</v>
      </c>
      <c r="J183" s="147">
        <v>45861</v>
      </c>
      <c r="K183" s="147">
        <v>45898</v>
      </c>
      <c r="L183" s="143">
        <f>IF(ISBLANK(DATA[[#This Row],[DISCHARGE DATE]]), "NO DATE", DATA[[#This Row],[DISCHARGE DATE]]-DATA[[#This Row],[ADMISSION DATE]]+1)</f>
        <v>38</v>
      </c>
      <c r="M183" s="148">
        <v>350</v>
      </c>
      <c r="N183" s="148">
        <v>760</v>
      </c>
      <c r="O183" s="149" t="s">
        <v>417</v>
      </c>
      <c r="P183" s="149" t="s">
        <v>762</v>
      </c>
      <c r="Q183" s="150">
        <f>IF(DATA[[#This Row],[TYPE]]="Normal", 13 * DATA[[#This Row],[STORAGE DAYS]], 20 * DATA[[#This Row],[STORAGE DAYS]])</f>
        <v>760</v>
      </c>
      <c r="R183" s="150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389</v>
      </c>
    </row>
    <row r="184" spans="1:20" s="26" customFormat="1" ht="18" customHeight="1" x14ac:dyDescent="0.25">
      <c r="A184" s="142" t="s">
        <v>763</v>
      </c>
      <c r="B184" s="143" t="s">
        <v>764</v>
      </c>
      <c r="C184" s="143">
        <v>54</v>
      </c>
      <c r="D184" s="144" t="s">
        <v>5</v>
      </c>
      <c r="E184" s="144" t="s">
        <v>765</v>
      </c>
      <c r="F184" s="144" t="s">
        <v>1708</v>
      </c>
      <c r="G184" s="144" t="s">
        <v>26</v>
      </c>
      <c r="H184" s="146">
        <v>0.40486111111111112</v>
      </c>
      <c r="I184" s="144" t="s">
        <v>12</v>
      </c>
      <c r="J184" s="147">
        <v>45867</v>
      </c>
      <c r="K184" s="147">
        <v>45954</v>
      </c>
      <c r="L184" s="143">
        <f>IF(ISBLANK(DATA[[#This Row],[DISCHARGE DATE]]), "NO DATE", DATA[[#This Row],[DISCHARGE DATE]]-DATA[[#This Row],[ADMISSION DATE]]+1)</f>
        <v>88</v>
      </c>
      <c r="M184" s="148">
        <v>350</v>
      </c>
      <c r="N184" s="148">
        <v>1760</v>
      </c>
      <c r="O184" s="149" t="s">
        <v>486</v>
      </c>
      <c r="P184" s="149" t="s">
        <v>1094</v>
      </c>
      <c r="Q184" s="150">
        <f>IF(DATA[[#This Row],[TYPE]]="Normal", 13 * DATA[[#This Row],[STORAGE DAYS]], 20 * DATA[[#This Row],[STORAGE DAYS]])</f>
        <v>1760</v>
      </c>
      <c r="R184" s="150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389</v>
      </c>
    </row>
    <row r="185" spans="1:20" s="26" customFormat="1" ht="18.75" customHeight="1" x14ac:dyDescent="0.25">
      <c r="A185" s="142" t="s">
        <v>766</v>
      </c>
      <c r="B185" s="143" t="s">
        <v>767</v>
      </c>
      <c r="C185" s="143">
        <v>90</v>
      </c>
      <c r="D185" s="144" t="s">
        <v>4</v>
      </c>
      <c r="E185" s="144" t="s">
        <v>768</v>
      </c>
      <c r="F185" s="144" t="s">
        <v>1709</v>
      </c>
      <c r="G185" s="144" t="s">
        <v>8</v>
      </c>
      <c r="H185" s="146">
        <v>0.9375</v>
      </c>
      <c r="I185" s="144" t="s">
        <v>10</v>
      </c>
      <c r="J185" s="147">
        <v>45868</v>
      </c>
      <c r="K185" s="147">
        <v>46129</v>
      </c>
      <c r="L185" s="143">
        <f>IF(ISBLANK(DATA[[#This Row],[DISCHARGE DATE]]), "NO DATE", DATA[[#This Row],[DISCHARGE DATE]]-DATA[[#This Row],[ADMISSION DATE]]+1)</f>
        <v>262</v>
      </c>
      <c r="M185" s="148">
        <v>350</v>
      </c>
      <c r="N185" s="148">
        <v>3406</v>
      </c>
      <c r="O185" s="149" t="s">
        <v>762</v>
      </c>
      <c r="P185" s="149">
        <v>276</v>
      </c>
      <c r="Q185" s="150">
        <f>IF(DATA[[#This Row],[TYPE]]="Normal", 13 * DATA[[#This Row],[STORAGE DAYS]], 20 * DATA[[#This Row],[STORAGE DAYS]])</f>
        <v>3406</v>
      </c>
      <c r="R185" s="150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389</v>
      </c>
    </row>
    <row r="186" spans="1:20" s="26" customFormat="1" ht="16.5" customHeight="1" x14ac:dyDescent="0.25">
      <c r="A186" s="142" t="s">
        <v>769</v>
      </c>
      <c r="B186" s="143" t="s">
        <v>770</v>
      </c>
      <c r="C186" s="143">
        <v>25</v>
      </c>
      <c r="D186" s="144" t="s">
        <v>5</v>
      </c>
      <c r="E186" s="144" t="s">
        <v>589</v>
      </c>
      <c r="F186" s="144" t="s">
        <v>1672</v>
      </c>
      <c r="G186" s="144" t="s">
        <v>27</v>
      </c>
      <c r="H186" s="146">
        <v>0.84722222222222221</v>
      </c>
      <c r="I186" s="144" t="s">
        <v>10</v>
      </c>
      <c r="J186" s="147">
        <v>45873</v>
      </c>
      <c r="K186" s="147">
        <v>45912</v>
      </c>
      <c r="L186" s="143">
        <f>IF(ISBLANK(DATA[[#This Row],[DISCHARGE DATE]]), "NO DATE", DATA[[#This Row],[DISCHARGE DATE]]-DATA[[#This Row],[ADMISSION DATE]]+1)</f>
        <v>40</v>
      </c>
      <c r="M186" s="148">
        <v>350</v>
      </c>
      <c r="N186" s="148">
        <v>520</v>
      </c>
      <c r="O186" s="149" t="s">
        <v>613</v>
      </c>
      <c r="P186" s="149" t="s">
        <v>801</v>
      </c>
      <c r="Q186" s="150">
        <f>IF(DATA[[#This Row],[TYPE]]="Normal", 13 * DATA[[#This Row],[STORAGE DAYS]], 20 * DATA[[#This Row],[STORAGE DAYS]])</f>
        <v>520</v>
      </c>
      <c r="R186" s="150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389</v>
      </c>
    </row>
    <row r="187" spans="1:20" s="26" customFormat="1" ht="16.5" customHeight="1" x14ac:dyDescent="0.25">
      <c r="A187" s="142" t="s">
        <v>771</v>
      </c>
      <c r="B187" s="143" t="s">
        <v>772</v>
      </c>
      <c r="C187" s="143">
        <v>51</v>
      </c>
      <c r="D187" s="144" t="s">
        <v>5</v>
      </c>
      <c r="E187" s="144" t="s">
        <v>773</v>
      </c>
      <c r="F187" s="144" t="s">
        <v>1710</v>
      </c>
      <c r="G187" s="144" t="s">
        <v>27</v>
      </c>
      <c r="H187" s="146">
        <v>0.89583333333333337</v>
      </c>
      <c r="I187" s="144" t="s">
        <v>12</v>
      </c>
      <c r="J187" s="147">
        <v>45874</v>
      </c>
      <c r="K187" s="147">
        <v>45989</v>
      </c>
      <c r="L187" s="143">
        <f>IF(ISBLANK(DATA[[#This Row],[DISCHARGE DATE]]), "NO DATE", DATA[[#This Row],[DISCHARGE DATE]]-DATA[[#This Row],[ADMISSION DATE]]+1)</f>
        <v>116</v>
      </c>
      <c r="M187" s="148">
        <v>350</v>
      </c>
      <c r="N187" s="148">
        <v>2120</v>
      </c>
      <c r="O187" s="149" t="s">
        <v>513</v>
      </c>
      <c r="P187" s="149" t="s">
        <v>512</v>
      </c>
      <c r="Q187" s="150">
        <f>IF(DATA[[#This Row],[TYPE]]="Normal", 13 * DATA[[#This Row],[STORAGE DAYS]], 20 * DATA[[#This Row],[STORAGE DAYS]])</f>
        <v>2320</v>
      </c>
      <c r="R187" s="150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389</v>
      </c>
    </row>
    <row r="188" spans="1:20" s="26" customFormat="1" ht="16.5" customHeight="1" x14ac:dyDescent="0.25">
      <c r="A188" s="142" t="s">
        <v>774</v>
      </c>
      <c r="B188" s="143" t="s">
        <v>775</v>
      </c>
      <c r="C188" s="143">
        <v>69</v>
      </c>
      <c r="D188" s="144" t="s">
        <v>5</v>
      </c>
      <c r="E188" s="144" t="s">
        <v>776</v>
      </c>
      <c r="F188" s="144" t="s">
        <v>1711</v>
      </c>
      <c r="G188" s="144" t="s">
        <v>27</v>
      </c>
      <c r="H188" s="146">
        <v>0.59722222222222221</v>
      </c>
      <c r="I188" s="144" t="s">
        <v>10</v>
      </c>
      <c r="J188" s="147">
        <v>45875</v>
      </c>
      <c r="K188" s="147">
        <v>45989</v>
      </c>
      <c r="L188" s="143">
        <f>IF(ISBLANK(DATA[[#This Row],[DISCHARGE DATE]]), "NO DATE", DATA[[#This Row],[DISCHARGE DATE]]-DATA[[#This Row],[ADMISSION DATE]]+1)</f>
        <v>115</v>
      </c>
      <c r="M188" s="148">
        <v>350</v>
      </c>
      <c r="N188" s="148">
        <v>1395</v>
      </c>
      <c r="O188" s="149" t="s">
        <v>528</v>
      </c>
      <c r="P188" s="149" t="s">
        <v>504</v>
      </c>
      <c r="Q188" s="150">
        <f>IF(DATA[[#This Row],[TYPE]]="Normal", 13 * DATA[[#This Row],[STORAGE DAYS]], 20 * DATA[[#This Row],[STORAGE DAYS]])</f>
        <v>1495</v>
      </c>
      <c r="R188" s="150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389</v>
      </c>
    </row>
    <row r="189" spans="1:20" s="26" customFormat="1" ht="16.5" customHeight="1" x14ac:dyDescent="0.25">
      <c r="A189" s="142" t="s">
        <v>777</v>
      </c>
      <c r="B189" s="143" t="s">
        <v>778</v>
      </c>
      <c r="C189" s="143">
        <v>78</v>
      </c>
      <c r="D189" s="144" t="s">
        <v>5</v>
      </c>
      <c r="E189" s="144" t="s">
        <v>779</v>
      </c>
      <c r="F189" s="144" t="s">
        <v>1712</v>
      </c>
      <c r="G189" s="144" t="s">
        <v>27</v>
      </c>
      <c r="H189" s="146">
        <v>0.5</v>
      </c>
      <c r="I189" s="144" t="s">
        <v>10</v>
      </c>
      <c r="J189" s="147">
        <v>45877</v>
      </c>
      <c r="K189" s="147">
        <v>45933</v>
      </c>
      <c r="L189" s="143">
        <f>IF(ISBLANK(DATA[[#This Row],[DISCHARGE DATE]]), "NO DATE", DATA[[#This Row],[DISCHARGE DATE]]-DATA[[#This Row],[ADMISSION DATE]]+1)</f>
        <v>57</v>
      </c>
      <c r="M189" s="148">
        <v>350</v>
      </c>
      <c r="N189" s="148">
        <v>741</v>
      </c>
      <c r="O189" s="149" t="s">
        <v>681</v>
      </c>
      <c r="P189" s="149" t="s">
        <v>1006</v>
      </c>
      <c r="Q189" s="150">
        <f>IF(DATA[[#This Row],[TYPE]]="Normal", 13 * DATA[[#This Row],[STORAGE DAYS]], 20 * DATA[[#This Row],[STORAGE DAYS]])</f>
        <v>741</v>
      </c>
      <c r="R189" s="150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389</v>
      </c>
    </row>
    <row r="190" spans="1:20" s="26" customFormat="1" ht="16.5" customHeight="1" x14ac:dyDescent="0.25">
      <c r="A190" s="142" t="s">
        <v>780</v>
      </c>
      <c r="B190" s="143" t="s">
        <v>781</v>
      </c>
      <c r="C190" s="143">
        <v>46</v>
      </c>
      <c r="D190" s="144" t="s">
        <v>4</v>
      </c>
      <c r="E190" s="144" t="s">
        <v>782</v>
      </c>
      <c r="F190" s="142" t="s">
        <v>1110</v>
      </c>
      <c r="G190" s="144" t="s">
        <v>27</v>
      </c>
      <c r="H190" s="146">
        <v>0.6875</v>
      </c>
      <c r="I190" s="144" t="s">
        <v>12</v>
      </c>
      <c r="J190" s="147">
        <v>45878</v>
      </c>
      <c r="K190" s="147">
        <v>45961</v>
      </c>
      <c r="L190" s="143">
        <f>IF(ISBLANK(DATA[[#This Row],[DISCHARGE DATE]]), "NO DATE", DATA[[#This Row],[DISCHARGE DATE]]-DATA[[#This Row],[ADMISSION DATE]]+1)</f>
        <v>84</v>
      </c>
      <c r="M190" s="148">
        <v>350</v>
      </c>
      <c r="N190" s="148">
        <v>840</v>
      </c>
      <c r="O190" s="149" t="s">
        <v>695</v>
      </c>
      <c r="P190" s="149" t="s">
        <v>1075</v>
      </c>
      <c r="Q190" s="150">
        <f>IF(DATA[[#This Row],[TYPE]]="Normal", 13 * DATA[[#This Row],[STORAGE DAYS]], 20 * DATA[[#This Row],[STORAGE DAYS]])</f>
        <v>1680</v>
      </c>
      <c r="R190" s="150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389</v>
      </c>
    </row>
    <row r="191" spans="1:20" s="26" customFormat="1" ht="16.5" customHeight="1" x14ac:dyDescent="0.25">
      <c r="A191" s="142" t="s">
        <v>783</v>
      </c>
      <c r="B191" s="143" t="s">
        <v>784</v>
      </c>
      <c r="C191" s="143">
        <v>98</v>
      </c>
      <c r="D191" s="144" t="s">
        <v>5</v>
      </c>
      <c r="E191" s="144" t="s">
        <v>785</v>
      </c>
      <c r="F191" s="144" t="s">
        <v>1713</v>
      </c>
      <c r="G191" s="144" t="s">
        <v>26</v>
      </c>
      <c r="H191" s="146">
        <v>0.34027777777777779</v>
      </c>
      <c r="I191" s="144" t="s">
        <v>10</v>
      </c>
      <c r="J191" s="147">
        <v>45882</v>
      </c>
      <c r="K191" s="147">
        <v>45919</v>
      </c>
      <c r="L191" s="143">
        <f>IF(ISBLANK(DATA[[#This Row],[DISCHARGE DATE]]), "NO DATE", DATA[[#This Row],[DISCHARGE DATE]]-DATA[[#This Row],[ADMISSION DATE]]+1)</f>
        <v>38</v>
      </c>
      <c r="M191" s="148">
        <v>350</v>
      </c>
      <c r="N191" s="148">
        <v>494</v>
      </c>
      <c r="O191" s="149" t="s">
        <v>608</v>
      </c>
      <c r="P191" s="149" t="s">
        <v>809</v>
      </c>
      <c r="Q191" s="150">
        <f>IF(DATA[[#This Row],[TYPE]]="Normal", 13 * DATA[[#This Row],[STORAGE DAYS]], 20 * DATA[[#This Row],[STORAGE DAYS]])</f>
        <v>494</v>
      </c>
      <c r="R191" s="150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389</v>
      </c>
    </row>
    <row r="192" spans="1:20" s="26" customFormat="1" ht="16.5" customHeight="1" x14ac:dyDescent="0.25">
      <c r="A192" s="142" t="s">
        <v>786</v>
      </c>
      <c r="B192" s="143" t="s">
        <v>787</v>
      </c>
      <c r="C192" s="143">
        <v>65</v>
      </c>
      <c r="D192" s="144" t="s">
        <v>4</v>
      </c>
      <c r="E192" s="144" t="s">
        <v>788</v>
      </c>
      <c r="F192" s="144" t="s">
        <v>1714</v>
      </c>
      <c r="G192" s="144" t="s">
        <v>26</v>
      </c>
      <c r="H192" s="146">
        <v>0.91666666666666663</v>
      </c>
      <c r="I192" s="144" t="s">
        <v>10</v>
      </c>
      <c r="J192" s="147">
        <v>45882</v>
      </c>
      <c r="K192" s="147">
        <v>46073</v>
      </c>
      <c r="L192" s="143">
        <f>IF(ISBLANK(DATA[[#This Row],[DISCHARGE DATE]]), "NO DATE", DATA[[#This Row],[DISCHARGE DATE]]-DATA[[#This Row],[ADMISSION DATE]]+1)</f>
        <v>192</v>
      </c>
      <c r="M192" s="148">
        <v>350</v>
      </c>
      <c r="N192" s="148">
        <v>2496</v>
      </c>
      <c r="O192" s="149" t="s">
        <v>732</v>
      </c>
      <c r="P192" s="149">
        <v>141</v>
      </c>
      <c r="Q192" s="150">
        <f>IF(DATA[[#This Row],[TYPE]]="Normal", 13 * DATA[[#This Row],[STORAGE DAYS]], 20 * DATA[[#This Row],[STORAGE DAYS]])</f>
        <v>2496</v>
      </c>
      <c r="R192" s="150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389</v>
      </c>
    </row>
    <row r="193" spans="1:20" s="26" customFormat="1" ht="16.5" customHeight="1" x14ac:dyDescent="0.25">
      <c r="A193" s="142" t="s">
        <v>789</v>
      </c>
      <c r="B193" s="143" t="s">
        <v>790</v>
      </c>
      <c r="C193" s="143">
        <v>69</v>
      </c>
      <c r="D193" s="144" t="s">
        <v>5</v>
      </c>
      <c r="E193" s="144" t="s">
        <v>791</v>
      </c>
      <c r="F193" s="144" t="s">
        <v>1715</v>
      </c>
      <c r="G193" s="144" t="s">
        <v>27</v>
      </c>
      <c r="H193" s="146">
        <v>6.25E-2</v>
      </c>
      <c r="I193" s="144" t="s">
        <v>12</v>
      </c>
      <c r="J193" s="147">
        <v>45883</v>
      </c>
      <c r="K193" s="147">
        <v>45989</v>
      </c>
      <c r="L193" s="143">
        <f>IF(ISBLANK(DATA[[#This Row],[DISCHARGE DATE]]), "NO DATE", DATA[[#This Row],[DISCHARGE DATE]]-DATA[[#This Row],[ADMISSION DATE]]+1)</f>
        <v>107</v>
      </c>
      <c r="M193" s="148">
        <v>350</v>
      </c>
      <c r="N193" s="148">
        <v>2040</v>
      </c>
      <c r="O193" s="149" t="s">
        <v>644</v>
      </c>
      <c r="P193" s="149" t="s">
        <v>453</v>
      </c>
      <c r="Q193" s="150">
        <f>IF(DATA[[#This Row],[TYPE]]="Normal", 13 * DATA[[#This Row],[STORAGE DAYS]], 20 * DATA[[#This Row],[STORAGE DAYS]])</f>
        <v>2140</v>
      </c>
      <c r="R193" s="150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389</v>
      </c>
    </row>
    <row r="194" spans="1:20" s="26" customFormat="1" ht="16.5" customHeight="1" x14ac:dyDescent="0.25">
      <c r="A194" s="142" t="s">
        <v>792</v>
      </c>
      <c r="B194" s="143" t="s">
        <v>793</v>
      </c>
      <c r="C194" s="143">
        <v>58</v>
      </c>
      <c r="D194" s="144" t="s">
        <v>4</v>
      </c>
      <c r="E194" s="144" t="s">
        <v>794</v>
      </c>
      <c r="F194" s="144" t="s">
        <v>1716</v>
      </c>
      <c r="G194" s="144" t="s">
        <v>27</v>
      </c>
      <c r="H194" s="146">
        <v>0.375</v>
      </c>
      <c r="I194" s="144" t="s">
        <v>12</v>
      </c>
      <c r="J194" s="147">
        <v>45884</v>
      </c>
      <c r="K194" s="147">
        <v>46108</v>
      </c>
      <c r="L194" s="143">
        <f>IF(ISBLANK(DATA[[#This Row],[DISCHARGE DATE]]), "NO DATE", DATA[[#This Row],[DISCHARGE DATE]]-DATA[[#This Row],[ADMISSION DATE]]+1)</f>
        <v>225</v>
      </c>
      <c r="M194" s="148">
        <v>350</v>
      </c>
      <c r="N194" s="148">
        <v>4500</v>
      </c>
      <c r="O194" s="149" t="s">
        <v>33</v>
      </c>
      <c r="P194" s="149">
        <v>266</v>
      </c>
      <c r="Q194" s="150">
        <f>IF(DATA[[#This Row],[TYPE]]="Normal", 13 * DATA[[#This Row],[STORAGE DAYS]], 20 * DATA[[#This Row],[STORAGE DAYS]])</f>
        <v>4500</v>
      </c>
      <c r="R194" s="150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389</v>
      </c>
    </row>
    <row r="195" spans="1:20" s="26" customFormat="1" ht="16.5" customHeight="1" x14ac:dyDescent="0.25">
      <c r="A195" s="142" t="s">
        <v>795</v>
      </c>
      <c r="B195" s="143" t="s">
        <v>796</v>
      </c>
      <c r="C195" s="143">
        <v>80</v>
      </c>
      <c r="D195" s="144" t="s">
        <v>5</v>
      </c>
      <c r="E195" s="144" t="s">
        <v>797</v>
      </c>
      <c r="F195" s="144" t="s">
        <v>1677</v>
      </c>
      <c r="G195" s="144" t="s">
        <v>27</v>
      </c>
      <c r="H195" s="146">
        <v>0.875</v>
      </c>
      <c r="I195" s="144" t="s">
        <v>12</v>
      </c>
      <c r="J195" s="147">
        <v>45887</v>
      </c>
      <c r="K195" s="147">
        <v>45961</v>
      </c>
      <c r="L195" s="143">
        <f>IF(ISBLANK(DATA[[#This Row],[DISCHARGE DATE]]), "NO DATE", DATA[[#This Row],[DISCHARGE DATE]]-DATA[[#This Row],[ADMISSION DATE]]+1)</f>
        <v>75</v>
      </c>
      <c r="M195" s="148">
        <v>350</v>
      </c>
      <c r="N195" s="148">
        <v>1500</v>
      </c>
      <c r="O195" s="149" t="s">
        <v>586</v>
      </c>
      <c r="P195" s="149" t="s">
        <v>1132</v>
      </c>
      <c r="Q195" s="150">
        <f>IF(DATA[[#This Row],[TYPE]]="Normal", 13 * DATA[[#This Row],[STORAGE DAYS]], 20 * DATA[[#This Row],[STORAGE DAYS]])</f>
        <v>1500</v>
      </c>
      <c r="R195" s="150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389</v>
      </c>
    </row>
    <row r="196" spans="1:20" s="26" customFormat="1" ht="16.5" customHeight="1" x14ac:dyDescent="0.25">
      <c r="A196" s="142" t="s">
        <v>798</v>
      </c>
      <c r="B196" s="143" t="s">
        <v>799</v>
      </c>
      <c r="C196" s="143">
        <v>55</v>
      </c>
      <c r="D196" s="144" t="s">
        <v>5</v>
      </c>
      <c r="E196" s="144" t="s">
        <v>800</v>
      </c>
      <c r="F196" s="144" t="s">
        <v>1515</v>
      </c>
      <c r="G196" s="144" t="s">
        <v>27</v>
      </c>
      <c r="H196" s="146">
        <v>0.60416666666666663</v>
      </c>
      <c r="I196" s="144" t="s">
        <v>10</v>
      </c>
      <c r="J196" s="147">
        <v>45892</v>
      </c>
      <c r="K196" s="147">
        <v>45933</v>
      </c>
      <c r="L196" s="143">
        <f>IF(ISBLANK(DATA[[#This Row],[DISCHARGE DATE]]), "NO DATE", DATA[[#This Row],[DISCHARGE DATE]]-DATA[[#This Row],[ADMISSION DATE]]+1)</f>
        <v>42</v>
      </c>
      <c r="M196" s="148">
        <v>350</v>
      </c>
      <c r="N196" s="148">
        <v>546</v>
      </c>
      <c r="O196" s="149" t="s">
        <v>801</v>
      </c>
      <c r="P196" s="149" t="s">
        <v>996</v>
      </c>
      <c r="Q196" s="150">
        <f>IF(DATA[[#This Row],[TYPE]]="Normal", 13 * DATA[[#This Row],[STORAGE DAYS]], 20 * DATA[[#This Row],[STORAGE DAYS]])</f>
        <v>546</v>
      </c>
      <c r="R196" s="150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389</v>
      </c>
    </row>
    <row r="197" spans="1:20" s="26" customFormat="1" ht="16.5" customHeight="1" x14ac:dyDescent="0.25">
      <c r="A197" s="142" t="s">
        <v>802</v>
      </c>
      <c r="B197" s="143" t="s">
        <v>803</v>
      </c>
      <c r="C197" s="143">
        <v>32</v>
      </c>
      <c r="D197" s="144" t="s">
        <v>4</v>
      </c>
      <c r="E197" s="144" t="s">
        <v>804</v>
      </c>
      <c r="F197" s="144" t="s">
        <v>1180</v>
      </c>
      <c r="G197" s="144" t="s">
        <v>18</v>
      </c>
      <c r="H197" s="146">
        <v>0.91666666666666663</v>
      </c>
      <c r="I197" s="144" t="s">
        <v>10</v>
      </c>
      <c r="J197" s="147">
        <v>45893</v>
      </c>
      <c r="K197" s="147">
        <v>45989</v>
      </c>
      <c r="L197" s="143">
        <f>IF(ISBLANK(DATA[[#This Row],[DISCHARGE DATE]]), "NO DATE", DATA[[#This Row],[DISCHARGE DATE]]-DATA[[#This Row],[ADMISSION DATE]]+1)</f>
        <v>97</v>
      </c>
      <c r="M197" s="148">
        <v>350</v>
      </c>
      <c r="N197" s="148">
        <v>1161</v>
      </c>
      <c r="O197" s="149" t="s">
        <v>805</v>
      </c>
      <c r="P197" s="149" t="s">
        <v>476</v>
      </c>
      <c r="Q197" s="150">
        <f>IF(DATA[[#This Row],[TYPE]]="Normal", 13 * DATA[[#This Row],[STORAGE DAYS]], 20 * DATA[[#This Row],[STORAGE DAYS]])</f>
        <v>1261</v>
      </c>
      <c r="R197" s="150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389</v>
      </c>
    </row>
    <row r="198" spans="1:20" s="26" customFormat="1" ht="16.5" customHeight="1" x14ac:dyDescent="0.25">
      <c r="A198" s="142" t="s">
        <v>806</v>
      </c>
      <c r="B198" s="143" t="s">
        <v>807</v>
      </c>
      <c r="C198" s="143">
        <v>67</v>
      </c>
      <c r="D198" s="144" t="s">
        <v>5</v>
      </c>
      <c r="E198" s="144" t="s">
        <v>808</v>
      </c>
      <c r="F198" s="144" t="s">
        <v>1717</v>
      </c>
      <c r="G198" s="144" t="s">
        <v>25</v>
      </c>
      <c r="H198" s="146">
        <v>0.4513888888888889</v>
      </c>
      <c r="I198" s="144" t="s">
        <v>10</v>
      </c>
      <c r="J198" s="147">
        <v>45895</v>
      </c>
      <c r="K198" s="147">
        <v>46059</v>
      </c>
      <c r="L198" s="143">
        <f>IF(ISBLANK(DATA[[#This Row],[DISCHARGE DATE]]), "NO DATE", DATA[[#This Row],[DISCHARGE DATE]]-DATA[[#This Row],[ADMISSION DATE]]+1)</f>
        <v>165</v>
      </c>
      <c r="M198" s="148">
        <v>350</v>
      </c>
      <c r="N198" s="148">
        <v>2145</v>
      </c>
      <c r="O198" s="149" t="s">
        <v>809</v>
      </c>
      <c r="P198" s="149">
        <v>132</v>
      </c>
      <c r="Q198" s="150">
        <f>IF(DATA[[#This Row],[TYPE]]="Normal", 13 * DATA[[#This Row],[STORAGE DAYS]], 20 * DATA[[#This Row],[STORAGE DAYS]])</f>
        <v>2145</v>
      </c>
      <c r="R198" s="150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389</v>
      </c>
    </row>
    <row r="199" spans="1:20" s="26" customFormat="1" ht="16.5" customHeight="1" x14ac:dyDescent="0.25">
      <c r="A199" s="142" t="s">
        <v>810</v>
      </c>
      <c r="B199" s="143" t="s">
        <v>811</v>
      </c>
      <c r="C199" s="143">
        <v>73</v>
      </c>
      <c r="D199" s="144" t="s">
        <v>4</v>
      </c>
      <c r="E199" s="144" t="s">
        <v>812</v>
      </c>
      <c r="F199" s="144" t="s">
        <v>1718</v>
      </c>
      <c r="G199" s="144" t="s">
        <v>27</v>
      </c>
      <c r="H199" s="146">
        <v>0.4513888888888889</v>
      </c>
      <c r="I199" s="144" t="s">
        <v>10</v>
      </c>
      <c r="J199" s="147">
        <v>45895</v>
      </c>
      <c r="K199" s="147">
        <v>46073</v>
      </c>
      <c r="L199" s="143">
        <f>IF(ISBLANK(DATA[[#This Row],[DISCHARGE DATE]]), "NO DATE", DATA[[#This Row],[DISCHARGE DATE]]-DATA[[#This Row],[ADMISSION DATE]]+1)</f>
        <v>179</v>
      </c>
      <c r="M199" s="148">
        <v>350</v>
      </c>
      <c r="N199" s="148">
        <v>2327</v>
      </c>
      <c r="O199" s="149" t="s">
        <v>813</v>
      </c>
      <c r="P199" s="149">
        <v>138</v>
      </c>
      <c r="Q199" s="150">
        <f>IF(DATA[[#This Row],[TYPE]]="Normal", 13 * DATA[[#This Row],[STORAGE DAYS]], 20 * DATA[[#This Row],[STORAGE DAYS]])</f>
        <v>2327</v>
      </c>
      <c r="R199" s="150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389</v>
      </c>
    </row>
    <row r="200" spans="1:20" s="26" customFormat="1" ht="16.5" customHeight="1" x14ac:dyDescent="0.25">
      <c r="A200" s="142" t="s">
        <v>814</v>
      </c>
      <c r="B200" s="143" t="s">
        <v>815</v>
      </c>
      <c r="C200" s="143">
        <v>69</v>
      </c>
      <c r="D200" s="144" t="s">
        <v>5</v>
      </c>
      <c r="E200" s="144" t="s">
        <v>816</v>
      </c>
      <c r="F200" s="144" t="s">
        <v>1719</v>
      </c>
      <c r="G200" s="144" t="s">
        <v>27</v>
      </c>
      <c r="H200" s="146">
        <v>0.85416666666666663</v>
      </c>
      <c r="I200" s="144" t="s">
        <v>10</v>
      </c>
      <c r="J200" s="147">
        <v>45897</v>
      </c>
      <c r="K200" s="147">
        <v>45989</v>
      </c>
      <c r="L200" s="143">
        <f>IF(ISBLANK(DATA[[#This Row],[DISCHARGE DATE]]), "NO DATE", DATA[[#This Row],[DISCHARGE DATE]]-DATA[[#This Row],[ADMISSION DATE]]+1)</f>
        <v>93</v>
      </c>
      <c r="M200" s="148">
        <v>350</v>
      </c>
      <c r="N200" s="148">
        <v>1109</v>
      </c>
      <c r="O200" s="149" t="s">
        <v>817</v>
      </c>
      <c r="P200" s="149" t="s">
        <v>490</v>
      </c>
      <c r="Q200" s="150">
        <f>IF(DATA[[#This Row],[TYPE]]="Normal", 13 * DATA[[#This Row],[STORAGE DAYS]], 20 * DATA[[#This Row],[STORAGE DAYS]])</f>
        <v>1209</v>
      </c>
      <c r="R200" s="150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389</v>
      </c>
    </row>
    <row r="201" spans="1:20" s="26" customFormat="1" ht="16.5" customHeight="1" x14ac:dyDescent="0.25">
      <c r="A201" s="142" t="s">
        <v>818</v>
      </c>
      <c r="B201" s="143" t="s">
        <v>819</v>
      </c>
      <c r="C201" s="143">
        <v>87</v>
      </c>
      <c r="D201" s="144" t="s">
        <v>4</v>
      </c>
      <c r="E201" s="144" t="s">
        <v>820</v>
      </c>
      <c r="F201" s="144" t="s">
        <v>1720</v>
      </c>
      <c r="G201" s="144" t="s">
        <v>27</v>
      </c>
      <c r="H201" s="146">
        <v>0</v>
      </c>
      <c r="I201" s="144" t="s">
        <v>12</v>
      </c>
      <c r="J201" s="147">
        <v>45899</v>
      </c>
      <c r="K201" s="147">
        <v>46108</v>
      </c>
      <c r="L201" s="143">
        <f>IF(ISBLANK(DATA[[#This Row],[DISCHARGE DATE]]), "NO DATE", DATA[[#This Row],[DISCHARGE DATE]]-DATA[[#This Row],[ADMISSION DATE]]+1)</f>
        <v>210</v>
      </c>
      <c r="M201" s="148">
        <v>350</v>
      </c>
      <c r="N201" s="148">
        <v>4200</v>
      </c>
      <c r="O201" s="149" t="s">
        <v>821</v>
      </c>
      <c r="P201" s="149">
        <v>142</v>
      </c>
      <c r="Q201" s="150">
        <f>IF(DATA[[#This Row],[TYPE]]="Normal", 13 * DATA[[#This Row],[STORAGE DAYS]], 20 * DATA[[#This Row],[STORAGE DAYS]])</f>
        <v>4200</v>
      </c>
      <c r="R201" s="150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389</v>
      </c>
    </row>
    <row r="202" spans="1:20" s="26" customFormat="1" ht="16.5" customHeight="1" x14ac:dyDescent="0.25">
      <c r="A202" s="142" t="s">
        <v>822</v>
      </c>
      <c r="B202" s="143" t="s">
        <v>823</v>
      </c>
      <c r="C202" s="143">
        <v>78</v>
      </c>
      <c r="D202" s="144" t="s">
        <v>5</v>
      </c>
      <c r="E202" s="144" t="s">
        <v>824</v>
      </c>
      <c r="F202" s="144" t="s">
        <v>1721</v>
      </c>
      <c r="G202" s="144" t="s">
        <v>27</v>
      </c>
      <c r="H202" s="146">
        <v>0.60416666666666663</v>
      </c>
      <c r="I202" s="144" t="s">
        <v>12</v>
      </c>
      <c r="J202" s="147">
        <v>45901</v>
      </c>
      <c r="K202" s="147">
        <v>45989</v>
      </c>
      <c r="L202" s="143">
        <f>IF(ISBLANK(DATA[[#This Row],[DISCHARGE DATE]]), "NO DATE", DATA[[#This Row],[DISCHARGE DATE]]-DATA[[#This Row],[ADMISSION DATE]]+1)</f>
        <v>89</v>
      </c>
      <c r="M202" s="148">
        <v>350</v>
      </c>
      <c r="N202" s="148">
        <v>1680</v>
      </c>
      <c r="O202" s="149" t="s">
        <v>825</v>
      </c>
      <c r="P202" s="149" t="s">
        <v>459</v>
      </c>
      <c r="Q202" s="150">
        <f>IF(DATA[[#This Row],[TYPE]]="Normal", 13 * DATA[[#This Row],[STORAGE DAYS]], 20 * DATA[[#This Row],[STORAGE DAYS]])</f>
        <v>1780</v>
      </c>
      <c r="R202" s="150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389</v>
      </c>
    </row>
    <row r="203" spans="1:20" s="26" customFormat="1" ht="16.5" customHeight="1" x14ac:dyDescent="0.25">
      <c r="A203" s="142" t="s">
        <v>952</v>
      </c>
      <c r="B203" s="143" t="s">
        <v>953</v>
      </c>
      <c r="C203" s="143">
        <v>57</v>
      </c>
      <c r="D203" s="144" t="s">
        <v>5</v>
      </c>
      <c r="E203" s="144" t="s">
        <v>227</v>
      </c>
      <c r="F203" s="144" t="s">
        <v>955</v>
      </c>
      <c r="G203" s="144" t="s">
        <v>26</v>
      </c>
      <c r="H203" s="146">
        <v>0.44791666666666669</v>
      </c>
      <c r="I203" s="144" t="s">
        <v>10</v>
      </c>
      <c r="J203" s="147">
        <v>45902</v>
      </c>
      <c r="K203" s="147">
        <v>45989</v>
      </c>
      <c r="L203" s="143">
        <f>IF(ISBLANK(DATA[[#This Row],[DISCHARGE DATE]]), "NO DATE", DATA[[#This Row],[DISCHARGE DATE]]-DATA[[#This Row],[ADMISSION DATE]]+1)</f>
        <v>88</v>
      </c>
      <c r="M203" s="148">
        <v>350</v>
      </c>
      <c r="N203" s="148">
        <v>1144</v>
      </c>
      <c r="O203" s="149" t="s">
        <v>954</v>
      </c>
      <c r="P203" s="149" t="s">
        <v>1204</v>
      </c>
      <c r="Q203" s="150">
        <f>IF(DATA[[#This Row],[TYPE]]="Normal", 13 * DATA[[#This Row],[STORAGE DAYS]], 20 * DATA[[#This Row],[STORAGE DAYS]])</f>
        <v>1144</v>
      </c>
      <c r="R203" s="150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389</v>
      </c>
    </row>
    <row r="204" spans="1:20" s="26" customFormat="1" ht="16.5" customHeight="1" x14ac:dyDescent="0.25">
      <c r="A204" s="142" t="s">
        <v>956</v>
      </c>
      <c r="B204" s="143" t="s">
        <v>985</v>
      </c>
      <c r="C204" s="143">
        <v>60</v>
      </c>
      <c r="D204" s="144" t="s">
        <v>5</v>
      </c>
      <c r="E204" s="144" t="s">
        <v>1539</v>
      </c>
      <c r="F204" s="144" t="s">
        <v>957</v>
      </c>
      <c r="G204" s="144" t="s">
        <v>958</v>
      </c>
      <c r="H204" s="146" t="s">
        <v>959</v>
      </c>
      <c r="I204" s="144" t="s">
        <v>10</v>
      </c>
      <c r="J204" s="147">
        <v>45903</v>
      </c>
      <c r="K204" s="147">
        <v>45954</v>
      </c>
      <c r="L204" s="143">
        <f>IF(ISBLANK(DATA[[#This Row],[DISCHARGE DATE]]), "NO DATE", DATA[[#This Row],[DISCHARGE DATE]]-DATA[[#This Row],[ADMISSION DATE]]+1)</f>
        <v>52</v>
      </c>
      <c r="M204" s="148">
        <v>350</v>
      </c>
      <c r="N204" s="148">
        <v>676</v>
      </c>
      <c r="O204" s="149" t="s">
        <v>965</v>
      </c>
      <c r="P204" s="149" t="s">
        <v>1040</v>
      </c>
      <c r="Q204" s="150">
        <f>IF(DATA[[#This Row],[TYPE]]="Normal", 13 * DATA[[#This Row],[STORAGE DAYS]], 20 * DATA[[#This Row],[STORAGE DAYS]])</f>
        <v>676</v>
      </c>
      <c r="R204" s="150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389</v>
      </c>
    </row>
    <row r="205" spans="1:20" s="26" customFormat="1" ht="16.5" customHeight="1" x14ac:dyDescent="0.25">
      <c r="A205" s="142" t="s">
        <v>960</v>
      </c>
      <c r="B205" s="143" t="s">
        <v>961</v>
      </c>
      <c r="C205" s="143">
        <v>87</v>
      </c>
      <c r="D205" s="144" t="s">
        <v>5</v>
      </c>
      <c r="E205" s="144" t="s">
        <v>962</v>
      </c>
      <c r="F205" s="144" t="s">
        <v>963</v>
      </c>
      <c r="G205" s="144" t="s">
        <v>17</v>
      </c>
      <c r="H205" s="146" t="s">
        <v>964</v>
      </c>
      <c r="I205" s="144" t="s">
        <v>10</v>
      </c>
      <c r="J205" s="147">
        <v>45905</v>
      </c>
      <c r="K205" s="147">
        <v>46038</v>
      </c>
      <c r="L205" s="143">
        <f>IF(ISBLANK(DATA[[#This Row],[DISCHARGE DATE]]), "NO DATE", DATA[[#This Row],[DISCHARGE DATE]]-DATA[[#This Row],[ADMISSION DATE]]+1)</f>
        <v>134</v>
      </c>
      <c r="M205" s="148">
        <v>350</v>
      </c>
      <c r="N205" s="148">
        <v>1742</v>
      </c>
      <c r="O205" s="149" t="s">
        <v>966</v>
      </c>
      <c r="P205" s="149">
        <v>125</v>
      </c>
      <c r="Q205" s="150">
        <f>IF(DATA[[#This Row],[TYPE]]="Normal", 13 * DATA[[#This Row],[STORAGE DAYS]], 20 * DATA[[#This Row],[STORAGE DAYS]])</f>
        <v>1742</v>
      </c>
      <c r="R205" s="150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389</v>
      </c>
    </row>
    <row r="206" spans="1:20" s="26" customFormat="1" ht="16.5" customHeight="1" x14ac:dyDescent="0.25">
      <c r="A206" s="142" t="s">
        <v>967</v>
      </c>
      <c r="B206" s="143" t="s">
        <v>968</v>
      </c>
      <c r="C206" s="143">
        <v>87</v>
      </c>
      <c r="D206" s="144" t="s">
        <v>4</v>
      </c>
      <c r="E206" s="144" t="s">
        <v>969</v>
      </c>
      <c r="F206" s="144" t="s">
        <v>970</v>
      </c>
      <c r="G206" s="144" t="s">
        <v>27</v>
      </c>
      <c r="H206" s="146" t="s">
        <v>971</v>
      </c>
      <c r="I206" s="144" t="s">
        <v>12</v>
      </c>
      <c r="J206" s="147">
        <v>45905</v>
      </c>
      <c r="K206" s="147">
        <v>46108</v>
      </c>
      <c r="L206" s="143">
        <f>IF(ISBLANK(DATA[[#This Row],[DISCHARGE DATE]]), "NO DATE", DATA[[#This Row],[DISCHARGE DATE]]-DATA[[#This Row],[ADMISSION DATE]]+1)</f>
        <v>204</v>
      </c>
      <c r="M206" s="148">
        <v>350</v>
      </c>
      <c r="N206" s="148">
        <v>4080</v>
      </c>
      <c r="O206" s="149" t="s">
        <v>972</v>
      </c>
      <c r="P206" s="149">
        <v>146</v>
      </c>
      <c r="Q206" s="150">
        <f>IF(DATA[[#This Row],[TYPE]]="Normal", 13 * DATA[[#This Row],[STORAGE DAYS]], 20 * DATA[[#This Row],[STORAGE DAYS]])</f>
        <v>4080</v>
      </c>
      <c r="R206" s="150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389</v>
      </c>
    </row>
    <row r="207" spans="1:20" s="26" customFormat="1" ht="16.5" customHeight="1" x14ac:dyDescent="0.25">
      <c r="A207" s="142" t="s">
        <v>974</v>
      </c>
      <c r="B207" s="143" t="s">
        <v>975</v>
      </c>
      <c r="C207" s="143">
        <v>47</v>
      </c>
      <c r="D207" s="144" t="s">
        <v>5</v>
      </c>
      <c r="E207" s="144" t="s">
        <v>976</v>
      </c>
      <c r="F207" s="144" t="s">
        <v>977</v>
      </c>
      <c r="G207" s="144" t="s">
        <v>27</v>
      </c>
      <c r="H207" s="146">
        <v>0.74097222222222225</v>
      </c>
      <c r="I207" s="144" t="s">
        <v>10</v>
      </c>
      <c r="J207" s="147">
        <v>45908</v>
      </c>
      <c r="K207" s="147">
        <v>45933</v>
      </c>
      <c r="L207" s="143">
        <f>IF(ISBLANK(DATA[[#This Row],[DISCHARGE DATE]]), "NO DATE", DATA[[#This Row],[DISCHARGE DATE]]-DATA[[#This Row],[ADMISSION DATE]]+1)</f>
        <v>26</v>
      </c>
      <c r="M207" s="148">
        <v>350</v>
      </c>
      <c r="N207" s="148">
        <v>338</v>
      </c>
      <c r="O207" s="149" t="s">
        <v>978</v>
      </c>
      <c r="P207" s="149">
        <v>209</v>
      </c>
      <c r="Q207" s="150">
        <f>IF(DATA[[#This Row],[TYPE]]="Normal", 13 * DATA[[#This Row],[STORAGE DAYS]], 20 * DATA[[#This Row],[STORAGE DAYS]])</f>
        <v>338</v>
      </c>
      <c r="R207" s="150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389</v>
      </c>
    </row>
    <row r="208" spans="1:20" s="26" customFormat="1" ht="16.5" customHeight="1" x14ac:dyDescent="0.25">
      <c r="A208" s="142" t="s">
        <v>979</v>
      </c>
      <c r="B208" s="143" t="s">
        <v>980</v>
      </c>
      <c r="C208" s="143">
        <v>64</v>
      </c>
      <c r="D208" s="144" t="s">
        <v>4</v>
      </c>
      <c r="E208" s="144" t="s">
        <v>981</v>
      </c>
      <c r="F208" s="144" t="s">
        <v>984</v>
      </c>
      <c r="G208" s="144" t="s">
        <v>24</v>
      </c>
      <c r="H208" s="146" t="s">
        <v>982</v>
      </c>
      <c r="I208" s="144" t="s">
        <v>10</v>
      </c>
      <c r="J208" s="147">
        <v>45910</v>
      </c>
      <c r="K208" s="147">
        <v>45989</v>
      </c>
      <c r="L208" s="143">
        <f>IF(ISBLANK(DATA[[#This Row],[DISCHARGE DATE]]), "NO DATE", DATA[[#This Row],[DISCHARGE DATE]]-DATA[[#This Row],[ADMISSION DATE]]+1)</f>
        <v>80</v>
      </c>
      <c r="M208" s="148">
        <v>350</v>
      </c>
      <c r="N208" s="148">
        <v>1040</v>
      </c>
      <c r="O208" s="149" t="s">
        <v>983</v>
      </c>
      <c r="P208" s="149" t="s">
        <v>471</v>
      </c>
      <c r="Q208" s="150">
        <f>IF(DATA[[#This Row],[TYPE]]="Normal", 13 * DATA[[#This Row],[STORAGE DAYS]], 20 * DATA[[#This Row],[STORAGE DAYS]])</f>
        <v>1040</v>
      </c>
      <c r="R208" s="150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389</v>
      </c>
    </row>
    <row r="209" spans="1:20" s="26" customFormat="1" ht="16.5" customHeight="1" x14ac:dyDescent="0.25">
      <c r="A209" s="142" t="s">
        <v>986</v>
      </c>
      <c r="B209" s="143" t="s">
        <v>987</v>
      </c>
      <c r="C209" s="143">
        <v>59</v>
      </c>
      <c r="D209" s="144" t="s">
        <v>5</v>
      </c>
      <c r="E209" s="144" t="s">
        <v>988</v>
      </c>
      <c r="F209" s="144" t="s">
        <v>989</v>
      </c>
      <c r="G209" s="144" t="s">
        <v>27</v>
      </c>
      <c r="H209" s="146" t="s">
        <v>990</v>
      </c>
      <c r="I209" s="144" t="s">
        <v>10</v>
      </c>
      <c r="J209" s="147">
        <v>45911</v>
      </c>
      <c r="K209" s="147">
        <v>45961</v>
      </c>
      <c r="L209" s="143">
        <f>IF(ISBLANK(DATA[[#This Row],[DISCHARGE DATE]]), "NO DATE", DATA[[#This Row],[DISCHARGE DATE]]-DATA[[#This Row],[ADMISSION DATE]]+1)</f>
        <v>51</v>
      </c>
      <c r="M209" s="148">
        <v>350</v>
      </c>
      <c r="N209" s="148">
        <v>663</v>
      </c>
      <c r="O209" s="149" t="s">
        <v>996</v>
      </c>
      <c r="P209" s="149" t="s">
        <v>1136</v>
      </c>
      <c r="Q209" s="150">
        <f>IF(DATA[[#This Row],[TYPE]]="Normal", 13 * DATA[[#This Row],[STORAGE DAYS]], 20 * DATA[[#This Row],[STORAGE DAYS]])</f>
        <v>663</v>
      </c>
      <c r="R209" s="150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389</v>
      </c>
    </row>
    <row r="210" spans="1:20" s="26" customFormat="1" ht="16.5" customHeight="1" x14ac:dyDescent="0.25">
      <c r="A210" s="142" t="s">
        <v>991</v>
      </c>
      <c r="B210" s="143" t="s">
        <v>992</v>
      </c>
      <c r="C210" s="143">
        <v>54</v>
      </c>
      <c r="D210" s="144" t="s">
        <v>5</v>
      </c>
      <c r="E210" s="144" t="s">
        <v>993</v>
      </c>
      <c r="F210" s="144" t="s">
        <v>994</v>
      </c>
      <c r="G210" s="144" t="s">
        <v>27</v>
      </c>
      <c r="H210" s="146" t="s">
        <v>995</v>
      </c>
      <c r="I210" s="144" t="s">
        <v>10</v>
      </c>
      <c r="J210" s="147">
        <v>45912</v>
      </c>
      <c r="K210" s="147">
        <v>45989</v>
      </c>
      <c r="L210" s="143">
        <f>IF(ISBLANK(DATA[[#This Row],[DISCHARGE DATE]]), "NO DATE", DATA[[#This Row],[DISCHARGE DATE]]-DATA[[#This Row],[ADMISSION DATE]]+1)</f>
        <v>78</v>
      </c>
      <c r="M210" s="148">
        <v>350</v>
      </c>
      <c r="N210" s="148">
        <v>1014</v>
      </c>
      <c r="O210" s="149" t="s">
        <v>997</v>
      </c>
      <c r="P210" s="149" t="s">
        <v>508</v>
      </c>
      <c r="Q210" s="150">
        <f>IF(DATA[[#This Row],[TYPE]]="Normal", 13 * DATA[[#This Row],[STORAGE DAYS]], 20 * DATA[[#This Row],[STORAGE DAYS]])</f>
        <v>1014</v>
      </c>
      <c r="R210" s="150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389</v>
      </c>
    </row>
    <row r="211" spans="1:20" s="26" customFormat="1" ht="16.5" customHeight="1" x14ac:dyDescent="0.25">
      <c r="A211" s="142" t="s">
        <v>998</v>
      </c>
      <c r="B211" s="143" t="s">
        <v>999</v>
      </c>
      <c r="C211" s="143">
        <v>40</v>
      </c>
      <c r="D211" s="144" t="s">
        <v>5</v>
      </c>
      <c r="E211" s="144" t="s">
        <v>1000</v>
      </c>
      <c r="F211" s="144" t="s">
        <v>1001</v>
      </c>
      <c r="G211" s="144" t="s">
        <v>24</v>
      </c>
      <c r="H211" s="146" t="s">
        <v>1002</v>
      </c>
      <c r="I211" s="144" t="s">
        <v>10</v>
      </c>
      <c r="J211" s="147">
        <v>45914</v>
      </c>
      <c r="K211" s="147">
        <v>45989</v>
      </c>
      <c r="L211" s="143">
        <f>IF(ISBLANK(DATA[[#This Row],[DISCHARGE DATE]]), "NO DATE", DATA[[#This Row],[DISCHARGE DATE]]-DATA[[#This Row],[ADMISSION DATE]]+1)</f>
        <v>76</v>
      </c>
      <c r="M211" s="148">
        <v>350</v>
      </c>
      <c r="N211" s="148">
        <v>988</v>
      </c>
      <c r="O211" s="149" t="s">
        <v>1003</v>
      </c>
      <c r="P211" s="149" t="s">
        <v>1277</v>
      </c>
      <c r="Q211" s="150">
        <f>IF(DATA[[#This Row],[TYPE]]="Normal", 13 * DATA[[#This Row],[STORAGE DAYS]], 20 * DATA[[#This Row],[STORAGE DAYS]])</f>
        <v>988</v>
      </c>
      <c r="R211" s="150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389</v>
      </c>
    </row>
    <row r="212" spans="1:20" s="26" customFormat="1" ht="16.5" customHeight="1" x14ac:dyDescent="0.25">
      <c r="A212" s="142" t="s">
        <v>1004</v>
      </c>
      <c r="B212" s="143" t="s">
        <v>1005</v>
      </c>
      <c r="C212" s="143">
        <v>27</v>
      </c>
      <c r="D212" s="144" t="s">
        <v>5</v>
      </c>
      <c r="E212" s="144" t="s">
        <v>1008</v>
      </c>
      <c r="F212" s="144" t="s">
        <v>1009</v>
      </c>
      <c r="G212" s="144" t="s">
        <v>18</v>
      </c>
      <c r="H212" s="146">
        <v>0.43055555555555558</v>
      </c>
      <c r="I212" s="144" t="s">
        <v>12</v>
      </c>
      <c r="J212" s="147">
        <v>45915</v>
      </c>
      <c r="K212" s="147">
        <v>45920</v>
      </c>
      <c r="L212" s="143">
        <f>IF(ISBLANK(DATA[[#This Row],[DISCHARGE DATE]]), "NO DATE", DATA[[#This Row],[DISCHARGE DATE]]-DATA[[#This Row],[ADMISSION DATE]]+1)</f>
        <v>6</v>
      </c>
      <c r="M212" s="148">
        <v>350</v>
      </c>
      <c r="N212" s="148">
        <v>120</v>
      </c>
      <c r="O212" s="149" t="s">
        <v>1006</v>
      </c>
      <c r="P212" s="149" t="s">
        <v>1012</v>
      </c>
      <c r="Q212" s="150">
        <f>IF(DATA[[#This Row],[TYPE]]="Normal", 13 * DATA[[#This Row],[STORAGE DAYS]], 20 * DATA[[#This Row],[STORAGE DAYS]])</f>
        <v>120</v>
      </c>
      <c r="R212" s="150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389</v>
      </c>
    </row>
    <row r="213" spans="1:20" s="26" customFormat="1" ht="16.5" customHeight="1" x14ac:dyDescent="0.25">
      <c r="A213" s="142" t="s">
        <v>1013</v>
      </c>
      <c r="B213" s="143" t="s">
        <v>1014</v>
      </c>
      <c r="C213" s="143">
        <v>93</v>
      </c>
      <c r="D213" s="144" t="s">
        <v>5</v>
      </c>
      <c r="E213" s="144" t="s">
        <v>1015</v>
      </c>
      <c r="F213" s="144" t="s">
        <v>1016</v>
      </c>
      <c r="G213" s="144" t="s">
        <v>26</v>
      </c>
      <c r="H213" s="146" t="s">
        <v>1017</v>
      </c>
      <c r="I213" s="144" t="s">
        <v>10</v>
      </c>
      <c r="J213" s="147">
        <v>45923</v>
      </c>
      <c r="K213" s="147">
        <v>46129</v>
      </c>
      <c r="L213" s="143">
        <f>IF(ISBLANK(DATA[[#This Row],[DISCHARGE DATE]]), "NO DATE", DATA[[#This Row],[DISCHARGE DATE]]-DATA[[#This Row],[ADMISSION DATE]]+1)</f>
        <v>207</v>
      </c>
      <c r="M213" s="148">
        <v>350</v>
      </c>
      <c r="N213" s="148">
        <v>2691</v>
      </c>
      <c r="O213" s="149" t="s">
        <v>1018</v>
      </c>
      <c r="P213" s="149">
        <v>217</v>
      </c>
      <c r="Q213" s="150">
        <f>IF(DATA[[#This Row],[TYPE]]="Normal", 13 * DATA[[#This Row],[STORAGE DAYS]], 20 * DATA[[#This Row],[STORAGE DAYS]])</f>
        <v>2691</v>
      </c>
      <c r="R213" s="150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389</v>
      </c>
    </row>
    <row r="214" spans="1:20" s="26" customFormat="1" ht="16.5" customHeight="1" x14ac:dyDescent="0.25">
      <c r="A214" s="142" t="s">
        <v>1019</v>
      </c>
      <c r="B214" s="143" t="s">
        <v>1020</v>
      </c>
      <c r="C214" s="143">
        <v>43</v>
      </c>
      <c r="D214" s="144" t="s">
        <v>5</v>
      </c>
      <c r="E214" s="144" t="s">
        <v>1021</v>
      </c>
      <c r="F214" s="144" t="s">
        <v>1022</v>
      </c>
      <c r="G214" s="144" t="s">
        <v>25</v>
      </c>
      <c r="H214" s="146" t="s">
        <v>995</v>
      </c>
      <c r="I214" s="144" t="s">
        <v>10</v>
      </c>
      <c r="J214" s="147">
        <v>45925</v>
      </c>
      <c r="K214" s="147">
        <v>45961</v>
      </c>
      <c r="L214" s="143">
        <f>IF(ISBLANK(DATA[[#This Row],[DISCHARGE DATE]]), "NO DATE", DATA[[#This Row],[DISCHARGE DATE]]-DATA[[#This Row],[ADMISSION DATE]]+1)</f>
        <v>37</v>
      </c>
      <c r="M214" s="148">
        <v>350</v>
      </c>
      <c r="N214" s="148">
        <v>481</v>
      </c>
      <c r="O214" s="149" t="s">
        <v>1028</v>
      </c>
      <c r="P214" s="149" t="s">
        <v>1159</v>
      </c>
      <c r="Q214" s="150">
        <f>IF(DATA[[#This Row],[TYPE]]="Normal", 13 * DATA[[#This Row],[STORAGE DAYS]], 20 * DATA[[#This Row],[STORAGE DAYS]])</f>
        <v>481</v>
      </c>
      <c r="R214" s="150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389</v>
      </c>
    </row>
    <row r="215" spans="1:20" s="26" customFormat="1" ht="16.5" customHeight="1" x14ac:dyDescent="0.25">
      <c r="A215" s="142" t="s">
        <v>1023</v>
      </c>
      <c r="B215" s="143" t="s">
        <v>1024</v>
      </c>
      <c r="C215" s="143">
        <v>38</v>
      </c>
      <c r="D215" s="144" t="s">
        <v>5</v>
      </c>
      <c r="E215" s="144" t="s">
        <v>1025</v>
      </c>
      <c r="F215" s="144" t="s">
        <v>1026</v>
      </c>
      <c r="G215" s="144" t="s">
        <v>27</v>
      </c>
      <c r="H215" s="146" t="s">
        <v>1027</v>
      </c>
      <c r="I215" s="144" t="s">
        <v>10</v>
      </c>
      <c r="J215" s="147">
        <v>45925</v>
      </c>
      <c r="K215" s="147">
        <v>45998</v>
      </c>
      <c r="L215" s="143">
        <f>IF(ISBLANK(DATA[[#This Row],[DISCHARGE DATE]]), "NO DATE", DATA[[#This Row],[DISCHARGE DATE]]-DATA[[#This Row],[ADMISSION DATE]]+1)</f>
        <v>74</v>
      </c>
      <c r="M215" s="148">
        <v>350</v>
      </c>
      <c r="N215" s="148">
        <v>962</v>
      </c>
      <c r="O215" s="149" t="s">
        <v>1029</v>
      </c>
      <c r="P215" s="149" t="s">
        <v>522</v>
      </c>
      <c r="Q215" s="150">
        <f>IF(DATA[[#This Row],[TYPE]]="Normal", 13 * DATA[[#This Row],[STORAGE DAYS]], 20 * DATA[[#This Row],[STORAGE DAYS]])</f>
        <v>962</v>
      </c>
      <c r="R215" s="150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389</v>
      </c>
    </row>
    <row r="216" spans="1:20" s="26" customFormat="1" ht="16.5" customHeight="1" x14ac:dyDescent="0.25">
      <c r="A216" s="142" t="s">
        <v>1030</v>
      </c>
      <c r="B216" s="143" t="s">
        <v>1031</v>
      </c>
      <c r="C216" s="143">
        <v>75</v>
      </c>
      <c r="D216" s="144" t="s">
        <v>5</v>
      </c>
      <c r="E216" s="144" t="s">
        <v>1032</v>
      </c>
      <c r="F216" s="144" t="s">
        <v>1033</v>
      </c>
      <c r="G216" s="144" t="s">
        <v>27</v>
      </c>
      <c r="H216" s="146" t="s">
        <v>1034</v>
      </c>
      <c r="I216" s="144" t="s">
        <v>10</v>
      </c>
      <c r="J216" s="147">
        <v>45927</v>
      </c>
      <c r="K216" s="147">
        <v>46108</v>
      </c>
      <c r="L216" s="143">
        <f>IF(ISBLANK(DATA[[#This Row],[DISCHARGE DATE]]), "NO DATE", DATA[[#This Row],[DISCHARGE DATE]]-DATA[[#This Row],[ADMISSION DATE]]+1)</f>
        <v>182</v>
      </c>
      <c r="M216" s="148">
        <v>350</v>
      </c>
      <c r="N216" s="148">
        <v>2366</v>
      </c>
      <c r="O216" s="149" t="s">
        <v>1040</v>
      </c>
      <c r="P216" s="149">
        <v>133</v>
      </c>
      <c r="Q216" s="150">
        <f>IF(DATA[[#This Row],[TYPE]]="Normal", 13 * DATA[[#This Row],[STORAGE DAYS]], 20 * DATA[[#This Row],[STORAGE DAYS]])</f>
        <v>2366</v>
      </c>
      <c r="R216" s="150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389</v>
      </c>
    </row>
    <row r="217" spans="1:20" s="26" customFormat="1" ht="16.5" customHeight="1" x14ac:dyDescent="0.25">
      <c r="A217" s="142" t="s">
        <v>1035</v>
      </c>
      <c r="B217" s="143" t="s">
        <v>1036</v>
      </c>
      <c r="C217" s="143">
        <v>57</v>
      </c>
      <c r="D217" s="144" t="s">
        <v>5</v>
      </c>
      <c r="E217" s="144" t="s">
        <v>1037</v>
      </c>
      <c r="F217" s="144" t="s">
        <v>1038</v>
      </c>
      <c r="G217" s="144" t="s">
        <v>25</v>
      </c>
      <c r="H217" s="146" t="s">
        <v>1039</v>
      </c>
      <c r="I217" s="144" t="s">
        <v>10</v>
      </c>
      <c r="J217" s="147">
        <v>45932</v>
      </c>
      <c r="K217" s="147">
        <v>46059</v>
      </c>
      <c r="L217" s="143">
        <f>IF(ISBLANK(DATA[[#This Row],[DISCHARGE DATE]]), "NO DATE", DATA[[#This Row],[DISCHARGE DATE]]-DATA[[#This Row],[ADMISSION DATE]]+1)</f>
        <v>128</v>
      </c>
      <c r="M217" s="148">
        <v>350</v>
      </c>
      <c r="N217" s="148">
        <v>1664</v>
      </c>
      <c r="O217" s="149" t="s">
        <v>1041</v>
      </c>
      <c r="P217" s="149">
        <v>134</v>
      </c>
      <c r="Q217" s="150">
        <f>IF(DATA[[#This Row],[TYPE]]="Normal", 13 * DATA[[#This Row],[STORAGE DAYS]], 20 * DATA[[#This Row],[STORAGE DAYS]])</f>
        <v>1664</v>
      </c>
      <c r="R217" s="150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389</v>
      </c>
    </row>
    <row r="218" spans="1:20" s="26" customFormat="1" ht="16.5" customHeight="1" x14ac:dyDescent="0.25">
      <c r="A218" s="142" t="s">
        <v>1044</v>
      </c>
      <c r="B218" s="143" t="s">
        <v>1045</v>
      </c>
      <c r="C218" s="143">
        <v>70</v>
      </c>
      <c r="D218" s="144" t="s">
        <v>4</v>
      </c>
      <c r="E218" s="144" t="s">
        <v>1046</v>
      </c>
      <c r="F218" s="144" t="s">
        <v>1047</v>
      </c>
      <c r="G218" s="144" t="s">
        <v>27</v>
      </c>
      <c r="H218" s="146" t="s">
        <v>1048</v>
      </c>
      <c r="I218" s="144" t="s">
        <v>12</v>
      </c>
      <c r="J218" s="147">
        <v>45935</v>
      </c>
      <c r="K218" s="147">
        <v>46108</v>
      </c>
      <c r="L218" s="143">
        <f>IF(ISBLANK(DATA[[#This Row],[DISCHARGE DATE]]), "NO DATE", DATA[[#This Row],[DISCHARGE DATE]]-DATA[[#This Row],[ADMISSION DATE]]+1)</f>
        <v>174</v>
      </c>
      <c r="M218" s="148">
        <v>350</v>
      </c>
      <c r="N218" s="148">
        <v>3480</v>
      </c>
      <c r="O218" s="149" t="s">
        <v>1049</v>
      </c>
      <c r="P218" s="149">
        <v>251</v>
      </c>
      <c r="Q218" s="150">
        <f>IF(DATA[[#This Row],[TYPE]]="Normal", 13 * DATA[[#This Row],[STORAGE DAYS]], 20 * DATA[[#This Row],[STORAGE DAYS]])</f>
        <v>3480</v>
      </c>
      <c r="R218" s="150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389</v>
      </c>
    </row>
    <row r="219" spans="1:20" s="26" customFormat="1" ht="16.5" customHeight="1" x14ac:dyDescent="0.25">
      <c r="A219" s="142" t="s">
        <v>1050</v>
      </c>
      <c r="B219" s="143" t="s">
        <v>1133</v>
      </c>
      <c r="C219" s="143">
        <v>55</v>
      </c>
      <c r="D219" s="144" t="s">
        <v>4</v>
      </c>
      <c r="E219" s="144" t="s">
        <v>629</v>
      </c>
      <c r="F219" s="144" t="s">
        <v>1051</v>
      </c>
      <c r="G219" s="144" t="s">
        <v>27</v>
      </c>
      <c r="H219" s="146">
        <v>0.8208333333333333</v>
      </c>
      <c r="I219" s="144" t="s">
        <v>10</v>
      </c>
      <c r="J219" s="147">
        <v>45933</v>
      </c>
      <c r="K219" s="147">
        <v>45961</v>
      </c>
      <c r="L219" s="143">
        <f>IF(ISBLANK(DATA[[#This Row],[DISCHARGE DATE]]), "NO DATE", DATA[[#This Row],[DISCHARGE DATE]]-DATA[[#This Row],[ADMISSION DATE]]+1)</f>
        <v>29</v>
      </c>
      <c r="M219" s="148">
        <v>350</v>
      </c>
      <c r="N219" s="148">
        <v>377</v>
      </c>
      <c r="O219" s="149" t="s">
        <v>1057</v>
      </c>
      <c r="P219" s="149" t="s">
        <v>1102</v>
      </c>
      <c r="Q219" s="150">
        <f>IF(DATA[[#This Row],[TYPE]]="Normal", 13 * DATA[[#This Row],[STORAGE DAYS]], 20 * DATA[[#This Row],[STORAGE DAYS]])</f>
        <v>377</v>
      </c>
      <c r="R219" s="150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389</v>
      </c>
    </row>
    <row r="220" spans="1:20" s="26" customFormat="1" ht="16.5" customHeight="1" x14ac:dyDescent="0.25">
      <c r="A220" s="142" t="s">
        <v>1053</v>
      </c>
      <c r="B220" s="143" t="s">
        <v>1054</v>
      </c>
      <c r="C220" s="143">
        <v>70</v>
      </c>
      <c r="D220" s="144" t="s">
        <v>4</v>
      </c>
      <c r="E220" s="144" t="s">
        <v>1055</v>
      </c>
      <c r="F220" s="144" t="s">
        <v>1056</v>
      </c>
      <c r="G220" s="144" t="s">
        <v>27</v>
      </c>
      <c r="H220" s="146" t="s">
        <v>1052</v>
      </c>
      <c r="I220" s="144" t="s">
        <v>12</v>
      </c>
      <c r="J220" s="147">
        <v>45937</v>
      </c>
      <c r="K220" s="147">
        <v>46108</v>
      </c>
      <c r="L220" s="143">
        <f>IF(ISBLANK(DATA[[#This Row],[DISCHARGE DATE]]), "NO DATE", DATA[[#This Row],[DISCHARGE DATE]]-DATA[[#This Row],[ADMISSION DATE]]+1)</f>
        <v>172</v>
      </c>
      <c r="M220" s="148">
        <v>350</v>
      </c>
      <c r="N220" s="148">
        <v>3440</v>
      </c>
      <c r="O220" s="149" t="s">
        <v>1058</v>
      </c>
      <c r="P220" s="149">
        <v>264</v>
      </c>
      <c r="Q220" s="150">
        <f>IF(DATA[[#This Row],[TYPE]]="Normal", 13 * DATA[[#This Row],[STORAGE DAYS]], 20 * DATA[[#This Row],[STORAGE DAYS]])</f>
        <v>3440</v>
      </c>
      <c r="R220" s="150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389</v>
      </c>
    </row>
    <row r="221" spans="1:20" s="26" customFormat="1" ht="16.5" customHeight="1" x14ac:dyDescent="0.25">
      <c r="A221" s="142" t="s">
        <v>1059</v>
      </c>
      <c r="B221" s="143" t="s">
        <v>1060</v>
      </c>
      <c r="C221" s="143">
        <v>30</v>
      </c>
      <c r="D221" s="144" t="s">
        <v>4</v>
      </c>
      <c r="E221" s="144" t="s">
        <v>1061</v>
      </c>
      <c r="F221" s="144" t="s">
        <v>1062</v>
      </c>
      <c r="G221" s="144" t="s">
        <v>26</v>
      </c>
      <c r="H221" s="146" t="s">
        <v>1063</v>
      </c>
      <c r="I221" s="144" t="s">
        <v>10</v>
      </c>
      <c r="J221" s="147">
        <v>45940</v>
      </c>
      <c r="K221" s="147">
        <v>46143</v>
      </c>
      <c r="L221" s="143">
        <f>IF(ISBLANK(DATA[[#This Row],[DISCHARGE DATE]]), "NO DATE", DATA[[#This Row],[DISCHARGE DATE]]-DATA[[#This Row],[ADMISSION DATE]]+1)</f>
        <v>204</v>
      </c>
      <c r="M221" s="148">
        <v>350</v>
      </c>
      <c r="N221" s="148">
        <v>2652</v>
      </c>
      <c r="O221" s="149" t="s">
        <v>1064</v>
      </c>
      <c r="P221" s="149">
        <v>290</v>
      </c>
      <c r="Q221" s="150">
        <f>IF(DATA[[#This Row],[TYPE]]="Normal", 13 * DATA[[#This Row],[STORAGE DAYS]], 20 * DATA[[#This Row],[STORAGE DAYS]])</f>
        <v>2652</v>
      </c>
      <c r="R221" s="150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389</v>
      </c>
    </row>
    <row r="222" spans="1:20" s="26" customFormat="1" ht="16.5" customHeight="1" x14ac:dyDescent="0.25">
      <c r="A222" s="142" t="s">
        <v>1065</v>
      </c>
      <c r="B222" s="143" t="s">
        <v>1066</v>
      </c>
      <c r="C222" s="143">
        <v>17</v>
      </c>
      <c r="D222" s="144" t="s">
        <v>4</v>
      </c>
      <c r="E222" s="144" t="s">
        <v>1067</v>
      </c>
      <c r="F222" s="144" t="s">
        <v>1068</v>
      </c>
      <c r="G222" s="144" t="s">
        <v>24</v>
      </c>
      <c r="H222" s="146" t="s">
        <v>1069</v>
      </c>
      <c r="I222" s="144" t="s">
        <v>12</v>
      </c>
      <c r="J222" s="147">
        <v>45942</v>
      </c>
      <c r="K222" s="147">
        <v>46009</v>
      </c>
      <c r="L222" s="143">
        <f>IF(ISBLANK(DATA[[#This Row],[DISCHARGE DATE]]), "NO DATE", DATA[[#This Row],[DISCHARGE DATE]]-DATA[[#This Row],[ADMISSION DATE]]+1)</f>
        <v>68</v>
      </c>
      <c r="M222" s="148">
        <v>350</v>
      </c>
      <c r="N222" s="148">
        <v>1360</v>
      </c>
      <c r="O222" s="149" t="s">
        <v>1070</v>
      </c>
      <c r="P222" s="149">
        <v>122</v>
      </c>
      <c r="Q222" s="150">
        <f>IF(DATA[[#This Row],[TYPE]]="Normal", 13 * DATA[[#This Row],[STORAGE DAYS]], 20 * DATA[[#This Row],[STORAGE DAYS]])</f>
        <v>1360</v>
      </c>
      <c r="R222" s="150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389</v>
      </c>
    </row>
    <row r="223" spans="1:20" s="26" customFormat="1" ht="16.5" customHeight="1" x14ac:dyDescent="0.25">
      <c r="A223" s="142" t="s">
        <v>1071</v>
      </c>
      <c r="B223" s="143" t="s">
        <v>72</v>
      </c>
      <c r="C223" s="143">
        <v>68</v>
      </c>
      <c r="D223" s="144" t="s">
        <v>5</v>
      </c>
      <c r="E223" s="144" t="s">
        <v>1072</v>
      </c>
      <c r="F223" s="144" t="s">
        <v>1073</v>
      </c>
      <c r="G223" s="144" t="s">
        <v>27</v>
      </c>
      <c r="H223" s="146" t="s">
        <v>1074</v>
      </c>
      <c r="I223" s="144" t="s">
        <v>12</v>
      </c>
      <c r="J223" s="147">
        <v>45945</v>
      </c>
      <c r="K223" s="147">
        <v>46108</v>
      </c>
      <c r="L223" s="143">
        <f>IF(ISBLANK(DATA[[#This Row],[DISCHARGE DATE]]), "NO DATE", DATA[[#This Row],[DISCHARGE DATE]]-DATA[[#This Row],[ADMISSION DATE]]+1)</f>
        <v>164</v>
      </c>
      <c r="M223" s="148">
        <v>350</v>
      </c>
      <c r="N223" s="148">
        <v>3280</v>
      </c>
      <c r="O223" s="149" t="s">
        <v>1075</v>
      </c>
      <c r="P223" s="149">
        <v>139</v>
      </c>
      <c r="Q223" s="150">
        <f>IF(DATA[[#This Row],[TYPE]]="Normal", 13 * DATA[[#This Row],[STORAGE DAYS]], 20 * DATA[[#This Row],[STORAGE DAYS]])</f>
        <v>3280</v>
      </c>
      <c r="R223" s="150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389</v>
      </c>
    </row>
    <row r="224" spans="1:20" s="26" customFormat="1" ht="16.5" customHeight="1" x14ac:dyDescent="0.25">
      <c r="A224" s="142" t="s">
        <v>1076</v>
      </c>
      <c r="B224" s="143" t="s">
        <v>1077</v>
      </c>
      <c r="C224" s="143">
        <v>42</v>
      </c>
      <c r="D224" s="144" t="s">
        <v>4</v>
      </c>
      <c r="E224" s="144" t="s">
        <v>1078</v>
      </c>
      <c r="F224" s="144" t="s">
        <v>1079</v>
      </c>
      <c r="G224" s="144" t="s">
        <v>27</v>
      </c>
      <c r="H224" s="146" t="s">
        <v>1080</v>
      </c>
      <c r="I224" s="144" t="s">
        <v>10</v>
      </c>
      <c r="J224" s="147">
        <v>45944</v>
      </c>
      <c r="K224" s="147">
        <v>45989</v>
      </c>
      <c r="L224" s="143">
        <f>IF(ISBLANK(DATA[[#This Row],[DISCHARGE DATE]]), "NO DATE", DATA[[#This Row],[DISCHARGE DATE]]-DATA[[#This Row],[ADMISSION DATE]]+1)</f>
        <v>46</v>
      </c>
      <c r="M224" s="148">
        <v>350</v>
      </c>
      <c r="N224" s="148">
        <v>598</v>
      </c>
      <c r="O224" s="149" t="s">
        <v>1094</v>
      </c>
      <c r="P224" s="149" t="s">
        <v>453</v>
      </c>
      <c r="Q224" s="150">
        <f>IF(DATA[[#This Row],[TYPE]]="Normal", 13 * DATA[[#This Row],[STORAGE DAYS]], 20 * DATA[[#This Row],[STORAGE DAYS]])</f>
        <v>598</v>
      </c>
      <c r="R224" s="150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389</v>
      </c>
    </row>
    <row r="225" spans="1:20" s="26" customFormat="1" ht="16.5" customHeight="1" x14ac:dyDescent="0.25">
      <c r="A225" s="142" t="s">
        <v>1081</v>
      </c>
      <c r="B225" s="143" t="s">
        <v>1137</v>
      </c>
      <c r="C225" s="143">
        <v>77</v>
      </c>
      <c r="D225" s="144" t="s">
        <v>5</v>
      </c>
      <c r="E225" s="144" t="s">
        <v>1092</v>
      </c>
      <c r="F225" s="144" t="s">
        <v>1093</v>
      </c>
      <c r="G225" s="144" t="s">
        <v>26</v>
      </c>
      <c r="H225" s="146">
        <v>0.77083333333333337</v>
      </c>
      <c r="I225" s="144" t="s">
        <v>10</v>
      </c>
      <c r="J225" s="147">
        <v>45945</v>
      </c>
      <c r="K225" s="147">
        <v>46073</v>
      </c>
      <c r="L225" s="143">
        <f>IF(ISBLANK(DATA[[#This Row],[DISCHARGE DATE]]), "NO DATE", DATA[[#This Row],[DISCHARGE DATE]]-DATA[[#This Row],[ADMISSION DATE]]+1)</f>
        <v>129</v>
      </c>
      <c r="M225" s="148">
        <v>350</v>
      </c>
      <c r="N225" s="148">
        <v>1677</v>
      </c>
      <c r="O225" s="149" t="s">
        <v>1095</v>
      </c>
      <c r="P225" s="149">
        <v>123</v>
      </c>
      <c r="Q225" s="150">
        <f>IF(DATA[[#This Row],[TYPE]]="Normal", 13 * DATA[[#This Row],[STORAGE DAYS]], 20 * DATA[[#This Row],[STORAGE DAYS]])</f>
        <v>1677</v>
      </c>
      <c r="R225" s="150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389</v>
      </c>
    </row>
    <row r="226" spans="1:20" s="26" customFormat="1" ht="16.5" customHeight="1" x14ac:dyDescent="0.25">
      <c r="A226" s="142" t="s">
        <v>1086</v>
      </c>
      <c r="B226" s="143" t="s">
        <v>1082</v>
      </c>
      <c r="C226" s="143">
        <v>78</v>
      </c>
      <c r="D226" s="144" t="s">
        <v>5</v>
      </c>
      <c r="E226" s="144" t="s">
        <v>1083</v>
      </c>
      <c r="F226" s="144" t="s">
        <v>1084</v>
      </c>
      <c r="G226" s="144" t="s">
        <v>27</v>
      </c>
      <c r="H226" s="146" t="s">
        <v>1085</v>
      </c>
      <c r="I226" s="144" t="s">
        <v>12</v>
      </c>
      <c r="J226" s="147">
        <v>45947</v>
      </c>
      <c r="K226" s="147">
        <v>46143</v>
      </c>
      <c r="L226" s="143">
        <f>IF(ISBLANK(DATA[[#This Row],[DISCHARGE DATE]]), "NO DATE", DATA[[#This Row],[DISCHARGE DATE]]-DATA[[#This Row],[ADMISSION DATE]]+1)</f>
        <v>197</v>
      </c>
      <c r="M226" s="148">
        <v>350</v>
      </c>
      <c r="N226" s="148">
        <v>3940</v>
      </c>
      <c r="O226" s="149" t="s">
        <v>1096</v>
      </c>
      <c r="P226" s="149">
        <v>280</v>
      </c>
      <c r="Q226" s="150">
        <f>IF(DATA[[#This Row],[TYPE]]="Normal", 13 * DATA[[#This Row],[STORAGE DAYS]], 20 * DATA[[#This Row],[STORAGE DAYS]])</f>
        <v>3940</v>
      </c>
      <c r="R226" s="150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389</v>
      </c>
    </row>
    <row r="227" spans="1:20" s="26" customFormat="1" ht="16.5" customHeight="1" x14ac:dyDescent="0.25">
      <c r="A227" s="142" t="s">
        <v>1091</v>
      </c>
      <c r="B227" s="143" t="s">
        <v>1087</v>
      </c>
      <c r="C227" s="143">
        <v>62</v>
      </c>
      <c r="D227" s="144" t="s">
        <v>5</v>
      </c>
      <c r="E227" s="144" t="s">
        <v>1088</v>
      </c>
      <c r="F227" s="144" t="s">
        <v>1089</v>
      </c>
      <c r="G227" s="144" t="s">
        <v>27</v>
      </c>
      <c r="H227" s="146" t="s">
        <v>1090</v>
      </c>
      <c r="I227" s="144" t="s">
        <v>10</v>
      </c>
      <c r="J227" s="147">
        <v>45948</v>
      </c>
      <c r="K227" s="147">
        <v>45989</v>
      </c>
      <c r="L227" s="143">
        <f>IF(ISBLANK(DATA[[#This Row],[DISCHARGE DATE]]), "NO DATE", DATA[[#This Row],[DISCHARGE DATE]]-DATA[[#This Row],[ADMISSION DATE]]+1)</f>
        <v>42</v>
      </c>
      <c r="M227" s="148">
        <v>350</v>
      </c>
      <c r="N227" s="148">
        <v>546</v>
      </c>
      <c r="O227" s="149" t="s">
        <v>1097</v>
      </c>
      <c r="P227" s="149" t="s">
        <v>455</v>
      </c>
      <c r="Q227" s="150">
        <f>IF(DATA[[#This Row],[TYPE]]="Normal", 13 * DATA[[#This Row],[STORAGE DAYS]], 20 * DATA[[#This Row],[STORAGE DAYS]])</f>
        <v>546</v>
      </c>
      <c r="R227" s="150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389</v>
      </c>
    </row>
    <row r="228" spans="1:20" s="26" customFormat="1" ht="16.5" customHeight="1" x14ac:dyDescent="0.25">
      <c r="A228" s="142" t="s">
        <v>1098</v>
      </c>
      <c r="B228" s="143" t="s">
        <v>1253</v>
      </c>
      <c r="C228" s="143">
        <v>35</v>
      </c>
      <c r="D228" s="144" t="s">
        <v>5</v>
      </c>
      <c r="E228" s="144" t="s">
        <v>1099</v>
      </c>
      <c r="F228" s="144" t="s">
        <v>1100</v>
      </c>
      <c r="G228" s="144" t="s">
        <v>25</v>
      </c>
      <c r="H228" s="146" t="s">
        <v>1101</v>
      </c>
      <c r="I228" s="144" t="s">
        <v>10</v>
      </c>
      <c r="J228" s="147">
        <v>45947</v>
      </c>
      <c r="K228" s="147">
        <v>46108</v>
      </c>
      <c r="L228" s="143">
        <f>IF(ISBLANK(DATA[[#This Row],[DISCHARGE DATE]]), "NO DATE", DATA[[#This Row],[DISCHARGE DATE]]-DATA[[#This Row],[ADMISSION DATE]]+1)</f>
        <v>162</v>
      </c>
      <c r="M228" s="148">
        <v>350</v>
      </c>
      <c r="N228" s="148">
        <v>2106</v>
      </c>
      <c r="O228" s="149" t="s">
        <v>1102</v>
      </c>
      <c r="P228" s="149">
        <v>258</v>
      </c>
      <c r="Q228" s="150">
        <f>IF(DATA[[#This Row],[TYPE]]="Normal", 13 * DATA[[#This Row],[STORAGE DAYS]], 20 * DATA[[#This Row],[STORAGE DAYS]])</f>
        <v>2106</v>
      </c>
      <c r="R228" s="150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389</v>
      </c>
    </row>
    <row r="229" spans="1:20" s="26" customFormat="1" ht="16.5" customHeight="1" x14ac:dyDescent="0.25">
      <c r="A229" s="142" t="s">
        <v>1103</v>
      </c>
      <c r="B229" s="143" t="s">
        <v>1104</v>
      </c>
      <c r="C229" s="143">
        <v>60</v>
      </c>
      <c r="D229" s="144" t="s">
        <v>4</v>
      </c>
      <c r="E229" s="144" t="s">
        <v>782</v>
      </c>
      <c r="F229" s="142" t="s">
        <v>1110</v>
      </c>
      <c r="G229" s="144" t="s">
        <v>27</v>
      </c>
      <c r="H229" s="146" t="s">
        <v>1105</v>
      </c>
      <c r="I229" s="144" t="s">
        <v>12</v>
      </c>
      <c r="J229" s="147">
        <v>45950</v>
      </c>
      <c r="K229" s="147">
        <v>46143</v>
      </c>
      <c r="L229" s="143">
        <f>IF(ISBLANK(DATA[[#This Row],[DISCHARGE DATE]]), "NO DATE", DATA[[#This Row],[DISCHARGE DATE]]-DATA[[#This Row],[ADMISSION DATE]]+1)</f>
        <v>194</v>
      </c>
      <c r="M229" s="148">
        <v>350</v>
      </c>
      <c r="N229" s="148">
        <f>3880/2</f>
        <v>1940</v>
      </c>
      <c r="O229" s="149" t="s">
        <v>1113</v>
      </c>
      <c r="P229" s="149">
        <v>286</v>
      </c>
      <c r="Q229" s="150">
        <f>IF(DATA[[#This Row],[TYPE]]="Normal", 13 * DATA[[#This Row],[STORAGE DAYS]], 20 * DATA[[#This Row],[STORAGE DAYS]])</f>
        <v>3880</v>
      </c>
      <c r="R229" s="150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389</v>
      </c>
    </row>
    <row r="230" spans="1:20" s="26" customFormat="1" ht="16.5" customHeight="1" x14ac:dyDescent="0.25">
      <c r="A230" s="142" t="s">
        <v>1106</v>
      </c>
      <c r="B230" s="143" t="s">
        <v>1107</v>
      </c>
      <c r="C230" s="143">
        <v>77</v>
      </c>
      <c r="D230" s="144" t="s">
        <v>5</v>
      </c>
      <c r="E230" s="144" t="s">
        <v>1108</v>
      </c>
      <c r="F230" s="144" t="s">
        <v>1722</v>
      </c>
      <c r="G230" s="144" t="s">
        <v>26</v>
      </c>
      <c r="H230" s="146" t="s">
        <v>1109</v>
      </c>
      <c r="I230" s="144" t="s">
        <v>12</v>
      </c>
      <c r="J230" s="147">
        <v>45950</v>
      </c>
      <c r="K230" s="147">
        <v>46108</v>
      </c>
      <c r="L230" s="143">
        <f>IF(ISBLANK(DATA[[#This Row],[DISCHARGE DATE]]), "NO DATE", DATA[[#This Row],[DISCHARGE DATE]]-DATA[[#This Row],[ADMISSION DATE]]+1)</f>
        <v>159</v>
      </c>
      <c r="M230" s="148">
        <v>350</v>
      </c>
      <c r="N230" s="148">
        <v>3180</v>
      </c>
      <c r="O230" s="149" t="s">
        <v>1114</v>
      </c>
      <c r="P230" s="149">
        <v>150</v>
      </c>
      <c r="Q230" s="150">
        <f>IF(DATA[[#This Row],[TYPE]]="Normal", 13 * DATA[[#This Row],[STORAGE DAYS]], 20 * DATA[[#This Row],[STORAGE DAYS]])</f>
        <v>3180</v>
      </c>
      <c r="R230" s="150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389</v>
      </c>
    </row>
    <row r="231" spans="1:20" s="26" customFormat="1" ht="16.5" customHeight="1" x14ac:dyDescent="0.25">
      <c r="A231" s="142" t="s">
        <v>1111</v>
      </c>
      <c r="B231" s="143" t="s">
        <v>1112</v>
      </c>
      <c r="C231" s="143">
        <v>123</v>
      </c>
      <c r="D231" s="144" t="s">
        <v>4</v>
      </c>
      <c r="E231" s="144" t="s">
        <v>1116</v>
      </c>
      <c r="F231" s="142" t="s">
        <v>1117</v>
      </c>
      <c r="G231" s="144" t="s">
        <v>27</v>
      </c>
      <c r="H231" s="146">
        <v>0.6875</v>
      </c>
      <c r="I231" s="144" t="s">
        <v>12</v>
      </c>
      <c r="J231" s="147">
        <v>45948</v>
      </c>
      <c r="K231" s="147">
        <v>45959</v>
      </c>
      <c r="L231" s="143">
        <f>IF(ISBLANK(DATA[[#This Row],[DISCHARGE DATE]]), "NO DATE", DATA[[#This Row],[DISCHARGE DATE]]-DATA[[#This Row],[ADMISSION DATE]]+1)</f>
        <v>12</v>
      </c>
      <c r="M231" s="148">
        <v>350</v>
      </c>
      <c r="N231" s="148">
        <v>240</v>
      </c>
      <c r="O231" s="149" t="s">
        <v>1115</v>
      </c>
      <c r="P231" s="149" t="s">
        <v>1127</v>
      </c>
      <c r="Q231" s="150">
        <f>IF(DATA[[#This Row],[TYPE]]="Normal", 13 * DATA[[#This Row],[STORAGE DAYS]], 20 * DATA[[#This Row],[STORAGE DAYS]])</f>
        <v>240</v>
      </c>
      <c r="R231" s="150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389</v>
      </c>
    </row>
    <row r="232" spans="1:20" s="26" customFormat="1" ht="16.5" customHeight="1" x14ac:dyDescent="0.25">
      <c r="A232" s="142" t="s">
        <v>1118</v>
      </c>
      <c r="B232" s="143" t="s">
        <v>744</v>
      </c>
      <c r="C232" s="143">
        <v>48</v>
      </c>
      <c r="D232" s="144" t="s">
        <v>5</v>
      </c>
      <c r="E232" s="144" t="s">
        <v>1055</v>
      </c>
      <c r="F232" s="142" t="s">
        <v>1119</v>
      </c>
      <c r="G232" s="144" t="s">
        <v>27</v>
      </c>
      <c r="H232" s="146" t="s">
        <v>1120</v>
      </c>
      <c r="I232" s="144" t="s">
        <v>10</v>
      </c>
      <c r="J232" s="147">
        <v>45951</v>
      </c>
      <c r="K232" s="147">
        <v>45954</v>
      </c>
      <c r="L232" s="143">
        <f>IF(ISBLANK(DATA[[#This Row],[DISCHARGE DATE]]), "NO DATE", DATA[[#This Row],[DISCHARGE DATE]]-DATA[[#This Row],[ADMISSION DATE]]+1)</f>
        <v>4</v>
      </c>
      <c r="M232" s="148">
        <v>350</v>
      </c>
      <c r="N232" s="148">
        <v>52</v>
      </c>
      <c r="O232" s="149" t="s">
        <v>1121</v>
      </c>
      <c r="P232" s="149" t="s">
        <v>1057</v>
      </c>
      <c r="Q232" s="150">
        <f>IF(DATA[[#This Row],[TYPE]]="Normal", 13 * DATA[[#This Row],[STORAGE DAYS]], 20 * DATA[[#This Row],[STORAGE DAYS]])</f>
        <v>52</v>
      </c>
      <c r="R232" s="150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389</v>
      </c>
    </row>
    <row r="233" spans="1:20" s="26" customFormat="1" ht="16.5" customHeight="1" x14ac:dyDescent="0.25">
      <c r="A233" s="142" t="s">
        <v>1122</v>
      </c>
      <c r="B233" s="143" t="s">
        <v>1123</v>
      </c>
      <c r="C233" s="143">
        <v>46</v>
      </c>
      <c r="D233" s="144" t="s">
        <v>5</v>
      </c>
      <c r="E233" s="144" t="s">
        <v>1124</v>
      </c>
      <c r="F233" s="142" t="s">
        <v>1125</v>
      </c>
      <c r="G233" s="144" t="s">
        <v>26</v>
      </c>
      <c r="H233" s="146" t="s">
        <v>1126</v>
      </c>
      <c r="I233" s="144" t="s">
        <v>12</v>
      </c>
      <c r="J233" s="147">
        <v>45952</v>
      </c>
      <c r="K233" s="147">
        <v>45953</v>
      </c>
      <c r="L233" s="143">
        <f>IF(ISBLANK(DATA[[#This Row],[DISCHARGE DATE]]), "NO DATE", DATA[[#This Row],[DISCHARGE DATE]]-DATA[[#This Row],[ADMISSION DATE]]+1)</f>
        <v>2</v>
      </c>
      <c r="M233" s="148">
        <v>350</v>
      </c>
      <c r="N233" s="148">
        <v>20</v>
      </c>
      <c r="O233" s="149" t="s">
        <v>1127</v>
      </c>
      <c r="P233" s="149" t="s">
        <v>1058</v>
      </c>
      <c r="Q233" s="150">
        <f>IF(DATA[[#This Row],[TYPE]]="Normal", 13 * DATA[[#This Row],[STORAGE DAYS]], 20 * DATA[[#This Row],[STORAGE DAYS]])</f>
        <v>40</v>
      </c>
      <c r="R233" s="150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389</v>
      </c>
    </row>
    <row r="234" spans="1:20" s="26" customFormat="1" ht="16.5" customHeight="1" x14ac:dyDescent="0.25">
      <c r="A234" s="142" t="s">
        <v>1128</v>
      </c>
      <c r="B234" s="143" t="s">
        <v>1129</v>
      </c>
      <c r="C234" s="143">
        <v>39</v>
      </c>
      <c r="D234" s="144" t="s">
        <v>5</v>
      </c>
      <c r="E234" s="144" t="s">
        <v>1130</v>
      </c>
      <c r="F234" s="142" t="s">
        <v>1131</v>
      </c>
      <c r="G234" s="144" t="s">
        <v>27</v>
      </c>
      <c r="H234" s="146" t="s">
        <v>1101</v>
      </c>
      <c r="I234" s="144" t="s">
        <v>10</v>
      </c>
      <c r="J234" s="147">
        <v>45953</v>
      </c>
      <c r="K234" s="147">
        <v>45989</v>
      </c>
      <c r="L234" s="143">
        <f>IF(ISBLANK(DATA[[#This Row],[DISCHARGE DATE]]), "NO DATE", DATA[[#This Row],[DISCHARGE DATE]]-DATA[[#This Row],[ADMISSION DATE]]+1)</f>
        <v>37</v>
      </c>
      <c r="M234" s="148">
        <v>350</v>
      </c>
      <c r="N234" s="148">
        <v>481</v>
      </c>
      <c r="O234" s="149" t="s">
        <v>1132</v>
      </c>
      <c r="P234" s="149" t="s">
        <v>495</v>
      </c>
      <c r="Q234" s="150">
        <f>IF(DATA[[#This Row],[TYPE]]="Normal", 13 * DATA[[#This Row],[STORAGE DAYS]], 20 * DATA[[#This Row],[STORAGE DAYS]])</f>
        <v>481</v>
      </c>
      <c r="R234" s="150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389</v>
      </c>
    </row>
    <row r="235" spans="1:20" s="26" customFormat="1" ht="16.5" customHeight="1" x14ac:dyDescent="0.25">
      <c r="A235" s="142" t="s">
        <v>1134</v>
      </c>
      <c r="B235" s="143" t="s">
        <v>1135</v>
      </c>
      <c r="C235" s="143">
        <v>67</v>
      </c>
      <c r="D235" s="144" t="s">
        <v>4</v>
      </c>
      <c r="E235" s="144" t="s">
        <v>1037</v>
      </c>
      <c r="F235" s="142" t="s">
        <v>1038</v>
      </c>
      <c r="G235" s="144" t="s">
        <v>25</v>
      </c>
      <c r="H235" s="146" t="s">
        <v>990</v>
      </c>
      <c r="I235" s="144" t="s">
        <v>10</v>
      </c>
      <c r="J235" s="147">
        <v>45957</v>
      </c>
      <c r="K235" s="147">
        <v>46108</v>
      </c>
      <c r="L235" s="143">
        <f>IF(ISBLANK(DATA[[#This Row],[DISCHARGE DATE]]), "NO DATE", DATA[[#This Row],[DISCHARGE DATE]]-DATA[[#This Row],[ADMISSION DATE]]+1)</f>
        <v>152</v>
      </c>
      <c r="M235" s="148">
        <v>350</v>
      </c>
      <c r="N235" s="148">
        <v>1976</v>
      </c>
      <c r="O235" s="149" t="s">
        <v>1136</v>
      </c>
      <c r="P235" s="149">
        <v>262</v>
      </c>
      <c r="Q235" s="150">
        <f>IF(DATA[[#This Row],[TYPE]]="Normal", 13 * DATA[[#This Row],[STORAGE DAYS]], 20 * DATA[[#This Row],[STORAGE DAYS]])</f>
        <v>1976</v>
      </c>
      <c r="R235" s="150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389</v>
      </c>
    </row>
    <row r="236" spans="1:20" s="26" customFormat="1" ht="16.5" customHeight="1" x14ac:dyDescent="0.25">
      <c r="A236" s="142" t="s">
        <v>1138</v>
      </c>
      <c r="B236" s="143" t="s">
        <v>1139</v>
      </c>
      <c r="C236" s="143">
        <v>90</v>
      </c>
      <c r="D236" s="144" t="s">
        <v>4</v>
      </c>
      <c r="E236" s="144" t="s">
        <v>1140</v>
      </c>
      <c r="F236" s="142" t="s">
        <v>1141</v>
      </c>
      <c r="G236" s="144" t="s">
        <v>1142</v>
      </c>
      <c r="H236" s="146" t="s">
        <v>971</v>
      </c>
      <c r="I236" s="144" t="s">
        <v>12</v>
      </c>
      <c r="J236" s="147">
        <v>45959</v>
      </c>
      <c r="K236" s="147">
        <v>46157</v>
      </c>
      <c r="L236" s="143">
        <f>IF(ISBLANK(DATA[[#This Row],[DISCHARGE DATE]]), "NO DATE", DATA[[#This Row],[DISCHARGE DATE]]-DATA[[#This Row],[ADMISSION DATE]]+1)</f>
        <v>199</v>
      </c>
      <c r="M236" s="148">
        <v>350</v>
      </c>
      <c r="N236" s="148">
        <v>3980</v>
      </c>
      <c r="O236" s="149" t="s">
        <v>1143</v>
      </c>
      <c r="P236" s="149">
        <v>351</v>
      </c>
      <c r="Q236" s="150">
        <f>IF(DATA[[#This Row],[TYPE]]="Normal", 13 * DATA[[#This Row],[STORAGE DAYS]], 20 * DATA[[#This Row],[STORAGE DAYS]])</f>
        <v>3980</v>
      </c>
      <c r="R236" s="150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389</v>
      </c>
    </row>
    <row r="237" spans="1:20" s="26" customFormat="1" ht="16.5" customHeight="1" x14ac:dyDescent="0.25">
      <c r="A237" s="142" t="s">
        <v>1144</v>
      </c>
      <c r="B237" s="143" t="s">
        <v>1145</v>
      </c>
      <c r="C237" s="143">
        <v>64</v>
      </c>
      <c r="D237" s="144" t="s">
        <v>4</v>
      </c>
      <c r="E237" s="144" t="s">
        <v>1146</v>
      </c>
      <c r="F237" s="142" t="s">
        <v>1147</v>
      </c>
      <c r="G237" s="144" t="s">
        <v>27</v>
      </c>
      <c r="H237" s="146" t="s">
        <v>1148</v>
      </c>
      <c r="I237" s="144" t="s">
        <v>10</v>
      </c>
      <c r="J237" s="147">
        <v>45960</v>
      </c>
      <c r="K237" s="147">
        <v>46171</v>
      </c>
      <c r="L237" s="143">
        <f>IF(ISBLANK(DATA[[#This Row],[DISCHARGE DATE]]), "NO DATE", DATA[[#This Row],[DISCHARGE DATE]]-DATA[[#This Row],[ADMISSION DATE]]+1)</f>
        <v>212</v>
      </c>
      <c r="M237" s="148">
        <v>350</v>
      </c>
      <c r="N237" s="148">
        <v>2756</v>
      </c>
      <c r="O237" s="149" t="s">
        <v>1149</v>
      </c>
      <c r="P237" s="149">
        <v>299</v>
      </c>
      <c r="Q237" s="150">
        <f>IF(DATA[[#This Row],[TYPE]]="Normal", 13 * DATA[[#This Row],[STORAGE DAYS]], 20 * DATA[[#This Row],[STORAGE DAYS]])</f>
        <v>2756</v>
      </c>
      <c r="R237" s="150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389</v>
      </c>
    </row>
    <row r="238" spans="1:20" s="26" customFormat="1" ht="16.5" customHeight="1" x14ac:dyDescent="0.25">
      <c r="A238" s="142" t="s">
        <v>1150</v>
      </c>
      <c r="B238" s="143" t="s">
        <v>1275</v>
      </c>
      <c r="C238" s="143">
        <v>52</v>
      </c>
      <c r="D238" s="144" t="s">
        <v>4</v>
      </c>
      <c r="E238" s="144" t="s">
        <v>1276</v>
      </c>
      <c r="F238" s="142" t="s">
        <v>1151</v>
      </c>
      <c r="G238" s="144" t="s">
        <v>24</v>
      </c>
      <c r="H238" s="146" t="s">
        <v>1090</v>
      </c>
      <c r="I238" s="144" t="s">
        <v>10</v>
      </c>
      <c r="J238" s="147">
        <v>45960</v>
      </c>
      <c r="K238" s="147">
        <v>45989</v>
      </c>
      <c r="L238" s="143">
        <f>IF(ISBLANK(DATA[[#This Row],[DISCHARGE DATE]]), "NO DATE", DATA[[#This Row],[DISCHARGE DATE]]-DATA[[#This Row],[ADMISSION DATE]]+1)</f>
        <v>30</v>
      </c>
      <c r="M238" s="148">
        <v>350</v>
      </c>
      <c r="N238" s="148">
        <v>390</v>
      </c>
      <c r="O238" s="149" t="s">
        <v>1152</v>
      </c>
      <c r="P238" s="149" t="s">
        <v>481</v>
      </c>
      <c r="Q238" s="150">
        <f>IF(DATA[[#This Row],[TYPE]]="Normal", 13 * DATA[[#This Row],[STORAGE DAYS]], 20 * DATA[[#This Row],[STORAGE DAYS]])</f>
        <v>390</v>
      </c>
      <c r="R238" s="150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389</v>
      </c>
    </row>
    <row r="239" spans="1:20" s="26" customFormat="1" ht="16.5" customHeight="1" x14ac:dyDescent="0.25">
      <c r="A239" s="142" t="s">
        <v>1153</v>
      </c>
      <c r="B239" s="143" t="s">
        <v>1154</v>
      </c>
      <c r="C239" s="143">
        <v>78</v>
      </c>
      <c r="D239" s="144" t="s">
        <v>5</v>
      </c>
      <c r="E239" s="144" t="s">
        <v>1155</v>
      </c>
      <c r="F239" s="142" t="s">
        <v>1156</v>
      </c>
      <c r="G239" s="144" t="s">
        <v>26</v>
      </c>
      <c r="H239" s="146" t="s">
        <v>1157</v>
      </c>
      <c r="I239" s="144" t="s">
        <v>10</v>
      </c>
      <c r="J239" s="147">
        <v>45962</v>
      </c>
      <c r="K239" s="147">
        <v>46171</v>
      </c>
      <c r="L239" s="143">
        <f>IF(ISBLANK(DATA[[#This Row],[DISCHARGE DATE]]), "NO DATE", DATA[[#This Row],[DISCHARGE DATE]]-DATA[[#This Row],[ADMISSION DATE]]+1)</f>
        <v>210</v>
      </c>
      <c r="M239" s="148">
        <v>350</v>
      </c>
      <c r="N239" s="148">
        <v>2730</v>
      </c>
      <c r="O239" s="149" t="s">
        <v>1158</v>
      </c>
      <c r="P239" s="149">
        <v>298</v>
      </c>
      <c r="Q239" s="150">
        <f>IF(DATA[[#This Row],[TYPE]]="Normal", 13 * DATA[[#This Row],[STORAGE DAYS]], 20 * DATA[[#This Row],[STORAGE DAYS]])</f>
        <v>2730</v>
      </c>
      <c r="R239" s="150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389</v>
      </c>
    </row>
    <row r="240" spans="1:20" s="26" customFormat="1" ht="16.5" customHeight="1" x14ac:dyDescent="0.25">
      <c r="A240" s="142" t="s">
        <v>1160</v>
      </c>
      <c r="B240" s="143" t="s">
        <v>1161</v>
      </c>
      <c r="C240" s="143">
        <v>80</v>
      </c>
      <c r="D240" s="144" t="s">
        <v>4</v>
      </c>
      <c r="E240" s="144" t="s">
        <v>153</v>
      </c>
      <c r="F240" s="142" t="s">
        <v>1162</v>
      </c>
      <c r="G240" s="144" t="s">
        <v>27</v>
      </c>
      <c r="H240" s="146" t="s">
        <v>1034</v>
      </c>
      <c r="I240" s="144" t="s">
        <v>10</v>
      </c>
      <c r="J240" s="147">
        <v>45964</v>
      </c>
      <c r="K240" s="147">
        <v>46108</v>
      </c>
      <c r="L240" s="143">
        <f>IF(ISBLANK(DATA[[#This Row],[DISCHARGE DATE]]), "NO DATE", DATA[[#This Row],[DISCHARGE DATE]]-DATA[[#This Row],[ADMISSION DATE]]+1)</f>
        <v>145</v>
      </c>
      <c r="M240" s="148">
        <v>350</v>
      </c>
      <c r="N240" s="148">
        <v>1885</v>
      </c>
      <c r="O240" s="149" t="s">
        <v>1159</v>
      </c>
      <c r="P240" s="149">
        <v>253</v>
      </c>
      <c r="Q240" s="150">
        <f>IF(DATA[[#This Row],[TYPE]]="Normal", 13 * DATA[[#This Row],[STORAGE DAYS]], 20 * DATA[[#This Row],[STORAGE DAYS]])</f>
        <v>1885</v>
      </c>
      <c r="R240" s="150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389</v>
      </c>
    </row>
    <row r="241" spans="1:20" s="26" customFormat="1" ht="16.5" customHeight="1" x14ac:dyDescent="0.25">
      <c r="A241" s="142" t="s">
        <v>1163</v>
      </c>
      <c r="B241" s="143" t="s">
        <v>1164</v>
      </c>
      <c r="C241" s="143">
        <v>90</v>
      </c>
      <c r="D241" s="144" t="s">
        <v>5</v>
      </c>
      <c r="E241" s="144" t="s">
        <v>1165</v>
      </c>
      <c r="F241" s="142" t="s">
        <v>1166</v>
      </c>
      <c r="G241" s="144" t="s">
        <v>27</v>
      </c>
      <c r="H241" s="146" t="s">
        <v>1167</v>
      </c>
      <c r="I241" s="144" t="s">
        <v>12</v>
      </c>
      <c r="J241" s="147">
        <v>45964</v>
      </c>
      <c r="K241" s="147">
        <v>46101</v>
      </c>
      <c r="L241" s="143">
        <f>IF(ISBLANK(DATA[[#This Row],[DISCHARGE DATE]]), "NO DATE", DATA[[#This Row],[DISCHARGE DATE]]-DATA[[#This Row],[ADMISSION DATE]]+1)</f>
        <v>138</v>
      </c>
      <c r="M241" s="148">
        <v>350</v>
      </c>
      <c r="N241" s="148">
        <v>2760</v>
      </c>
      <c r="O241" s="149" t="s">
        <v>1168</v>
      </c>
      <c r="P241" s="149">
        <v>252</v>
      </c>
      <c r="Q241" s="150">
        <f>IF(DATA[[#This Row],[TYPE]]="Normal", 13 * DATA[[#This Row],[STORAGE DAYS]], 20 * DATA[[#This Row],[STORAGE DAYS]])</f>
        <v>2760</v>
      </c>
      <c r="R241" s="150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389</v>
      </c>
    </row>
    <row r="242" spans="1:20" s="26" customFormat="1" ht="16.5" customHeight="1" x14ac:dyDescent="0.25">
      <c r="A242" s="142" t="s">
        <v>1169</v>
      </c>
      <c r="B242" s="143" t="s">
        <v>1170</v>
      </c>
      <c r="C242" s="143">
        <v>51</v>
      </c>
      <c r="D242" s="144" t="s">
        <v>5</v>
      </c>
      <c r="E242" s="144" t="s">
        <v>1171</v>
      </c>
      <c r="F242" s="142" t="s">
        <v>1172</v>
      </c>
      <c r="G242" s="144" t="s">
        <v>24</v>
      </c>
      <c r="H242" s="146" t="s">
        <v>1034</v>
      </c>
      <c r="I242" s="144" t="s">
        <v>10</v>
      </c>
      <c r="J242" s="147">
        <v>45963</v>
      </c>
      <c r="K242" s="147">
        <v>45990</v>
      </c>
      <c r="L242" s="143">
        <f>IF(ISBLANK(DATA[[#This Row],[DISCHARGE DATE]]), "NO DATE", DATA[[#This Row],[DISCHARGE DATE]]-DATA[[#This Row],[ADMISSION DATE]]+1)</f>
        <v>28</v>
      </c>
      <c r="M242" s="148">
        <v>350</v>
      </c>
      <c r="N242" s="148">
        <v>364</v>
      </c>
      <c r="O242" s="149" t="s">
        <v>1182</v>
      </c>
      <c r="P242" s="149" t="s">
        <v>485</v>
      </c>
      <c r="Q242" s="150">
        <f>IF(DATA[[#This Row],[TYPE]]="Normal", 13 * DATA[[#This Row],[STORAGE DAYS]], 20 * DATA[[#This Row],[STORAGE DAYS]])</f>
        <v>364</v>
      </c>
      <c r="R242" s="150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389</v>
      </c>
    </row>
    <row r="243" spans="1:20" s="26" customFormat="1" ht="16.5" customHeight="1" x14ac:dyDescent="0.25">
      <c r="A243" s="142" t="s">
        <v>1173</v>
      </c>
      <c r="B243" s="143" t="s">
        <v>1174</v>
      </c>
      <c r="C243" s="143">
        <v>29</v>
      </c>
      <c r="D243" s="144" t="s">
        <v>5</v>
      </c>
      <c r="E243" s="144" t="s">
        <v>1175</v>
      </c>
      <c r="F243" s="142" t="s">
        <v>1176</v>
      </c>
      <c r="G243" s="144" t="s">
        <v>26</v>
      </c>
      <c r="H243" s="146" t="s">
        <v>1177</v>
      </c>
      <c r="I243" s="144" t="s">
        <v>10</v>
      </c>
      <c r="J243" s="147">
        <v>45964</v>
      </c>
      <c r="K243" s="147">
        <v>45995</v>
      </c>
      <c r="L243" s="143">
        <f>IF(ISBLANK(DATA[[#This Row],[DISCHARGE DATE]]), "NO DATE", DATA[[#This Row],[DISCHARGE DATE]]-DATA[[#This Row],[ADMISSION DATE]]+1)</f>
        <v>32</v>
      </c>
      <c r="M243" s="148">
        <v>350</v>
      </c>
      <c r="N243" s="148">
        <v>416</v>
      </c>
      <c r="O243" s="149" t="s">
        <v>1183</v>
      </c>
      <c r="P243" s="149">
        <v>119</v>
      </c>
      <c r="Q243" s="150">
        <f>IF(DATA[[#This Row],[TYPE]]="Normal", 13 * DATA[[#This Row],[STORAGE DAYS]], 20 * DATA[[#This Row],[STORAGE DAYS]])</f>
        <v>416</v>
      </c>
      <c r="R243" s="150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389</v>
      </c>
    </row>
    <row r="244" spans="1:20" s="26" customFormat="1" ht="16.5" customHeight="1" x14ac:dyDescent="0.25">
      <c r="A244" s="142" t="s">
        <v>1178</v>
      </c>
      <c r="B244" s="143" t="s">
        <v>1179</v>
      </c>
      <c r="C244" s="143">
        <v>68</v>
      </c>
      <c r="D244" s="144" t="s">
        <v>4</v>
      </c>
      <c r="E244" s="144" t="s">
        <v>804</v>
      </c>
      <c r="F244" s="142" t="s">
        <v>1180</v>
      </c>
      <c r="G244" s="144" t="s">
        <v>18</v>
      </c>
      <c r="H244" s="146" t="s">
        <v>1181</v>
      </c>
      <c r="I244" s="144" t="s">
        <v>10</v>
      </c>
      <c r="J244" s="147">
        <v>45964</v>
      </c>
      <c r="K244" s="147">
        <v>46080</v>
      </c>
      <c r="L244" s="143">
        <f>IF(ISBLANK(DATA[[#This Row],[DISCHARGE DATE]]), "NO DATE", DATA[[#This Row],[DISCHARGE DATE]]-DATA[[#This Row],[ADMISSION DATE]]+1)</f>
        <v>117</v>
      </c>
      <c r="M244" s="148">
        <v>350</v>
      </c>
      <c r="N244" s="148">
        <v>1521</v>
      </c>
      <c r="O244" s="149" t="s">
        <v>1184</v>
      </c>
      <c r="P244" s="149">
        <v>143</v>
      </c>
      <c r="Q244" s="150">
        <f>IF(DATA[[#This Row],[TYPE]]="Normal", 13 * DATA[[#This Row],[STORAGE DAYS]], 20 * DATA[[#This Row],[STORAGE DAYS]])</f>
        <v>1521</v>
      </c>
      <c r="R244" s="150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389</v>
      </c>
    </row>
    <row r="245" spans="1:20" s="26" customFormat="1" ht="16.5" customHeight="1" x14ac:dyDescent="0.25">
      <c r="A245" s="142" t="s">
        <v>1185</v>
      </c>
      <c r="B245" s="143" t="s">
        <v>1186</v>
      </c>
      <c r="C245" s="143">
        <v>62</v>
      </c>
      <c r="D245" s="144" t="s">
        <v>5</v>
      </c>
      <c r="E245" s="144" t="s">
        <v>1187</v>
      </c>
      <c r="F245" s="142" t="s">
        <v>1188</v>
      </c>
      <c r="G245" s="144" t="s">
        <v>17</v>
      </c>
      <c r="H245" s="146" t="s">
        <v>1189</v>
      </c>
      <c r="I245" s="144" t="s">
        <v>12</v>
      </c>
      <c r="J245" s="147">
        <v>45968</v>
      </c>
      <c r="K245" s="147">
        <v>46066</v>
      </c>
      <c r="L245" s="143">
        <f>IF(ISBLANK(DATA[[#This Row],[DISCHARGE DATE]]), "NO DATE", DATA[[#This Row],[DISCHARGE DATE]]-DATA[[#This Row],[ADMISSION DATE]]+1)</f>
        <v>99</v>
      </c>
      <c r="M245" s="148">
        <v>350</v>
      </c>
      <c r="N245" s="148">
        <v>1980</v>
      </c>
      <c r="O245" s="149" t="s">
        <v>1191</v>
      </c>
      <c r="P245" s="149">
        <v>135</v>
      </c>
      <c r="Q245" s="150">
        <f>IF(DATA[[#This Row],[TYPE]]="Normal", 13 * DATA[[#This Row],[STORAGE DAYS]], 20 * DATA[[#This Row],[STORAGE DAYS]])</f>
        <v>1980</v>
      </c>
      <c r="R245" s="150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389</v>
      </c>
    </row>
    <row r="246" spans="1:20" s="26" customFormat="1" ht="16.5" customHeight="1" x14ac:dyDescent="0.25">
      <c r="A246" s="142" t="s">
        <v>1192</v>
      </c>
      <c r="B246" s="143" t="s">
        <v>1193</v>
      </c>
      <c r="C246" s="143">
        <v>63</v>
      </c>
      <c r="D246" s="144" t="s">
        <v>4</v>
      </c>
      <c r="E246" s="144" t="s">
        <v>1194</v>
      </c>
      <c r="F246" s="142" t="s">
        <v>1195</v>
      </c>
      <c r="G246" s="144" t="s">
        <v>25</v>
      </c>
      <c r="H246" s="146" t="s">
        <v>982</v>
      </c>
      <c r="I246" s="144" t="s">
        <v>10</v>
      </c>
      <c r="J246" s="147">
        <v>45971</v>
      </c>
      <c r="K246" s="147">
        <v>46108</v>
      </c>
      <c r="L246" s="143">
        <f>IF(ISBLANK(DATA[[#This Row],[DISCHARGE DATE]]), "NO DATE", DATA[[#This Row],[DISCHARGE DATE]]-DATA[[#This Row],[ADMISSION DATE]]+1)</f>
        <v>138</v>
      </c>
      <c r="M246" s="148">
        <v>350</v>
      </c>
      <c r="N246" s="148">
        <v>1794</v>
      </c>
      <c r="O246" s="149" t="s">
        <v>1204</v>
      </c>
      <c r="P246" s="149">
        <v>256</v>
      </c>
      <c r="Q246" s="150">
        <f>IF(DATA[[#This Row],[TYPE]]="Normal", 13 * DATA[[#This Row],[STORAGE DAYS]], 20 * DATA[[#This Row],[STORAGE DAYS]])</f>
        <v>1794</v>
      </c>
      <c r="R246" s="150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389</v>
      </c>
    </row>
    <row r="247" spans="1:20" s="26" customFormat="1" ht="16.5" customHeight="1" x14ac:dyDescent="0.25">
      <c r="A247" s="142" t="s">
        <v>1196</v>
      </c>
      <c r="B247" s="143" t="s">
        <v>1201</v>
      </c>
      <c r="C247" s="143">
        <v>54</v>
      </c>
      <c r="D247" s="144" t="s">
        <v>4</v>
      </c>
      <c r="E247" s="144" t="s">
        <v>1202</v>
      </c>
      <c r="F247" s="142" t="s">
        <v>1723</v>
      </c>
      <c r="G247" s="144" t="s">
        <v>1203</v>
      </c>
      <c r="H247" s="146">
        <v>0.67361111111111116</v>
      </c>
      <c r="I247" s="144" t="s">
        <v>10</v>
      </c>
      <c r="J247" s="147">
        <v>45971</v>
      </c>
      <c r="K247" s="147">
        <v>45977</v>
      </c>
      <c r="L247" s="143">
        <f>IF(ISBLANK(DATA[[#This Row],[DISCHARGE DATE]]), "NO DATE", DATA[[#This Row],[DISCHARGE DATE]]-DATA[[#This Row],[ADMISSION DATE]]+1)</f>
        <v>7</v>
      </c>
      <c r="M247" s="148">
        <v>350</v>
      </c>
      <c r="N247" s="148">
        <v>91</v>
      </c>
      <c r="O247" s="149" t="s">
        <v>1308</v>
      </c>
      <c r="P247" s="149" t="s">
        <v>1168</v>
      </c>
      <c r="Q247" s="150">
        <f>IF(DATA[[#This Row],[TYPE]]="Normal", 13 * DATA[[#This Row],[STORAGE DAYS]], 20 * DATA[[#This Row],[STORAGE DAYS]])</f>
        <v>91</v>
      </c>
      <c r="R247" s="150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389</v>
      </c>
    </row>
    <row r="248" spans="1:20" s="26" customFormat="1" ht="16.5" customHeight="1" x14ac:dyDescent="0.25">
      <c r="A248" s="142" t="s">
        <v>1197</v>
      </c>
      <c r="B248" s="143" t="s">
        <v>1198</v>
      </c>
      <c r="C248" s="143">
        <v>62</v>
      </c>
      <c r="D248" s="144" t="s">
        <v>5</v>
      </c>
      <c r="E248" s="144" t="s">
        <v>1199</v>
      </c>
      <c r="F248" s="142" t="s">
        <v>1200</v>
      </c>
      <c r="G248" s="144" t="s">
        <v>27</v>
      </c>
      <c r="H248" s="146" t="s">
        <v>1080</v>
      </c>
      <c r="I248" s="144" t="s">
        <v>10</v>
      </c>
      <c r="J248" s="147">
        <v>45972</v>
      </c>
      <c r="K248" s="147">
        <v>46143</v>
      </c>
      <c r="L248" s="143">
        <f>IF(ISBLANK(DATA[[#This Row],[DISCHARGE DATE]]), "NO DATE", DATA[[#This Row],[DISCHARGE DATE]]-DATA[[#This Row],[ADMISSION DATE]]+1)</f>
        <v>172</v>
      </c>
      <c r="M248" s="148">
        <v>350</v>
      </c>
      <c r="N248" s="148">
        <v>2236</v>
      </c>
      <c r="O248" s="149" t="s">
        <v>1309</v>
      </c>
      <c r="P248" s="149">
        <v>291</v>
      </c>
      <c r="Q248" s="150">
        <f>IF(DATA[[#This Row],[TYPE]]="Normal", 13 * DATA[[#This Row],[STORAGE DAYS]], 20 * DATA[[#This Row],[STORAGE DAYS]])</f>
        <v>2236</v>
      </c>
      <c r="R248" s="150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389</v>
      </c>
    </row>
    <row r="249" spans="1:20" s="26" customFormat="1" ht="16.5" customHeight="1" x14ac:dyDescent="0.25">
      <c r="A249" s="142" t="s">
        <v>1206</v>
      </c>
      <c r="B249" s="143" t="s">
        <v>1207</v>
      </c>
      <c r="C249" s="143">
        <v>52</v>
      </c>
      <c r="D249" s="144" t="s">
        <v>4</v>
      </c>
      <c r="E249" s="144" t="s">
        <v>1187</v>
      </c>
      <c r="F249" s="142" t="s">
        <v>1188</v>
      </c>
      <c r="G249" s="144" t="s">
        <v>17</v>
      </c>
      <c r="H249" s="146" t="s">
        <v>1208</v>
      </c>
      <c r="I249" s="144" t="s">
        <v>12</v>
      </c>
      <c r="J249" s="147">
        <v>45972</v>
      </c>
      <c r="K249" s="147">
        <v>46066</v>
      </c>
      <c r="L249" s="143">
        <f>IF(ISBLANK(DATA[[#This Row],[DISCHARGE DATE]]), "NO DATE", DATA[[#This Row],[DISCHARGE DATE]]-DATA[[#This Row],[ADMISSION DATE]]+1)</f>
        <v>95</v>
      </c>
      <c r="M249" s="148">
        <v>350</v>
      </c>
      <c r="N249" s="148">
        <v>1900</v>
      </c>
      <c r="O249" s="149" t="s">
        <v>1310</v>
      </c>
      <c r="P249" s="149">
        <v>136</v>
      </c>
      <c r="Q249" s="150">
        <f>IF(DATA[[#This Row],[TYPE]]="Normal", 13 * DATA[[#This Row],[STORAGE DAYS]], 20 * DATA[[#This Row],[STORAGE DAYS]])</f>
        <v>1900</v>
      </c>
      <c r="R249" s="150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389</v>
      </c>
    </row>
    <row r="250" spans="1:20" s="26" customFormat="1" ht="16.5" customHeight="1" x14ac:dyDescent="0.25">
      <c r="A250" s="142" t="s">
        <v>1209</v>
      </c>
      <c r="B250" s="143" t="s">
        <v>1210</v>
      </c>
      <c r="C250" s="143">
        <v>77</v>
      </c>
      <c r="D250" s="144" t="s">
        <v>5</v>
      </c>
      <c r="E250" s="144" t="s">
        <v>1130</v>
      </c>
      <c r="F250" s="142" t="s">
        <v>1131</v>
      </c>
      <c r="G250" s="144" t="s">
        <v>27</v>
      </c>
      <c r="H250" s="146" t="s">
        <v>1211</v>
      </c>
      <c r="I250" s="144" t="s">
        <v>10</v>
      </c>
      <c r="J250" s="147">
        <v>45973</v>
      </c>
      <c r="K250" s="147">
        <v>46143</v>
      </c>
      <c r="L250" s="143">
        <f>IF(ISBLANK(DATA[[#This Row],[DISCHARGE DATE]]), "NO DATE", DATA[[#This Row],[DISCHARGE DATE]]-DATA[[#This Row],[ADMISSION DATE]]+1)</f>
        <v>171</v>
      </c>
      <c r="M250" s="148">
        <v>350</v>
      </c>
      <c r="N250" s="148">
        <v>2223</v>
      </c>
      <c r="O250" s="149" t="s">
        <v>1311</v>
      </c>
      <c r="P250" s="149">
        <v>289</v>
      </c>
      <c r="Q250" s="150">
        <f>IF(DATA[[#This Row],[TYPE]]="Normal", 13 * DATA[[#This Row],[STORAGE DAYS]], 20 * DATA[[#This Row],[STORAGE DAYS]])</f>
        <v>2223</v>
      </c>
      <c r="R250" s="150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389</v>
      </c>
    </row>
    <row r="251" spans="1:20" s="26" customFormat="1" ht="16.5" customHeight="1" x14ac:dyDescent="0.25">
      <c r="A251" s="142" t="s">
        <v>1212</v>
      </c>
      <c r="B251" s="143" t="s">
        <v>83</v>
      </c>
      <c r="C251" s="143">
        <v>63</v>
      </c>
      <c r="D251" s="144" t="s">
        <v>5</v>
      </c>
      <c r="E251" s="144" t="s">
        <v>1072</v>
      </c>
      <c r="F251" s="142" t="s">
        <v>1073</v>
      </c>
      <c r="G251" s="144" t="s">
        <v>27</v>
      </c>
      <c r="H251" s="146" t="s">
        <v>1213</v>
      </c>
      <c r="I251" s="144" t="s">
        <v>12</v>
      </c>
      <c r="J251" s="147">
        <v>45974</v>
      </c>
      <c r="K251" s="147">
        <v>46108</v>
      </c>
      <c r="L251" s="143">
        <f>IF(ISBLANK(DATA[[#This Row],[DISCHARGE DATE]]), "NO DATE", DATA[[#This Row],[DISCHARGE DATE]]-DATA[[#This Row],[ADMISSION DATE]]+1)</f>
        <v>135</v>
      </c>
      <c r="M251" s="148">
        <v>350</v>
      </c>
      <c r="N251" s="148">
        <v>2700</v>
      </c>
      <c r="O251" s="149" t="s">
        <v>1312</v>
      </c>
      <c r="P251" s="149">
        <v>254</v>
      </c>
      <c r="Q251" s="150">
        <f>IF(DATA[[#This Row],[TYPE]]="Normal", 13 * DATA[[#This Row],[STORAGE DAYS]], 20 * DATA[[#This Row],[STORAGE DAYS]])</f>
        <v>2700</v>
      </c>
      <c r="R251" s="150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389</v>
      </c>
    </row>
    <row r="252" spans="1:20" s="26" customFormat="1" ht="16.5" customHeight="1" x14ac:dyDescent="0.25">
      <c r="A252" s="142" t="s">
        <v>1215</v>
      </c>
      <c r="B252" s="143" t="s">
        <v>1216</v>
      </c>
      <c r="C252" s="143">
        <v>38</v>
      </c>
      <c r="D252" s="144" t="s">
        <v>4</v>
      </c>
      <c r="E252" s="144" t="s">
        <v>1217</v>
      </c>
      <c r="F252" s="142" t="s">
        <v>1218</v>
      </c>
      <c r="G252" s="144" t="s">
        <v>27</v>
      </c>
      <c r="H252" s="146" t="s">
        <v>1189</v>
      </c>
      <c r="I252" s="144" t="s">
        <v>10</v>
      </c>
      <c r="J252" s="147">
        <v>45974</v>
      </c>
      <c r="K252" s="147">
        <v>46108</v>
      </c>
      <c r="L252" s="143">
        <f>IF(ISBLANK(DATA[[#This Row],[DISCHARGE DATE]]), "NO DATE", DATA[[#This Row],[DISCHARGE DATE]]-DATA[[#This Row],[ADMISSION DATE]]+1)</f>
        <v>135</v>
      </c>
      <c r="M252" s="148">
        <v>350</v>
      </c>
      <c r="N252" s="148">
        <v>1755</v>
      </c>
      <c r="O252" s="149" t="s">
        <v>1313</v>
      </c>
      <c r="P252" s="149">
        <v>148</v>
      </c>
      <c r="Q252" s="150">
        <f>IF(DATA[[#This Row],[TYPE]]="Normal", 13 * DATA[[#This Row],[STORAGE DAYS]], 20 * DATA[[#This Row],[STORAGE DAYS]])</f>
        <v>1755</v>
      </c>
      <c r="R252" s="150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389</v>
      </c>
    </row>
    <row r="253" spans="1:20" s="26" customFormat="1" ht="16.5" customHeight="1" x14ac:dyDescent="0.25">
      <c r="A253" s="142" t="s">
        <v>1220</v>
      </c>
      <c r="B253" s="143" t="s">
        <v>1221</v>
      </c>
      <c r="C253" s="143">
        <v>65</v>
      </c>
      <c r="D253" s="144" t="s">
        <v>4</v>
      </c>
      <c r="E253" s="144" t="s">
        <v>611</v>
      </c>
      <c r="F253" s="142" t="s">
        <v>1669</v>
      </c>
      <c r="G253" s="144" t="s">
        <v>27</v>
      </c>
      <c r="H253" s="146" t="s">
        <v>982</v>
      </c>
      <c r="I253" s="144" t="s">
        <v>12</v>
      </c>
      <c r="J253" s="147">
        <v>45976</v>
      </c>
      <c r="K253" s="147">
        <v>46234</v>
      </c>
      <c r="L253" s="143">
        <f>IF(ISBLANK(DATA[[#This Row],[DISCHARGE DATE]]), "NO DATE", DATA[[#This Row],[DISCHARGE DATE]]-DATA[[#This Row],[ADMISSION DATE]]+1)</f>
        <v>259</v>
      </c>
      <c r="M253" s="148">
        <v>350</v>
      </c>
      <c r="N253" s="148">
        <v>5180</v>
      </c>
      <c r="O253" s="149" t="s">
        <v>1314</v>
      </c>
      <c r="P253" s="149">
        <v>337</v>
      </c>
      <c r="Q253" s="150">
        <f>IF(DATA[[#This Row],[TYPE]]="Normal", 13 * DATA[[#This Row],[STORAGE DAYS]], 20 * DATA[[#This Row],[STORAGE DAYS]])</f>
        <v>5180</v>
      </c>
      <c r="R253" s="150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389</v>
      </c>
    </row>
    <row r="254" spans="1:20" s="26" customFormat="1" ht="16.5" customHeight="1" x14ac:dyDescent="0.25">
      <c r="A254" s="142" t="s">
        <v>1222</v>
      </c>
      <c r="B254" s="143" t="s">
        <v>1223</v>
      </c>
      <c r="C254" s="143">
        <v>92</v>
      </c>
      <c r="D254" s="144" t="s">
        <v>4</v>
      </c>
      <c r="E254" s="144" t="s">
        <v>1224</v>
      </c>
      <c r="F254" s="142" t="s">
        <v>1292</v>
      </c>
      <c r="G254" s="144" t="s">
        <v>17</v>
      </c>
      <c r="H254" s="146" t="s">
        <v>1225</v>
      </c>
      <c r="I254" s="144" t="s">
        <v>10</v>
      </c>
      <c r="J254" s="147">
        <v>45976</v>
      </c>
      <c r="K254" s="147">
        <v>46122</v>
      </c>
      <c r="L254" s="143">
        <f>IF(ISBLANK(DATA[[#This Row],[DISCHARGE DATE]]), "NO DATE", DATA[[#This Row],[DISCHARGE DATE]]-DATA[[#This Row],[ADMISSION DATE]]+1)</f>
        <v>147</v>
      </c>
      <c r="M254" s="148">
        <v>350</v>
      </c>
      <c r="N254" s="148">
        <v>1911</v>
      </c>
      <c r="O254" s="149" t="s">
        <v>1315</v>
      </c>
      <c r="P254" s="149">
        <v>272</v>
      </c>
      <c r="Q254" s="150">
        <f>IF(DATA[[#This Row],[TYPE]]="Normal", 13 * DATA[[#This Row],[STORAGE DAYS]], 20 * DATA[[#This Row],[STORAGE DAYS]])</f>
        <v>1911</v>
      </c>
      <c r="R254" s="150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389</v>
      </c>
    </row>
    <row r="255" spans="1:20" s="26" customFormat="1" ht="16.5" customHeight="1" x14ac:dyDescent="0.25">
      <c r="A255" s="142" t="s">
        <v>1228</v>
      </c>
      <c r="B255" s="143" t="s">
        <v>1229</v>
      </c>
      <c r="C255" s="143">
        <v>65</v>
      </c>
      <c r="D255" s="144" t="s">
        <v>5</v>
      </c>
      <c r="E255" s="144" t="s">
        <v>804</v>
      </c>
      <c r="F255" s="142" t="s">
        <v>1230</v>
      </c>
      <c r="G255" s="144" t="s">
        <v>1203</v>
      </c>
      <c r="H255" s="146" t="s">
        <v>1211</v>
      </c>
      <c r="I255" s="144" t="s">
        <v>10</v>
      </c>
      <c r="J255" s="147">
        <v>45978</v>
      </c>
      <c r="K255" s="147">
        <v>46129</v>
      </c>
      <c r="L255" s="143">
        <f>IF(ISBLANK(DATA[[#This Row],[DISCHARGE DATE]]), "NO DATE", DATA[[#This Row],[DISCHARGE DATE]]-DATA[[#This Row],[ADMISSION DATE]]+1)</f>
        <v>152</v>
      </c>
      <c r="M255" s="148">
        <v>350</v>
      </c>
      <c r="N255" s="148">
        <v>1976</v>
      </c>
      <c r="O255" s="149" t="s">
        <v>1316</v>
      </c>
      <c r="P255" s="149">
        <v>275</v>
      </c>
      <c r="Q255" s="150">
        <f>IF(DATA[[#This Row],[TYPE]]="Normal", 13 * DATA[[#This Row],[STORAGE DAYS]], 20 * DATA[[#This Row],[STORAGE DAYS]])</f>
        <v>1976</v>
      </c>
      <c r="R255" s="150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389</v>
      </c>
    </row>
    <row r="256" spans="1:20" s="26" customFormat="1" ht="16.5" customHeight="1" x14ac:dyDescent="0.25">
      <c r="A256" s="142" t="s">
        <v>1254</v>
      </c>
      <c r="B256" s="143" t="s">
        <v>1255</v>
      </c>
      <c r="C256" s="143">
        <v>65</v>
      </c>
      <c r="D256" s="144" t="s">
        <v>5</v>
      </c>
      <c r="E256" s="144" t="s">
        <v>1256</v>
      </c>
      <c r="F256" s="142" t="s">
        <v>1257</v>
      </c>
      <c r="G256" s="144" t="s">
        <v>27</v>
      </c>
      <c r="H256" s="146" t="s">
        <v>1080</v>
      </c>
      <c r="I256" s="144" t="s">
        <v>10</v>
      </c>
      <c r="J256" s="147">
        <v>45981</v>
      </c>
      <c r="K256" s="147">
        <v>46108</v>
      </c>
      <c r="L256" s="143">
        <f>IF(ISBLANK(DATA[[#This Row],[DISCHARGE DATE]]), "NO DATE", DATA[[#This Row],[DISCHARGE DATE]]-DATA[[#This Row],[ADMISSION DATE]]+1)</f>
        <v>128</v>
      </c>
      <c r="M256" s="148">
        <v>350</v>
      </c>
      <c r="N256" s="148">
        <v>1664</v>
      </c>
      <c r="O256" s="149" t="s">
        <v>1317</v>
      </c>
      <c r="P256" s="149">
        <v>149</v>
      </c>
      <c r="Q256" s="150">
        <f>IF(DATA[[#This Row],[TYPE]]="Normal", 13 * DATA[[#This Row],[STORAGE DAYS]], 20 * DATA[[#This Row],[STORAGE DAYS]])</f>
        <v>1664</v>
      </c>
      <c r="R256" s="150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389</v>
      </c>
    </row>
    <row r="257" spans="1:22" s="26" customFormat="1" ht="16.5" customHeight="1" x14ac:dyDescent="0.25">
      <c r="A257" s="142" t="s">
        <v>1260</v>
      </c>
      <c r="B257" s="143" t="s">
        <v>1262</v>
      </c>
      <c r="C257" s="143">
        <v>80</v>
      </c>
      <c r="D257" s="144" t="s">
        <v>4</v>
      </c>
      <c r="E257" s="144" t="s">
        <v>1263</v>
      </c>
      <c r="F257" s="142" t="s">
        <v>1264</v>
      </c>
      <c r="G257" s="144" t="s">
        <v>27</v>
      </c>
      <c r="H257" s="146">
        <v>0.8125</v>
      </c>
      <c r="I257" s="144" t="s">
        <v>12</v>
      </c>
      <c r="J257" s="147">
        <v>45986</v>
      </c>
      <c r="K257" s="147">
        <v>46143</v>
      </c>
      <c r="L257" s="143">
        <f>IF(ISBLANK(DATA[[#This Row],[DISCHARGE DATE]]), "NO DATE", DATA[[#This Row],[DISCHARGE DATE]]-DATA[[#This Row],[ADMISSION DATE]]+1)</f>
        <v>158</v>
      </c>
      <c r="M257" s="148">
        <v>350</v>
      </c>
      <c r="N257" s="148">
        <v>3160</v>
      </c>
      <c r="O257" s="149" t="s">
        <v>1318</v>
      </c>
      <c r="P257" s="149">
        <v>288</v>
      </c>
      <c r="Q257" s="150">
        <f>IF(DATA[[#This Row],[TYPE]]="Normal", 13 * DATA[[#This Row],[STORAGE DAYS]], 20 * DATA[[#This Row],[STORAGE DAYS]])</f>
        <v>3160</v>
      </c>
      <c r="R257" s="150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389</v>
      </c>
    </row>
    <row r="258" spans="1:22" s="26" customFormat="1" ht="16.5" customHeight="1" x14ac:dyDescent="0.25">
      <c r="A258" s="142" t="s">
        <v>1261</v>
      </c>
      <c r="B258" s="143" t="s">
        <v>1265</v>
      </c>
      <c r="C258" s="143">
        <v>101</v>
      </c>
      <c r="D258" s="144" t="s">
        <v>4</v>
      </c>
      <c r="E258" s="144" t="s">
        <v>1266</v>
      </c>
      <c r="F258" s="142" t="s">
        <v>1267</v>
      </c>
      <c r="G258" s="144" t="s">
        <v>27</v>
      </c>
      <c r="H258" s="146" t="s">
        <v>1268</v>
      </c>
      <c r="I258" s="144" t="s">
        <v>10</v>
      </c>
      <c r="J258" s="147">
        <v>45987</v>
      </c>
      <c r="K258" s="147">
        <v>46171</v>
      </c>
      <c r="L258" s="143">
        <f>IF(ISBLANK(DATA[[#This Row],[DISCHARGE DATE]]), "NO DATE", DATA[[#This Row],[DISCHARGE DATE]]-DATA[[#This Row],[ADMISSION DATE]]+1)</f>
        <v>185</v>
      </c>
      <c r="M258" s="148">
        <v>350</v>
      </c>
      <c r="N258" s="148">
        <v>2405</v>
      </c>
      <c r="O258" s="149" t="s">
        <v>1319</v>
      </c>
      <c r="P258" s="149">
        <v>306</v>
      </c>
      <c r="Q258" s="150">
        <f>IF(DATA[[#This Row],[TYPE]]="Normal", 13 * DATA[[#This Row],[STORAGE DAYS]], 20 * DATA[[#This Row],[STORAGE DAYS]])</f>
        <v>2405</v>
      </c>
      <c r="R258" s="150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389</v>
      </c>
      <c r="V258" s="26">
        <f>COUNTIF(S:S,"in custody")</f>
        <v>64</v>
      </c>
    </row>
    <row r="259" spans="1:22" s="26" customFormat="1" ht="16.5" customHeight="1" x14ac:dyDescent="0.25">
      <c r="A259" s="142" t="s">
        <v>1269</v>
      </c>
      <c r="B259" s="143" t="s">
        <v>1270</v>
      </c>
      <c r="C259" s="143">
        <v>52</v>
      </c>
      <c r="D259" s="144" t="s">
        <v>5</v>
      </c>
      <c r="E259" s="144" t="s">
        <v>1271</v>
      </c>
      <c r="F259" s="142" t="s">
        <v>1272</v>
      </c>
      <c r="G259" s="144" t="s">
        <v>26</v>
      </c>
      <c r="H259" s="146" t="s">
        <v>1273</v>
      </c>
      <c r="I259" s="144" t="s">
        <v>10</v>
      </c>
      <c r="J259" s="147">
        <v>45987</v>
      </c>
      <c r="K259" s="147">
        <v>46142</v>
      </c>
      <c r="L259" s="143">
        <f>IF(ISBLANK(DATA[[#This Row],[DISCHARGE DATE]]), "NO DATE", DATA[[#This Row],[DISCHARGE DATE]]-DATA[[#This Row],[ADMISSION DATE]]+1)</f>
        <v>156</v>
      </c>
      <c r="M259" s="148">
        <v>350</v>
      </c>
      <c r="N259" s="148">
        <v>2028</v>
      </c>
      <c r="O259" s="149" t="s">
        <v>1320</v>
      </c>
      <c r="P259" s="149">
        <v>281</v>
      </c>
      <c r="Q259" s="150">
        <f>IF(DATA[[#This Row],[TYPE]]="Normal", 13 * DATA[[#This Row],[STORAGE DAYS]], 20 * DATA[[#This Row],[STORAGE DAYS]])</f>
        <v>2028</v>
      </c>
      <c r="R259" s="150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389</v>
      </c>
    </row>
    <row r="260" spans="1:22" s="26" customFormat="1" ht="16.5" customHeight="1" x14ac:dyDescent="0.25">
      <c r="A260" s="142" t="s">
        <v>1278</v>
      </c>
      <c r="B260" s="143" t="s">
        <v>1279</v>
      </c>
      <c r="C260" s="143">
        <v>52</v>
      </c>
      <c r="D260" s="144" t="s">
        <v>5</v>
      </c>
      <c r="E260" s="144" t="s">
        <v>1280</v>
      </c>
      <c r="F260" s="142" t="s">
        <v>1281</v>
      </c>
      <c r="G260" s="144" t="s">
        <v>20</v>
      </c>
      <c r="H260" s="146" t="s">
        <v>1282</v>
      </c>
      <c r="I260" s="144" t="s">
        <v>10</v>
      </c>
      <c r="J260" s="147">
        <v>45987</v>
      </c>
      <c r="K260" s="147"/>
      <c r="L260" s="143" t="str">
        <f>IF(ISBLANK(DATA[[#This Row],[DISCHARGE DATE]]), "NO DATE", DATA[[#This Row],[DISCHARGE DATE]]-DATA[[#This Row],[ADMISSION DATE]]+1)</f>
        <v>NO DATE</v>
      </c>
      <c r="M260" s="148">
        <v>350</v>
      </c>
      <c r="N260" s="148"/>
      <c r="O260" s="149" t="s">
        <v>1321</v>
      </c>
      <c r="P260" s="149"/>
      <c r="Q260" s="150" t="e">
        <f>IF(DATA[[#This Row],[TYPE]]="Normal", 13 * DATA[[#This Row],[STORAGE DAYS]], 20 * DATA[[#This Row],[STORAGE DAYS]])</f>
        <v>#VALUE!</v>
      </c>
      <c r="R260" s="150" t="e">
        <f>DATA[[#This Row],[COLDROOM FEE]]-DATA[[#This Row],[STORAGE FEE]]</f>
        <v>#VALUE!</v>
      </c>
      <c r="S260" s="98" t="str">
        <f>IF(ISBLANK(DATA[[#This Row],[COLDROOM RECEIPT]]),"IN CUSTODY","DISCHARGED")</f>
        <v>IN CUSTODY</v>
      </c>
      <c r="T260" s="25">
        <f>COUNTA(A:A)-2</f>
        <v>389</v>
      </c>
    </row>
    <row r="261" spans="1:22" s="26" customFormat="1" ht="16.5" customHeight="1" x14ac:dyDescent="0.25">
      <c r="A261" s="142" t="s">
        <v>1283</v>
      </c>
      <c r="B261" s="143" t="s">
        <v>1284</v>
      </c>
      <c r="C261" s="143">
        <v>85</v>
      </c>
      <c r="D261" s="144" t="s">
        <v>4</v>
      </c>
      <c r="E261" s="144" t="s">
        <v>1285</v>
      </c>
      <c r="F261" s="142" t="s">
        <v>1286</v>
      </c>
      <c r="G261" s="144" t="s">
        <v>20</v>
      </c>
      <c r="H261" s="146" t="s">
        <v>1282</v>
      </c>
      <c r="I261" s="144" t="s">
        <v>10</v>
      </c>
      <c r="J261" s="147">
        <v>45988</v>
      </c>
      <c r="K261" s="147">
        <v>46122</v>
      </c>
      <c r="L261" s="143">
        <f>IF(ISBLANK(DATA[[#This Row],[DISCHARGE DATE]]), "NO DATE", DATA[[#This Row],[DISCHARGE DATE]]-DATA[[#This Row],[ADMISSION DATE]]+1)</f>
        <v>135</v>
      </c>
      <c r="M261" s="148">
        <v>350</v>
      </c>
      <c r="N261" s="148">
        <v>1755</v>
      </c>
      <c r="O261" s="149" t="s">
        <v>1322</v>
      </c>
      <c r="P261" s="149">
        <v>267</v>
      </c>
      <c r="Q261" s="150">
        <f>IF(DATA[[#This Row],[TYPE]]="Normal", 13 * DATA[[#This Row],[STORAGE DAYS]], 20 * DATA[[#This Row],[STORAGE DAYS]])</f>
        <v>1755</v>
      </c>
      <c r="R261" s="150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389</v>
      </c>
    </row>
    <row r="262" spans="1:22" s="26" customFormat="1" ht="16.5" customHeight="1" x14ac:dyDescent="0.25">
      <c r="A262" s="142" t="s">
        <v>1287</v>
      </c>
      <c r="B262" s="143" t="s">
        <v>244</v>
      </c>
      <c r="C262" s="143">
        <v>60</v>
      </c>
      <c r="D262" s="144" t="s">
        <v>5</v>
      </c>
      <c r="E262" s="144" t="s">
        <v>1288</v>
      </c>
      <c r="F262" s="142" t="s">
        <v>1289</v>
      </c>
      <c r="G262" s="144" t="s">
        <v>1290</v>
      </c>
      <c r="H262" s="146" t="s">
        <v>1291</v>
      </c>
      <c r="I262" s="144" t="s">
        <v>10</v>
      </c>
      <c r="J262" s="147">
        <v>45988</v>
      </c>
      <c r="K262" s="147">
        <v>46080</v>
      </c>
      <c r="L262" s="143">
        <f>IF(ISBLANK(DATA[[#This Row],[DISCHARGE DATE]]), "NO DATE", DATA[[#This Row],[DISCHARGE DATE]]-DATA[[#This Row],[ADMISSION DATE]]+1)</f>
        <v>93</v>
      </c>
      <c r="M262" s="148">
        <v>350</v>
      </c>
      <c r="N262" s="148">
        <v>1209</v>
      </c>
      <c r="O262" s="149" t="s">
        <v>1323</v>
      </c>
      <c r="P262" s="149">
        <v>140</v>
      </c>
      <c r="Q262" s="150">
        <f>IF(DATA[[#This Row],[TYPE]]="Normal", 13 * DATA[[#This Row],[STORAGE DAYS]], 20 * DATA[[#This Row],[STORAGE DAYS]])</f>
        <v>1209</v>
      </c>
      <c r="R262" s="150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389</v>
      </c>
    </row>
    <row r="263" spans="1:22" s="26" customFormat="1" ht="16.5" customHeight="1" x14ac:dyDescent="0.25">
      <c r="A263" s="142" t="s">
        <v>1293</v>
      </c>
      <c r="B263" s="143" t="s">
        <v>1296</v>
      </c>
      <c r="C263" s="143">
        <v>80</v>
      </c>
      <c r="D263" s="144" t="s">
        <v>5</v>
      </c>
      <c r="E263" s="144" t="s">
        <v>1297</v>
      </c>
      <c r="F263" s="142" t="s">
        <v>1298</v>
      </c>
      <c r="G263" s="144" t="s">
        <v>27</v>
      </c>
      <c r="H263" s="146" t="s">
        <v>1299</v>
      </c>
      <c r="I263" s="144" t="s">
        <v>12</v>
      </c>
      <c r="J263" s="147">
        <v>45993</v>
      </c>
      <c r="K263" s="147">
        <v>46143</v>
      </c>
      <c r="L263" s="143">
        <f>IF(ISBLANK(DATA[[#This Row],[DISCHARGE DATE]]), "NO DATE", DATA[[#This Row],[DISCHARGE DATE]]-DATA[[#This Row],[ADMISSION DATE]]+1)</f>
        <v>151</v>
      </c>
      <c r="M263" s="148">
        <v>350</v>
      </c>
      <c r="N263" s="148">
        <v>3020</v>
      </c>
      <c r="O263" s="149" t="s">
        <v>1300</v>
      </c>
      <c r="P263" s="149" t="s">
        <v>1830</v>
      </c>
      <c r="Q263" s="150">
        <f>IF(DATA[[#This Row],[TYPE]]="Normal", 13 * DATA[[#This Row],[STORAGE DAYS]], 20 * DATA[[#This Row],[STORAGE DAYS]])</f>
        <v>3020</v>
      </c>
      <c r="R263" s="150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389</v>
      </c>
    </row>
    <row r="264" spans="1:22" s="26" customFormat="1" ht="16.5" customHeight="1" x14ac:dyDescent="0.25">
      <c r="A264" s="142" t="s">
        <v>1301</v>
      </c>
      <c r="B264" s="143" t="s">
        <v>1302</v>
      </c>
      <c r="C264" s="143">
        <v>67</v>
      </c>
      <c r="D264" s="144" t="s">
        <v>4</v>
      </c>
      <c r="E264" s="144" t="s">
        <v>584</v>
      </c>
      <c r="F264" s="142" t="s">
        <v>1303</v>
      </c>
      <c r="G264" s="144" t="s">
        <v>27</v>
      </c>
      <c r="H264" s="146" t="s">
        <v>1304</v>
      </c>
      <c r="I264" s="144" t="s">
        <v>12</v>
      </c>
      <c r="J264" s="147">
        <v>45994</v>
      </c>
      <c r="K264" s="147">
        <v>46108</v>
      </c>
      <c r="L264" s="143">
        <f>IF(ISBLANK(DATA[[#This Row],[DISCHARGE DATE]]), "NO DATE", DATA[[#This Row],[DISCHARGE DATE]]-DATA[[#This Row],[ADMISSION DATE]]+1)</f>
        <v>115</v>
      </c>
      <c r="M264" s="148">
        <v>350</v>
      </c>
      <c r="N264" s="148">
        <v>2300</v>
      </c>
      <c r="O264" s="149" t="s">
        <v>1305</v>
      </c>
      <c r="P264" s="149">
        <v>147</v>
      </c>
      <c r="Q264" s="150">
        <f>IF(DATA[[#This Row],[TYPE]]="Normal", 13 * DATA[[#This Row],[STORAGE DAYS]], 20 * DATA[[#This Row],[STORAGE DAYS]])</f>
        <v>2300</v>
      </c>
      <c r="R264" s="150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389</v>
      </c>
    </row>
    <row r="265" spans="1:22" s="26" customFormat="1" ht="16.5" customHeight="1" x14ac:dyDescent="0.25">
      <c r="A265" s="142" t="s">
        <v>1306</v>
      </c>
      <c r="B265" s="143" t="s">
        <v>1294</v>
      </c>
      <c r="C265" s="143">
        <v>6</v>
      </c>
      <c r="D265" s="144" t="s">
        <v>4</v>
      </c>
      <c r="E265" s="144" t="s">
        <v>1295</v>
      </c>
      <c r="F265" s="142" t="s">
        <v>1724</v>
      </c>
      <c r="G265" s="144" t="s">
        <v>25</v>
      </c>
      <c r="H265" s="146">
        <v>0.85416666666666663</v>
      </c>
      <c r="I265" s="144" t="s">
        <v>10</v>
      </c>
      <c r="J265" s="147">
        <v>45994</v>
      </c>
      <c r="K265" s="147">
        <v>45997</v>
      </c>
      <c r="L265" s="143">
        <f>IF(ISBLANK(DATA[[#This Row],[DISCHARGE DATE]]), "NO DATE", DATA[[#This Row],[DISCHARGE DATE]]-DATA[[#This Row],[ADMISSION DATE]]+1)</f>
        <v>4</v>
      </c>
      <c r="M265" s="148">
        <v>350</v>
      </c>
      <c r="N265" s="148">
        <v>52</v>
      </c>
      <c r="O265" s="149" t="s">
        <v>1307</v>
      </c>
      <c r="P265" s="149">
        <v>121</v>
      </c>
      <c r="Q265" s="150">
        <f>IF(DATA[[#This Row],[TYPE]]="Normal", 13 * DATA[[#This Row],[STORAGE DAYS]], 20 * DATA[[#This Row],[STORAGE DAYS]])</f>
        <v>52</v>
      </c>
      <c r="R265" s="150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389</v>
      </c>
    </row>
    <row r="266" spans="1:22" s="26" customFormat="1" ht="16.5" customHeight="1" x14ac:dyDescent="0.25">
      <c r="A266" s="142" t="s">
        <v>1324</v>
      </c>
      <c r="B266" s="143" t="s">
        <v>1325</v>
      </c>
      <c r="C266" s="143">
        <v>70</v>
      </c>
      <c r="D266" s="144" t="s">
        <v>4</v>
      </c>
      <c r="E266" s="144" t="s">
        <v>1326</v>
      </c>
      <c r="F266" s="142" t="s">
        <v>1725</v>
      </c>
      <c r="G266" s="144" t="s">
        <v>27</v>
      </c>
      <c r="H266" s="146">
        <v>0.39583333333333331</v>
      </c>
      <c r="I266" s="144" t="s">
        <v>12</v>
      </c>
      <c r="J266" s="147">
        <v>45996</v>
      </c>
      <c r="K266" s="147">
        <v>46171</v>
      </c>
      <c r="L266" s="143">
        <f>IF(ISBLANK(DATA[[#This Row],[DISCHARGE DATE]]), "NO DATE", DATA[[#This Row],[DISCHARGE DATE]]-DATA[[#This Row],[ADMISSION DATE]]+1)</f>
        <v>176</v>
      </c>
      <c r="M266" s="148">
        <v>350</v>
      </c>
      <c r="N266" s="148">
        <v>3520</v>
      </c>
      <c r="O266" s="149">
        <v>270</v>
      </c>
      <c r="P266" s="149">
        <v>319</v>
      </c>
      <c r="Q266" s="150">
        <f>IF(DATA[[#This Row],[TYPE]]="Normal", 13 * DATA[[#This Row],[STORAGE DAYS]], 20 * DATA[[#This Row],[STORAGE DAYS]])</f>
        <v>3520</v>
      </c>
      <c r="R266" s="150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389</v>
      </c>
    </row>
    <row r="267" spans="1:22" s="26" customFormat="1" ht="16.5" customHeight="1" x14ac:dyDescent="0.25">
      <c r="A267" s="142" t="s">
        <v>1329</v>
      </c>
      <c r="B267" s="143" t="s">
        <v>1327</v>
      </c>
      <c r="C267" s="143">
        <v>65</v>
      </c>
      <c r="D267" s="144" t="s">
        <v>4</v>
      </c>
      <c r="E267" s="144" t="s">
        <v>1328</v>
      </c>
      <c r="F267" s="144" t="s">
        <v>1726</v>
      </c>
      <c r="G267" s="144" t="s">
        <v>27</v>
      </c>
      <c r="H267" s="146">
        <v>0.41666666666666669</v>
      </c>
      <c r="I267" s="144" t="s">
        <v>10</v>
      </c>
      <c r="J267" s="147">
        <v>45996</v>
      </c>
      <c r="K267" s="147">
        <v>46143</v>
      </c>
      <c r="L267" s="143">
        <f>IF(ISBLANK(DATA[[#This Row],[DISCHARGE DATE]]), "NO DATE", DATA[[#This Row],[DISCHARGE DATE]]-DATA[[#This Row],[ADMISSION DATE]]+1)</f>
        <v>148</v>
      </c>
      <c r="M267" s="148">
        <v>350</v>
      </c>
      <c r="N267" s="148">
        <v>1924</v>
      </c>
      <c r="O267" s="149">
        <v>271</v>
      </c>
      <c r="P267" s="149">
        <v>282</v>
      </c>
      <c r="Q267" s="150">
        <f>IF(DATA[[#This Row],[TYPE]]="Normal", 13 * DATA[[#This Row],[STORAGE DAYS]], 20 * DATA[[#This Row],[STORAGE DAYS]])</f>
        <v>1924</v>
      </c>
      <c r="R267" s="150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389</v>
      </c>
    </row>
    <row r="268" spans="1:22" s="26" customFormat="1" ht="16.5" customHeight="1" x14ac:dyDescent="0.25">
      <c r="A268" s="142" t="s">
        <v>1330</v>
      </c>
      <c r="B268" s="143" t="s">
        <v>1331</v>
      </c>
      <c r="C268" s="143">
        <v>39</v>
      </c>
      <c r="D268" s="144" t="s">
        <v>5</v>
      </c>
      <c r="E268" s="144" t="s">
        <v>1140</v>
      </c>
      <c r="F268" s="144" t="s">
        <v>1141</v>
      </c>
      <c r="G268" s="144" t="s">
        <v>1142</v>
      </c>
      <c r="H268" s="146">
        <v>0.34722222222222221</v>
      </c>
      <c r="I268" s="144" t="s">
        <v>12</v>
      </c>
      <c r="J268" s="147">
        <v>45999</v>
      </c>
      <c r="K268" s="147">
        <v>46038</v>
      </c>
      <c r="L268" s="143">
        <f>IF(ISBLANK(DATA[[#This Row],[DISCHARGE DATE]]), "NO DATE", DATA[[#This Row],[DISCHARGE DATE]]-DATA[[#This Row],[ADMISSION DATE]]+1)</f>
        <v>40</v>
      </c>
      <c r="M268" s="148">
        <v>350</v>
      </c>
      <c r="N268" s="148">
        <v>800</v>
      </c>
      <c r="O268" s="149">
        <v>272</v>
      </c>
      <c r="P268" s="149">
        <v>124</v>
      </c>
      <c r="Q268" s="150">
        <f>IF(DATA[[#This Row],[TYPE]]="Normal", 13 * DATA[[#This Row],[STORAGE DAYS]], 20 * DATA[[#This Row],[STORAGE DAYS]])</f>
        <v>800</v>
      </c>
      <c r="R268" s="150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389</v>
      </c>
    </row>
    <row r="269" spans="1:22" s="26" customFormat="1" ht="13.5" customHeight="1" x14ac:dyDescent="0.25">
      <c r="A269" s="142" t="s">
        <v>1332</v>
      </c>
      <c r="B269" s="143" t="s">
        <v>1333</v>
      </c>
      <c r="C269" s="143">
        <v>45</v>
      </c>
      <c r="D269" s="144" t="s">
        <v>5</v>
      </c>
      <c r="E269" s="144" t="s">
        <v>1334</v>
      </c>
      <c r="F269" s="144" t="s">
        <v>1727</v>
      </c>
      <c r="G269" s="144" t="s">
        <v>18</v>
      </c>
      <c r="H269" s="146">
        <v>0.27083333333333331</v>
      </c>
      <c r="I269" s="144" t="s">
        <v>12</v>
      </c>
      <c r="J269" s="147">
        <v>45997</v>
      </c>
      <c r="K269" s="147">
        <v>46143</v>
      </c>
      <c r="L269" s="143">
        <f>IF(ISBLANK(DATA[[#This Row],[DISCHARGE DATE]]), "NO DATE", DATA[[#This Row],[DISCHARGE DATE]]-DATA[[#This Row],[ADMISSION DATE]]+1)</f>
        <v>147</v>
      </c>
      <c r="M269" s="148">
        <v>350</v>
      </c>
      <c r="N269" s="148">
        <v>2940</v>
      </c>
      <c r="O269" s="149">
        <v>273</v>
      </c>
      <c r="P269" s="149">
        <v>12000140</v>
      </c>
      <c r="Q269" s="150">
        <f>IF(DATA[[#This Row],[TYPE]]="Normal", 13 * DATA[[#This Row],[STORAGE DAYS]], 20 * DATA[[#This Row],[STORAGE DAYS]])</f>
        <v>2940</v>
      </c>
      <c r="R269" s="150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389</v>
      </c>
    </row>
    <row r="270" spans="1:22" s="26" customFormat="1" ht="16.5" customHeight="1" x14ac:dyDescent="0.25">
      <c r="A270" s="142" t="s">
        <v>1335</v>
      </c>
      <c r="B270" s="143" t="s">
        <v>1336</v>
      </c>
      <c r="C270" s="143">
        <v>35</v>
      </c>
      <c r="D270" s="144" t="s">
        <v>4</v>
      </c>
      <c r="E270" s="144" t="s">
        <v>1337</v>
      </c>
      <c r="F270" s="144" t="s">
        <v>1728</v>
      </c>
      <c r="G270" s="144" t="s">
        <v>27</v>
      </c>
      <c r="H270" s="146">
        <v>0.41666666666666669</v>
      </c>
      <c r="I270" s="144" t="s">
        <v>10</v>
      </c>
      <c r="J270" s="147">
        <v>45999</v>
      </c>
      <c r="K270" s="147">
        <v>46108</v>
      </c>
      <c r="L270" s="143">
        <f>IF(ISBLANK(DATA[[#This Row],[DISCHARGE DATE]]), "NO DATE", DATA[[#This Row],[DISCHARGE DATE]]-DATA[[#This Row],[ADMISSION DATE]]+1)</f>
        <v>110</v>
      </c>
      <c r="M270" s="148">
        <v>350</v>
      </c>
      <c r="N270" s="148">
        <v>1430</v>
      </c>
      <c r="O270" s="149">
        <v>274</v>
      </c>
      <c r="P270" s="149">
        <v>145</v>
      </c>
      <c r="Q270" s="150">
        <f>IF(DATA[[#This Row],[TYPE]]="Normal", 13 * DATA[[#This Row],[STORAGE DAYS]], 20 * DATA[[#This Row],[STORAGE DAYS]])</f>
        <v>1430</v>
      </c>
      <c r="R270" s="150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389</v>
      </c>
    </row>
    <row r="271" spans="1:22" s="26" customFormat="1" ht="16.5" customHeight="1" x14ac:dyDescent="0.25">
      <c r="A271" s="142" t="s">
        <v>1344</v>
      </c>
      <c r="B271" s="143" t="s">
        <v>1345</v>
      </c>
      <c r="C271" s="143">
        <v>62</v>
      </c>
      <c r="D271" s="144" t="s">
        <v>4</v>
      </c>
      <c r="E271" s="144" t="s">
        <v>1346</v>
      </c>
      <c r="F271" s="144" t="s">
        <v>1729</v>
      </c>
      <c r="G271" s="144" t="s">
        <v>27</v>
      </c>
      <c r="H271" s="146">
        <v>0.8125</v>
      </c>
      <c r="I271" s="144" t="s">
        <v>10</v>
      </c>
      <c r="J271" s="147">
        <v>46002</v>
      </c>
      <c r="K271" s="147">
        <v>46143</v>
      </c>
      <c r="L271" s="143">
        <f>IF(ISBLANK(DATA[[#This Row],[DISCHARGE DATE]]), "NO DATE", DATA[[#This Row],[DISCHARGE DATE]]-DATA[[#This Row],[ADMISSION DATE]]+1)</f>
        <v>142</v>
      </c>
      <c r="M271" s="148">
        <v>350</v>
      </c>
      <c r="N271" s="148">
        <v>1846</v>
      </c>
      <c r="O271" s="149">
        <v>275</v>
      </c>
      <c r="P271" s="149">
        <v>284</v>
      </c>
      <c r="Q271" s="150">
        <f>IF(DATA[[#This Row],[TYPE]]="Normal", 13 * DATA[[#This Row],[STORAGE DAYS]], 20 * DATA[[#This Row],[STORAGE DAYS]])</f>
        <v>1846</v>
      </c>
      <c r="R271" s="150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389</v>
      </c>
    </row>
    <row r="272" spans="1:22" s="26" customFormat="1" ht="16.5" customHeight="1" x14ac:dyDescent="0.25">
      <c r="A272" s="142" t="s">
        <v>1347</v>
      </c>
      <c r="B272" s="143" t="s">
        <v>1348</v>
      </c>
      <c r="C272" s="143">
        <v>36</v>
      </c>
      <c r="D272" s="144" t="s">
        <v>4</v>
      </c>
      <c r="E272" s="144" t="s">
        <v>1349</v>
      </c>
      <c r="F272" s="144" t="s">
        <v>1730</v>
      </c>
      <c r="G272" s="144" t="s">
        <v>27</v>
      </c>
      <c r="H272" s="146">
        <v>0.125</v>
      </c>
      <c r="I272" s="144" t="s">
        <v>10</v>
      </c>
      <c r="J272" s="147">
        <v>46004</v>
      </c>
      <c r="K272" s="147">
        <v>46206</v>
      </c>
      <c r="L272" s="143">
        <f>IF(ISBLANK(DATA[[#This Row],[DISCHARGE DATE]]), "NO DATE", DATA[[#This Row],[DISCHARGE DATE]]-DATA[[#This Row],[ADMISSION DATE]]+1)</f>
        <v>203</v>
      </c>
      <c r="M272" s="148">
        <v>350</v>
      </c>
      <c r="N272" s="148">
        <v>2639</v>
      </c>
      <c r="O272" s="149">
        <v>276</v>
      </c>
      <c r="P272" s="149">
        <v>326</v>
      </c>
      <c r="Q272" s="150">
        <f>IF(DATA[[#This Row],[TYPE]]="Normal", 13 * DATA[[#This Row],[STORAGE DAYS]], 20 * DATA[[#This Row],[STORAGE DAYS]])</f>
        <v>2639</v>
      </c>
      <c r="R272" s="150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389</v>
      </c>
    </row>
    <row r="273" spans="1:20" s="26" customFormat="1" ht="16.5" customHeight="1" x14ac:dyDescent="0.25">
      <c r="A273" s="142" t="s">
        <v>1350</v>
      </c>
      <c r="B273" s="143" t="s">
        <v>1351</v>
      </c>
      <c r="C273" s="143">
        <v>75</v>
      </c>
      <c r="D273" s="144" t="s">
        <v>4</v>
      </c>
      <c r="E273" s="144" t="s">
        <v>1352</v>
      </c>
      <c r="F273" s="144" t="s">
        <v>1731</v>
      </c>
      <c r="G273" s="144" t="s">
        <v>27</v>
      </c>
      <c r="H273" s="146">
        <v>0.46527777777777779</v>
      </c>
      <c r="I273" s="144" t="s">
        <v>10</v>
      </c>
      <c r="J273" s="147">
        <v>46006</v>
      </c>
      <c r="K273" s="147">
        <v>46318</v>
      </c>
      <c r="L273" s="143">
        <f>IF(ISBLANK(DATA[[#This Row],[DISCHARGE DATE]]), "NO DATE", DATA[[#This Row],[DISCHARGE DATE]]-DATA[[#This Row],[ADMISSION DATE]]+1)</f>
        <v>313</v>
      </c>
      <c r="M273" s="148">
        <v>350</v>
      </c>
      <c r="N273" s="148"/>
      <c r="O273" s="149">
        <v>277</v>
      </c>
      <c r="P273" s="149"/>
      <c r="Q273" s="150">
        <f>IF(DATA[[#This Row],[TYPE]]="Normal", 13 * DATA[[#This Row],[STORAGE DAYS]], 20 * DATA[[#This Row],[STORAGE DAYS]])</f>
        <v>4069</v>
      </c>
      <c r="R273" s="150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389</v>
      </c>
    </row>
    <row r="274" spans="1:20" s="26" customFormat="1" ht="16.5" customHeight="1" x14ac:dyDescent="0.25">
      <c r="A274" s="142" t="s">
        <v>1360</v>
      </c>
      <c r="B274" s="143" t="s">
        <v>1361</v>
      </c>
      <c r="C274" s="143">
        <v>64</v>
      </c>
      <c r="D274" s="144" t="s">
        <v>5</v>
      </c>
      <c r="E274" s="144" t="s">
        <v>1362</v>
      </c>
      <c r="F274" s="144" t="s">
        <v>1732</v>
      </c>
      <c r="G274" s="144" t="s">
        <v>19</v>
      </c>
      <c r="H274" s="146">
        <v>0.8125</v>
      </c>
      <c r="I274" s="144" t="s">
        <v>10</v>
      </c>
      <c r="J274" s="147">
        <v>46010</v>
      </c>
      <c r="K274" s="147">
        <v>46108</v>
      </c>
      <c r="L274" s="143">
        <f>IF(ISBLANK(DATA[[#This Row],[DISCHARGE DATE]]), "NO DATE", DATA[[#This Row],[DISCHARGE DATE]]-DATA[[#This Row],[ADMISSION DATE]]+1)</f>
        <v>99</v>
      </c>
      <c r="M274" s="148">
        <v>350</v>
      </c>
      <c r="N274" s="148">
        <v>1287</v>
      </c>
      <c r="O274" s="149">
        <v>278</v>
      </c>
      <c r="P274" s="149">
        <v>265</v>
      </c>
      <c r="Q274" s="150">
        <f>IF(DATA[[#This Row],[TYPE]]="Normal", 13 * DATA[[#This Row],[STORAGE DAYS]], 20 * DATA[[#This Row],[STORAGE DAYS]])</f>
        <v>1287</v>
      </c>
      <c r="R274" s="150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389</v>
      </c>
    </row>
    <row r="275" spans="1:20" s="26" customFormat="1" ht="16.5" customHeight="1" x14ac:dyDescent="0.25">
      <c r="A275" s="142" t="s">
        <v>1363</v>
      </c>
      <c r="B275" s="143" t="s">
        <v>1364</v>
      </c>
      <c r="C275" s="143">
        <v>52</v>
      </c>
      <c r="D275" s="144" t="s">
        <v>5</v>
      </c>
      <c r="E275" s="144" t="s">
        <v>1365</v>
      </c>
      <c r="F275" s="144" t="s">
        <v>1733</v>
      </c>
      <c r="G275" s="144" t="s">
        <v>1366</v>
      </c>
      <c r="H275" s="146">
        <v>0.8125</v>
      </c>
      <c r="I275" s="144" t="s">
        <v>10</v>
      </c>
      <c r="J275" s="147">
        <v>46015</v>
      </c>
      <c r="K275" s="147">
        <v>46059</v>
      </c>
      <c r="L275" s="143">
        <f>IF(ISBLANK(DATA[[#This Row],[DISCHARGE DATE]]), "NO DATE", DATA[[#This Row],[DISCHARGE DATE]]-DATA[[#This Row],[ADMISSION DATE]]+1)</f>
        <v>45</v>
      </c>
      <c r="M275" s="148">
        <v>350</v>
      </c>
      <c r="N275" s="148">
        <v>585</v>
      </c>
      <c r="O275" s="149">
        <v>279</v>
      </c>
      <c r="P275" s="149">
        <v>131</v>
      </c>
      <c r="Q275" s="150">
        <f>IF(DATA[[#This Row],[TYPE]]="Normal", 13 * DATA[[#This Row],[STORAGE DAYS]], 20 * DATA[[#This Row],[STORAGE DAYS]])</f>
        <v>585</v>
      </c>
      <c r="R275" s="150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389</v>
      </c>
    </row>
    <row r="276" spans="1:20" s="26" customFormat="1" ht="16.5" customHeight="1" x14ac:dyDescent="0.25">
      <c r="A276" s="142" t="s">
        <v>1367</v>
      </c>
      <c r="B276" s="143" t="s">
        <v>1368</v>
      </c>
      <c r="C276" s="143">
        <v>21</v>
      </c>
      <c r="D276" s="144" t="s">
        <v>4</v>
      </c>
      <c r="E276" s="144" t="s">
        <v>1369</v>
      </c>
      <c r="F276" s="144" t="s">
        <v>1734</v>
      </c>
      <c r="G276" s="144" t="s">
        <v>19</v>
      </c>
      <c r="H276" s="146">
        <v>0.85416666666666663</v>
      </c>
      <c r="I276" s="144" t="s">
        <v>10</v>
      </c>
      <c r="J276" s="147">
        <v>46019</v>
      </c>
      <c r="K276" s="147">
        <v>46045</v>
      </c>
      <c r="L276" s="143">
        <f>IF(ISBLANK(DATA[[#This Row],[DISCHARGE DATE]]), "NO DATE", DATA[[#This Row],[DISCHARGE DATE]]-DATA[[#This Row],[ADMISSION DATE]]+1)</f>
        <v>27</v>
      </c>
      <c r="M276" s="148">
        <v>350</v>
      </c>
      <c r="N276" s="148">
        <v>351</v>
      </c>
      <c r="O276" s="149">
        <v>280</v>
      </c>
      <c r="P276" s="149">
        <v>128</v>
      </c>
      <c r="Q276" s="150">
        <f>IF(DATA[[#This Row],[TYPE]]="Normal", 13 * DATA[[#This Row],[STORAGE DAYS]], 20 * DATA[[#This Row],[STORAGE DAYS]])</f>
        <v>351</v>
      </c>
      <c r="R276" s="150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389</v>
      </c>
    </row>
    <row r="277" spans="1:20" s="26" customFormat="1" ht="16.5" customHeight="1" x14ac:dyDescent="0.25">
      <c r="A277" s="142" t="s">
        <v>1371</v>
      </c>
      <c r="B277" s="143" t="s">
        <v>1372</v>
      </c>
      <c r="C277" s="143">
        <v>64</v>
      </c>
      <c r="D277" s="144" t="s">
        <v>4</v>
      </c>
      <c r="E277" s="144" t="s">
        <v>1373</v>
      </c>
      <c r="F277" s="144" t="s">
        <v>1735</v>
      </c>
      <c r="G277" s="144" t="s">
        <v>25</v>
      </c>
      <c r="H277" s="146">
        <v>0.85416666666666663</v>
      </c>
      <c r="I277" s="144" t="s">
        <v>12</v>
      </c>
      <c r="J277" s="147">
        <v>46024</v>
      </c>
      <c r="K277" s="147">
        <v>46143</v>
      </c>
      <c r="L277" s="143">
        <f>IF(ISBLANK(DATA[[#This Row],[DISCHARGE DATE]]), "NO DATE", DATA[[#This Row],[DISCHARGE DATE]]-DATA[[#This Row],[ADMISSION DATE]]+1)</f>
        <v>120</v>
      </c>
      <c r="M277" s="148">
        <v>350</v>
      </c>
      <c r="N277" s="148">
        <v>2400</v>
      </c>
      <c r="O277" s="149">
        <v>281</v>
      </c>
      <c r="P277" s="149">
        <v>283</v>
      </c>
      <c r="Q277" s="150">
        <f>IF(DATA[[#This Row],[TYPE]]="Normal", 13 * DATA[[#This Row],[STORAGE DAYS]], 20 * DATA[[#This Row],[STORAGE DAYS]])</f>
        <v>2400</v>
      </c>
      <c r="R277" s="150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389</v>
      </c>
    </row>
    <row r="278" spans="1:20" s="26" customFormat="1" ht="16.5" customHeight="1" x14ac:dyDescent="0.25">
      <c r="A278" s="142" t="s">
        <v>1374</v>
      </c>
      <c r="B278" s="143" t="s">
        <v>1375</v>
      </c>
      <c r="C278" s="143">
        <v>70</v>
      </c>
      <c r="D278" s="144" t="s">
        <v>5</v>
      </c>
      <c r="E278" s="144" t="s">
        <v>1376</v>
      </c>
      <c r="F278" s="144" t="s">
        <v>1736</v>
      </c>
      <c r="G278" s="144" t="s">
        <v>27</v>
      </c>
      <c r="H278" s="146">
        <v>0.22916666666666666</v>
      </c>
      <c r="I278" s="144" t="s">
        <v>10</v>
      </c>
      <c r="J278" s="147">
        <v>46025</v>
      </c>
      <c r="K278" s="147">
        <v>46143</v>
      </c>
      <c r="L278" s="143">
        <f>IF(ISBLANK(DATA[[#This Row],[DISCHARGE DATE]]), "NO DATE", DATA[[#This Row],[DISCHARGE DATE]]-DATA[[#This Row],[ADMISSION DATE]]+1)</f>
        <v>119</v>
      </c>
      <c r="M278" s="148">
        <v>350</v>
      </c>
      <c r="N278" s="148">
        <v>1547</v>
      </c>
      <c r="O278" s="149">
        <v>282</v>
      </c>
      <c r="P278" s="149">
        <v>287</v>
      </c>
      <c r="Q278" s="150">
        <f>IF(DATA[[#This Row],[TYPE]]="Normal", 13 * DATA[[#This Row],[STORAGE DAYS]], 20 * DATA[[#This Row],[STORAGE DAYS]])</f>
        <v>1547</v>
      </c>
      <c r="R278" s="150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389</v>
      </c>
    </row>
    <row r="279" spans="1:20" s="26" customFormat="1" ht="16.5" customHeight="1" x14ac:dyDescent="0.25">
      <c r="A279" s="142" t="s">
        <v>1377</v>
      </c>
      <c r="B279" s="143" t="s">
        <v>1378</v>
      </c>
      <c r="C279" s="143">
        <v>37</v>
      </c>
      <c r="D279" s="144" t="s">
        <v>5</v>
      </c>
      <c r="E279" s="144" t="s">
        <v>1379</v>
      </c>
      <c r="F279" s="144" t="s">
        <v>1737</v>
      </c>
      <c r="G279" s="144" t="s">
        <v>27</v>
      </c>
      <c r="H279" s="146">
        <v>0.52083333333333337</v>
      </c>
      <c r="I279" s="144" t="s">
        <v>10</v>
      </c>
      <c r="J279" s="147">
        <v>46025</v>
      </c>
      <c r="K279" s="147">
        <v>46108</v>
      </c>
      <c r="L279" s="143">
        <f>IF(ISBLANK(DATA[[#This Row],[DISCHARGE DATE]]), "NO DATE", DATA[[#This Row],[DISCHARGE DATE]]-DATA[[#This Row],[ADMISSION DATE]]+1)</f>
        <v>84</v>
      </c>
      <c r="M279" s="148">
        <v>350</v>
      </c>
      <c r="N279" s="148">
        <v>1092</v>
      </c>
      <c r="O279" s="149">
        <v>283</v>
      </c>
      <c r="P279" s="149">
        <v>261</v>
      </c>
      <c r="Q279" s="150">
        <f>IF(DATA[[#This Row],[TYPE]]="Normal", 13 * DATA[[#This Row],[STORAGE DAYS]], 20 * DATA[[#This Row],[STORAGE DAYS]])</f>
        <v>1092</v>
      </c>
      <c r="R279" s="150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389</v>
      </c>
    </row>
    <row r="280" spans="1:20" s="26" customFormat="1" ht="16.5" customHeight="1" x14ac:dyDescent="0.25">
      <c r="A280" s="142" t="s">
        <v>1380</v>
      </c>
      <c r="B280" s="143" t="s">
        <v>1381</v>
      </c>
      <c r="C280" s="143">
        <v>32</v>
      </c>
      <c r="D280" s="144" t="s">
        <v>5</v>
      </c>
      <c r="E280" s="144" t="s">
        <v>1194</v>
      </c>
      <c r="F280" s="144" t="s">
        <v>1738</v>
      </c>
      <c r="G280" s="144" t="s">
        <v>25</v>
      </c>
      <c r="H280" s="146">
        <v>0.60833333333333328</v>
      </c>
      <c r="I280" s="144" t="s">
        <v>10</v>
      </c>
      <c r="J280" s="147">
        <v>46027</v>
      </c>
      <c r="K280" s="147">
        <v>46171</v>
      </c>
      <c r="L280" s="143">
        <f>IF(ISBLANK(DATA[[#This Row],[DISCHARGE DATE]]), "NO DATE", DATA[[#This Row],[DISCHARGE DATE]]-DATA[[#This Row],[ADMISSION DATE]]+1)</f>
        <v>145</v>
      </c>
      <c r="M280" s="148">
        <v>350</v>
      </c>
      <c r="N280" s="148">
        <v>1885</v>
      </c>
      <c r="O280" s="149">
        <v>284</v>
      </c>
      <c r="P280" s="149">
        <v>311</v>
      </c>
      <c r="Q280" s="150">
        <f>IF(DATA[[#This Row],[TYPE]]="Normal", 13 * DATA[[#This Row],[STORAGE DAYS]], 20 * DATA[[#This Row],[STORAGE DAYS]])</f>
        <v>1885</v>
      </c>
      <c r="R280" s="150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389</v>
      </c>
    </row>
    <row r="281" spans="1:20" s="26" customFormat="1" ht="16.5" customHeight="1" x14ac:dyDescent="0.25">
      <c r="A281" s="142" t="s">
        <v>1382</v>
      </c>
      <c r="B281" s="143" t="s">
        <v>1383</v>
      </c>
      <c r="C281" s="143">
        <v>45</v>
      </c>
      <c r="D281" s="144" t="s">
        <v>4</v>
      </c>
      <c r="E281" s="144" t="s">
        <v>1384</v>
      </c>
      <c r="F281" s="144" t="s">
        <v>1739</v>
      </c>
      <c r="G281" s="144" t="s">
        <v>1290</v>
      </c>
      <c r="H281" s="146">
        <v>0.59166666666666667</v>
      </c>
      <c r="I281" s="144" t="s">
        <v>12</v>
      </c>
      <c r="J281" s="147">
        <v>46030</v>
      </c>
      <c r="K281" s="147">
        <v>46073</v>
      </c>
      <c r="L281" s="143">
        <f>IF(ISBLANK(DATA[[#This Row],[DISCHARGE DATE]]), "NO DATE", DATA[[#This Row],[DISCHARGE DATE]]-DATA[[#This Row],[ADMISSION DATE]]+1)</f>
        <v>44</v>
      </c>
      <c r="M281" s="148">
        <v>350</v>
      </c>
      <c r="N281" s="148">
        <v>880</v>
      </c>
      <c r="O281" s="149">
        <v>285</v>
      </c>
      <c r="P281" s="149">
        <v>137</v>
      </c>
      <c r="Q281" s="150">
        <f>IF(DATA[[#This Row],[TYPE]]="Normal", 13 * DATA[[#This Row],[STORAGE DAYS]], 20 * DATA[[#This Row],[STORAGE DAYS]])</f>
        <v>880</v>
      </c>
      <c r="R281" s="150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389</v>
      </c>
    </row>
    <row r="282" spans="1:20" s="26" customFormat="1" ht="16.5" customHeight="1" x14ac:dyDescent="0.25">
      <c r="A282" s="142" t="s">
        <v>1385</v>
      </c>
      <c r="B282" s="143" t="s">
        <v>1386</v>
      </c>
      <c r="C282" s="143">
        <v>75</v>
      </c>
      <c r="D282" s="144" t="s">
        <v>5</v>
      </c>
      <c r="E282" s="144" t="s">
        <v>1387</v>
      </c>
      <c r="F282" s="144" t="s">
        <v>1740</v>
      </c>
      <c r="G282" s="144" t="s">
        <v>25</v>
      </c>
      <c r="H282" s="146">
        <v>0.6069444444444444</v>
      </c>
      <c r="I282" s="144" t="s">
        <v>10</v>
      </c>
      <c r="J282" s="147">
        <v>46031</v>
      </c>
      <c r="K282" s="147">
        <v>46108</v>
      </c>
      <c r="L282" s="143">
        <f>IF(ISBLANK(DATA[[#This Row],[DISCHARGE DATE]]), "NO DATE", DATA[[#This Row],[DISCHARGE DATE]]-DATA[[#This Row],[ADMISSION DATE]]+1)</f>
        <v>78</v>
      </c>
      <c r="M282" s="148">
        <v>350</v>
      </c>
      <c r="N282" s="148">
        <v>1014</v>
      </c>
      <c r="O282" s="149">
        <v>286</v>
      </c>
      <c r="P282" s="149">
        <v>258</v>
      </c>
      <c r="Q282" s="150">
        <f>IF(DATA[[#This Row],[TYPE]]="Normal", 13 * DATA[[#This Row],[STORAGE DAYS]], 20 * DATA[[#This Row],[STORAGE DAYS]])</f>
        <v>1014</v>
      </c>
      <c r="R282" s="150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389</v>
      </c>
    </row>
    <row r="283" spans="1:20" s="26" customFormat="1" ht="16.5" customHeight="1" x14ac:dyDescent="0.25">
      <c r="A283" s="142" t="s">
        <v>1388</v>
      </c>
      <c r="B283" s="143" t="s">
        <v>743</v>
      </c>
      <c r="C283" s="143">
        <v>30</v>
      </c>
      <c r="D283" s="144" t="s">
        <v>5</v>
      </c>
      <c r="E283" s="144" t="s">
        <v>1389</v>
      </c>
      <c r="F283" s="144" t="s">
        <v>1741</v>
      </c>
      <c r="G283" s="144" t="s">
        <v>27</v>
      </c>
      <c r="H283" s="146">
        <v>0.8125</v>
      </c>
      <c r="I283" s="144" t="s">
        <v>10</v>
      </c>
      <c r="J283" s="147">
        <v>46031</v>
      </c>
      <c r="K283" s="147">
        <v>46045</v>
      </c>
      <c r="L283" s="143">
        <f>IF(ISBLANK(DATA[[#This Row],[DISCHARGE DATE]]), "NO DATE", DATA[[#This Row],[DISCHARGE DATE]]-DATA[[#This Row],[ADMISSION DATE]]+1)</f>
        <v>15</v>
      </c>
      <c r="M283" s="148">
        <v>350</v>
      </c>
      <c r="N283" s="148">
        <v>195</v>
      </c>
      <c r="O283" s="149">
        <v>287</v>
      </c>
      <c r="P283" s="149">
        <v>126</v>
      </c>
      <c r="Q283" s="150">
        <f>IF(DATA[[#This Row],[TYPE]]="Normal", 13 * DATA[[#This Row],[STORAGE DAYS]], 20 * DATA[[#This Row],[STORAGE DAYS]])</f>
        <v>195</v>
      </c>
      <c r="R283" s="150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389</v>
      </c>
    </row>
    <row r="284" spans="1:20" s="26" customFormat="1" ht="16.5" customHeight="1" x14ac:dyDescent="0.25">
      <c r="A284" s="142" t="s">
        <v>1390</v>
      </c>
      <c r="B284" s="143" t="s">
        <v>1438</v>
      </c>
      <c r="C284" s="143">
        <v>106</v>
      </c>
      <c r="D284" s="144" t="s">
        <v>5</v>
      </c>
      <c r="E284" s="144" t="s">
        <v>1391</v>
      </c>
      <c r="F284" s="144" t="s">
        <v>1742</v>
      </c>
      <c r="G284" s="144" t="s">
        <v>24</v>
      </c>
      <c r="H284" s="146">
        <v>0.41666666666666669</v>
      </c>
      <c r="I284" s="144" t="s">
        <v>10</v>
      </c>
      <c r="J284" s="147">
        <v>46032</v>
      </c>
      <c r="K284" s="147">
        <v>46129</v>
      </c>
      <c r="L284" s="143">
        <f>IF(ISBLANK(DATA[[#This Row],[DISCHARGE DATE]]), "NO DATE", DATA[[#This Row],[DISCHARGE DATE]]-DATA[[#This Row],[ADMISSION DATE]]+1)</f>
        <v>98</v>
      </c>
      <c r="M284" s="148">
        <v>350</v>
      </c>
      <c r="N284" s="148">
        <v>1274</v>
      </c>
      <c r="O284" s="149">
        <v>288</v>
      </c>
      <c r="P284" s="149" t="s">
        <v>1831</v>
      </c>
      <c r="Q284" s="150">
        <f>IF(DATA[[#This Row],[TYPE]]="Normal", 13 * DATA[[#This Row],[STORAGE DAYS]], 20 * DATA[[#This Row],[STORAGE DAYS]])</f>
        <v>1274</v>
      </c>
      <c r="R284" s="150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389</v>
      </c>
    </row>
    <row r="285" spans="1:20" s="26" customFormat="1" ht="16.5" customHeight="1" x14ac:dyDescent="0.25">
      <c r="A285" s="142" t="s">
        <v>1392</v>
      </c>
      <c r="B285" s="143" t="s">
        <v>1395</v>
      </c>
      <c r="C285" s="143">
        <v>70</v>
      </c>
      <c r="D285" s="144" t="s">
        <v>4</v>
      </c>
      <c r="E285" s="144" t="s">
        <v>1393</v>
      </c>
      <c r="F285" s="144" t="s">
        <v>1394</v>
      </c>
      <c r="G285" s="144" t="s">
        <v>1142</v>
      </c>
      <c r="H285" s="146">
        <v>0.63055555555555554</v>
      </c>
      <c r="I285" s="144" t="s">
        <v>10</v>
      </c>
      <c r="J285" s="147">
        <v>46035</v>
      </c>
      <c r="K285" s="147">
        <v>46122</v>
      </c>
      <c r="L285" s="143">
        <f>IF(ISBLANK(DATA[[#This Row],[DISCHARGE DATE]]), "NO DATE", DATA[[#This Row],[DISCHARGE DATE]]-DATA[[#This Row],[ADMISSION DATE]]+1)</f>
        <v>88</v>
      </c>
      <c r="M285" s="148">
        <v>350</v>
      </c>
      <c r="N285" s="148">
        <v>1144</v>
      </c>
      <c r="O285" s="149">
        <v>289</v>
      </c>
      <c r="P285" s="149" t="s">
        <v>1305</v>
      </c>
      <c r="Q285" s="150">
        <f>IF(DATA[[#This Row],[TYPE]]="Normal", 13 * DATA[[#This Row],[STORAGE DAYS]], 20 * DATA[[#This Row],[STORAGE DAYS]])</f>
        <v>1144</v>
      </c>
      <c r="R285" s="150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389</v>
      </c>
    </row>
    <row r="286" spans="1:20" s="26" customFormat="1" ht="16.5" customHeight="1" x14ac:dyDescent="0.25">
      <c r="A286" s="142" t="s">
        <v>1396</v>
      </c>
      <c r="B286" s="143" t="s">
        <v>1397</v>
      </c>
      <c r="C286" s="143">
        <v>53</v>
      </c>
      <c r="D286" s="144" t="s">
        <v>5</v>
      </c>
      <c r="E286" s="144" t="s">
        <v>1398</v>
      </c>
      <c r="F286" s="144" t="s">
        <v>1743</v>
      </c>
      <c r="G286" s="144" t="s">
        <v>27</v>
      </c>
      <c r="H286" s="146">
        <v>0.9375</v>
      </c>
      <c r="I286" s="144" t="s">
        <v>12</v>
      </c>
      <c r="J286" s="147">
        <v>46035</v>
      </c>
      <c r="K286" s="147">
        <v>46059</v>
      </c>
      <c r="L286" s="143">
        <f>IF(ISBLANK(DATA[[#This Row],[DISCHARGE DATE]]), "NO DATE", DATA[[#This Row],[DISCHARGE DATE]]-DATA[[#This Row],[ADMISSION DATE]]+1)</f>
        <v>25</v>
      </c>
      <c r="M286" s="148">
        <v>350</v>
      </c>
      <c r="N286" s="148">
        <v>500</v>
      </c>
      <c r="O286" s="149">
        <v>290</v>
      </c>
      <c r="P286" s="149">
        <v>130</v>
      </c>
      <c r="Q286" s="150">
        <f>IF(DATA[[#This Row],[TYPE]]="Normal", 13 * DATA[[#This Row],[STORAGE DAYS]], 20 * DATA[[#This Row],[STORAGE DAYS]])</f>
        <v>500</v>
      </c>
      <c r="R286" s="150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389</v>
      </c>
    </row>
    <row r="287" spans="1:20" s="26" customFormat="1" ht="16.5" customHeight="1" x14ac:dyDescent="0.25">
      <c r="A287" s="142" t="s">
        <v>1399</v>
      </c>
      <c r="B287" s="143" t="s">
        <v>1400</v>
      </c>
      <c r="C287" s="143">
        <v>46</v>
      </c>
      <c r="D287" s="144" t="s">
        <v>5</v>
      </c>
      <c r="E287" s="144" t="s">
        <v>1401</v>
      </c>
      <c r="F287" s="144" t="s">
        <v>1744</v>
      </c>
      <c r="G287" s="144" t="s">
        <v>27</v>
      </c>
      <c r="H287" s="146">
        <v>0.68402777777777779</v>
      </c>
      <c r="I287" s="144" t="s">
        <v>10</v>
      </c>
      <c r="J287" s="147">
        <v>46036</v>
      </c>
      <c r="K287" s="147">
        <v>46143</v>
      </c>
      <c r="L287" s="143">
        <f>IF(ISBLANK(DATA[[#This Row],[DISCHARGE DATE]]), "NO DATE", DATA[[#This Row],[DISCHARGE DATE]]-DATA[[#This Row],[ADMISSION DATE]]+1)</f>
        <v>108</v>
      </c>
      <c r="M287" s="148">
        <v>350</v>
      </c>
      <c r="N287" s="148">
        <v>1404</v>
      </c>
      <c r="O287" s="149">
        <v>291</v>
      </c>
      <c r="P287" s="149">
        <v>284</v>
      </c>
      <c r="Q287" s="150">
        <f>IF(DATA[[#This Row],[TYPE]]="Normal", 13 * DATA[[#This Row],[STORAGE DAYS]], 20 * DATA[[#This Row],[STORAGE DAYS]])</f>
        <v>1404</v>
      </c>
      <c r="R287" s="150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389</v>
      </c>
    </row>
    <row r="288" spans="1:20" s="26" customFormat="1" ht="16.5" customHeight="1" x14ac:dyDescent="0.25">
      <c r="A288" s="142" t="s">
        <v>1402</v>
      </c>
      <c r="B288" s="143" t="s">
        <v>1403</v>
      </c>
      <c r="C288" s="143">
        <v>69</v>
      </c>
      <c r="D288" s="144" t="s">
        <v>4</v>
      </c>
      <c r="E288" s="144" t="s">
        <v>1404</v>
      </c>
      <c r="F288" s="144" t="s">
        <v>1745</v>
      </c>
      <c r="G288" s="144" t="s">
        <v>27</v>
      </c>
      <c r="H288" s="146">
        <v>0.6</v>
      </c>
      <c r="I288" s="144" t="s">
        <v>12</v>
      </c>
      <c r="J288" s="147">
        <v>46036</v>
      </c>
      <c r="K288" s="147">
        <v>46171</v>
      </c>
      <c r="L288" s="143">
        <f>IF(ISBLANK(DATA[[#This Row],[DISCHARGE DATE]]), "NO DATE", DATA[[#This Row],[DISCHARGE DATE]]-DATA[[#This Row],[ADMISSION DATE]]+1)</f>
        <v>136</v>
      </c>
      <c r="M288" s="148">
        <v>350</v>
      </c>
      <c r="N288" s="148">
        <v>2720</v>
      </c>
      <c r="O288" s="149">
        <v>292</v>
      </c>
      <c r="P288" s="149">
        <v>302</v>
      </c>
      <c r="Q288" s="150">
        <f>IF(DATA[[#This Row],[TYPE]]="Normal", 13 * DATA[[#This Row],[STORAGE DAYS]], 20 * DATA[[#This Row],[STORAGE DAYS]])</f>
        <v>2720</v>
      </c>
      <c r="R288" s="150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389</v>
      </c>
    </row>
    <row r="289" spans="1:20" s="26" customFormat="1" ht="16.5" customHeight="1" x14ac:dyDescent="0.25">
      <c r="A289" s="142" t="s">
        <v>1406</v>
      </c>
      <c r="B289" s="143" t="s">
        <v>1407</v>
      </c>
      <c r="C289" s="143">
        <v>63</v>
      </c>
      <c r="D289" s="144" t="s">
        <v>5</v>
      </c>
      <c r="E289" s="144" t="s">
        <v>1408</v>
      </c>
      <c r="F289" s="144" t="s">
        <v>1746</v>
      </c>
      <c r="G289" s="144" t="s">
        <v>27</v>
      </c>
      <c r="H289" s="146">
        <v>0.52083333333333337</v>
      </c>
      <c r="I289" s="144" t="s">
        <v>12</v>
      </c>
      <c r="J289" s="147">
        <v>46040</v>
      </c>
      <c r="K289" s="147">
        <v>46171</v>
      </c>
      <c r="L289" s="143">
        <f>IF(ISBLANK(DATA[[#This Row],[DISCHARGE DATE]]), "NO DATE", DATA[[#This Row],[DISCHARGE DATE]]-DATA[[#This Row],[ADMISSION DATE]]+1)</f>
        <v>132</v>
      </c>
      <c r="M289" s="148">
        <v>350</v>
      </c>
      <c r="N289" s="148">
        <v>2640</v>
      </c>
      <c r="O289" s="149">
        <v>293</v>
      </c>
      <c r="P289" s="149">
        <v>307</v>
      </c>
      <c r="Q289" s="150">
        <f>IF(DATA[[#This Row],[TYPE]]="Normal", 13 * DATA[[#This Row],[STORAGE DAYS]], 20 * DATA[[#This Row],[STORAGE DAYS]])</f>
        <v>2640</v>
      </c>
      <c r="R289" s="150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389</v>
      </c>
    </row>
    <row r="290" spans="1:20" s="26" customFormat="1" ht="16.5" customHeight="1" x14ac:dyDescent="0.25">
      <c r="A290" s="142" t="s">
        <v>1409</v>
      </c>
      <c r="B290" s="143" t="s">
        <v>1442</v>
      </c>
      <c r="C290" s="143">
        <v>70</v>
      </c>
      <c r="D290" s="144" t="s">
        <v>4</v>
      </c>
      <c r="E290" s="144" t="s">
        <v>1425</v>
      </c>
      <c r="F290" s="144" t="s">
        <v>1747</v>
      </c>
      <c r="G290" s="144" t="s">
        <v>27</v>
      </c>
      <c r="H290" s="146">
        <v>0.56527777777777777</v>
      </c>
      <c r="I290" s="144" t="s">
        <v>10</v>
      </c>
      <c r="J290" s="147">
        <v>46041</v>
      </c>
      <c r="K290" s="147">
        <v>46171</v>
      </c>
      <c r="L290" s="143">
        <f>IF(ISBLANK(DATA[[#This Row],[DISCHARGE DATE]]), "NO DATE", DATA[[#This Row],[DISCHARGE DATE]]-DATA[[#This Row],[ADMISSION DATE]]+1)</f>
        <v>131</v>
      </c>
      <c r="M290" s="148">
        <v>350</v>
      </c>
      <c r="N290" s="148">
        <v>1703</v>
      </c>
      <c r="O290" s="149">
        <v>294</v>
      </c>
      <c r="P290" s="149">
        <v>314</v>
      </c>
      <c r="Q290" s="150">
        <f>IF(DATA[[#This Row],[TYPE]]="Normal", 13 * DATA[[#This Row],[STORAGE DAYS]], 20 * DATA[[#This Row],[STORAGE DAYS]])</f>
        <v>1703</v>
      </c>
      <c r="R290" s="150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389</v>
      </c>
    </row>
    <row r="291" spans="1:20" s="26" customFormat="1" ht="16.5" customHeight="1" x14ac:dyDescent="0.25">
      <c r="A291" s="142" t="s">
        <v>1410</v>
      </c>
      <c r="B291" s="143" t="s">
        <v>1411</v>
      </c>
      <c r="C291" s="143">
        <v>75</v>
      </c>
      <c r="D291" s="144" t="s">
        <v>5</v>
      </c>
      <c r="E291" s="144" t="s">
        <v>1412</v>
      </c>
      <c r="F291" s="144" t="s">
        <v>1748</v>
      </c>
      <c r="G291" s="144" t="s">
        <v>20</v>
      </c>
      <c r="H291" s="146">
        <v>0.76666666666666672</v>
      </c>
      <c r="I291" s="144" t="s">
        <v>12</v>
      </c>
      <c r="J291" s="147">
        <v>46043</v>
      </c>
      <c r="K291" s="147">
        <v>46171</v>
      </c>
      <c r="L291" s="143">
        <f>IF(ISBLANK(DATA[[#This Row],[DISCHARGE DATE]]), "NO DATE", DATA[[#This Row],[DISCHARGE DATE]]-DATA[[#This Row],[ADMISSION DATE]]+1)</f>
        <v>129</v>
      </c>
      <c r="M291" s="148">
        <v>350</v>
      </c>
      <c r="N291" s="148">
        <v>2580</v>
      </c>
      <c r="O291" s="149">
        <v>295</v>
      </c>
      <c r="P291" s="149">
        <v>318</v>
      </c>
      <c r="Q291" s="150">
        <f>IF(DATA[[#This Row],[TYPE]]="Normal", 13 * DATA[[#This Row],[STORAGE DAYS]], 20 * DATA[[#This Row],[STORAGE DAYS]])</f>
        <v>2580</v>
      </c>
      <c r="R291" s="150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389</v>
      </c>
    </row>
    <row r="292" spans="1:20" s="26" customFormat="1" ht="16.5" customHeight="1" x14ac:dyDescent="0.25">
      <c r="A292" s="142" t="s">
        <v>1413</v>
      </c>
      <c r="B292" s="143" t="s">
        <v>1414</v>
      </c>
      <c r="C292" s="143">
        <v>45</v>
      </c>
      <c r="D292" s="144" t="s">
        <v>5</v>
      </c>
      <c r="E292" s="144" t="s">
        <v>1415</v>
      </c>
      <c r="F292" s="144" t="s">
        <v>1749</v>
      </c>
      <c r="G292" s="144" t="s">
        <v>27</v>
      </c>
      <c r="H292" s="146">
        <v>0.77083333333333337</v>
      </c>
      <c r="I292" s="144" t="s">
        <v>12</v>
      </c>
      <c r="J292" s="147">
        <v>46047</v>
      </c>
      <c r="K292" s="147">
        <v>46108</v>
      </c>
      <c r="L292" s="143">
        <f>IF(ISBLANK(DATA[[#This Row],[DISCHARGE DATE]]), "NO DATE", DATA[[#This Row],[DISCHARGE DATE]]-DATA[[#This Row],[ADMISSION DATE]]+1)</f>
        <v>62</v>
      </c>
      <c r="M292" s="148">
        <v>350</v>
      </c>
      <c r="N292" s="148">
        <v>1240</v>
      </c>
      <c r="O292" s="149">
        <v>296</v>
      </c>
      <c r="P292" s="149">
        <v>263</v>
      </c>
      <c r="Q292" s="150">
        <f>IF(DATA[[#This Row],[TYPE]]="Normal", 13 * DATA[[#This Row],[STORAGE DAYS]], 20 * DATA[[#This Row],[STORAGE DAYS]])</f>
        <v>1240</v>
      </c>
      <c r="R292" s="150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389</v>
      </c>
    </row>
    <row r="293" spans="1:20" s="26" customFormat="1" ht="16.5" customHeight="1" x14ac:dyDescent="0.25">
      <c r="A293" s="142" t="s">
        <v>1416</v>
      </c>
      <c r="B293" s="143" t="s">
        <v>1417</v>
      </c>
      <c r="C293" s="143">
        <v>41</v>
      </c>
      <c r="D293" s="144" t="s">
        <v>5</v>
      </c>
      <c r="E293" s="144" t="s">
        <v>1418</v>
      </c>
      <c r="F293" s="144" t="s">
        <v>1750</v>
      </c>
      <c r="G293" s="144" t="s">
        <v>26</v>
      </c>
      <c r="H293" s="146">
        <v>0.79166666666666663</v>
      </c>
      <c r="I293" s="144" t="s">
        <v>10</v>
      </c>
      <c r="J293" s="147">
        <v>46046</v>
      </c>
      <c r="K293" s="147">
        <v>46171</v>
      </c>
      <c r="L293" s="143">
        <f>IF(ISBLANK(DATA[[#This Row],[DISCHARGE DATE]]), "NO DATE", DATA[[#This Row],[DISCHARGE DATE]]-DATA[[#This Row],[ADMISSION DATE]]+1)</f>
        <v>126</v>
      </c>
      <c r="M293" s="148">
        <v>350</v>
      </c>
      <c r="N293" s="148">
        <v>1638</v>
      </c>
      <c r="O293" s="149">
        <v>297</v>
      </c>
      <c r="P293" s="149">
        <v>308</v>
      </c>
      <c r="Q293" s="150">
        <f>IF(DATA[[#This Row],[TYPE]]="Normal", 13 * DATA[[#This Row],[STORAGE DAYS]], 20 * DATA[[#This Row],[STORAGE DAYS]])</f>
        <v>1638</v>
      </c>
      <c r="R293" s="150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389</v>
      </c>
    </row>
    <row r="294" spans="1:20" s="26" customFormat="1" ht="16.5" customHeight="1" x14ac:dyDescent="0.25">
      <c r="A294" s="142" t="s">
        <v>1419</v>
      </c>
      <c r="B294" s="143" t="s">
        <v>1420</v>
      </c>
      <c r="C294" s="143">
        <v>56</v>
      </c>
      <c r="D294" s="144" t="s">
        <v>4</v>
      </c>
      <c r="E294" s="144" t="s">
        <v>1421</v>
      </c>
      <c r="F294" s="144" t="s">
        <v>1751</v>
      </c>
      <c r="G294" s="144" t="s">
        <v>26</v>
      </c>
      <c r="H294" s="146">
        <v>0.3125</v>
      </c>
      <c r="I294" s="144" t="s">
        <v>10</v>
      </c>
      <c r="J294" s="147">
        <v>46049</v>
      </c>
      <c r="K294" s="147">
        <v>46171</v>
      </c>
      <c r="L294" s="143">
        <f>IF(ISBLANK(DATA[[#This Row],[DISCHARGE DATE]]), "NO DATE", DATA[[#This Row],[DISCHARGE DATE]]-DATA[[#This Row],[ADMISSION DATE]]+1)</f>
        <v>123</v>
      </c>
      <c r="M294" s="148">
        <v>350</v>
      </c>
      <c r="N294" s="148">
        <v>1599</v>
      </c>
      <c r="O294" s="149">
        <v>298</v>
      </c>
      <c r="P294" s="149">
        <v>315</v>
      </c>
      <c r="Q294" s="150">
        <f>IF(DATA[[#This Row],[TYPE]]="Normal", 13 * DATA[[#This Row],[STORAGE DAYS]], 20 * DATA[[#This Row],[STORAGE DAYS]])</f>
        <v>1599</v>
      </c>
      <c r="R294" s="150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389</v>
      </c>
    </row>
    <row r="295" spans="1:20" s="26" customFormat="1" ht="16.5" customHeight="1" x14ac:dyDescent="0.25">
      <c r="A295" s="142" t="s">
        <v>1422</v>
      </c>
      <c r="B295" s="143" t="s">
        <v>1423</v>
      </c>
      <c r="C295" s="143">
        <v>69</v>
      </c>
      <c r="D295" s="144" t="s">
        <v>5</v>
      </c>
      <c r="E295" s="144" t="s">
        <v>1424</v>
      </c>
      <c r="F295" s="144" t="s">
        <v>1638</v>
      </c>
      <c r="G295" s="144" t="s">
        <v>25</v>
      </c>
      <c r="H295" s="146">
        <v>0.90625</v>
      </c>
      <c r="I295" s="144" t="s">
        <v>10</v>
      </c>
      <c r="J295" s="147">
        <v>46048</v>
      </c>
      <c r="K295" s="147">
        <v>46171</v>
      </c>
      <c r="L295" s="143">
        <f>IF(ISBLANK(DATA[[#This Row],[DISCHARGE DATE]]), "NO DATE", DATA[[#This Row],[DISCHARGE DATE]]-DATA[[#This Row],[ADMISSION DATE]]+1)</f>
        <v>124</v>
      </c>
      <c r="M295" s="148">
        <v>350</v>
      </c>
      <c r="N295" s="148">
        <v>1612</v>
      </c>
      <c r="O295" s="149">
        <v>299</v>
      </c>
      <c r="P295" s="149">
        <v>310</v>
      </c>
      <c r="Q295" s="150">
        <f>IF(DATA[[#This Row],[TYPE]]="Normal", 13 * DATA[[#This Row],[STORAGE DAYS]], 20 * DATA[[#This Row],[STORAGE DAYS]])</f>
        <v>1612</v>
      </c>
      <c r="R295" s="150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389</v>
      </c>
    </row>
    <row r="296" spans="1:20" s="26" customFormat="1" ht="16.5" customHeight="1" x14ac:dyDescent="0.25">
      <c r="A296" s="142" t="s">
        <v>1429</v>
      </c>
      <c r="B296" s="143" t="s">
        <v>1430</v>
      </c>
      <c r="C296" s="143">
        <v>98</v>
      </c>
      <c r="D296" s="144" t="s">
        <v>4</v>
      </c>
      <c r="E296" s="144" t="s">
        <v>1431</v>
      </c>
      <c r="F296" s="144" t="s">
        <v>1752</v>
      </c>
      <c r="G296" s="144" t="s">
        <v>19</v>
      </c>
      <c r="H296" s="146">
        <v>0.39166666666666666</v>
      </c>
      <c r="I296" s="144" t="s">
        <v>10</v>
      </c>
      <c r="J296" s="147">
        <v>46051</v>
      </c>
      <c r="K296" s="147">
        <v>46108</v>
      </c>
      <c r="L296" s="143">
        <f>IF(ISBLANK(DATA[[#This Row],[DISCHARGE DATE]]), "NO DATE", DATA[[#This Row],[DISCHARGE DATE]]-DATA[[#This Row],[ADMISSION DATE]]+1)</f>
        <v>58</v>
      </c>
      <c r="M296" s="148">
        <v>350</v>
      </c>
      <c r="N296" s="148">
        <v>754</v>
      </c>
      <c r="O296" s="149">
        <v>300</v>
      </c>
      <c r="P296" s="149">
        <v>255</v>
      </c>
      <c r="Q296" s="150">
        <f>IF(DATA[[#This Row],[TYPE]]="Normal", 13 * DATA[[#This Row],[STORAGE DAYS]], 20 * DATA[[#This Row],[STORAGE DAYS]])</f>
        <v>754</v>
      </c>
      <c r="R296" s="150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389</v>
      </c>
    </row>
    <row r="297" spans="1:20" s="26" customFormat="1" ht="16.5" customHeight="1" x14ac:dyDescent="0.25">
      <c r="A297" s="142" t="s">
        <v>1432</v>
      </c>
      <c r="B297" s="143" t="s">
        <v>1433</v>
      </c>
      <c r="C297" s="143">
        <v>100</v>
      </c>
      <c r="D297" s="144" t="s">
        <v>4</v>
      </c>
      <c r="E297" s="144" t="s">
        <v>1434</v>
      </c>
      <c r="F297" s="144" t="s">
        <v>1753</v>
      </c>
      <c r="G297" s="144" t="s">
        <v>20</v>
      </c>
      <c r="H297" s="146">
        <v>0.18055555555555555</v>
      </c>
      <c r="I297" s="144" t="s">
        <v>10</v>
      </c>
      <c r="J297" s="147">
        <v>46055</v>
      </c>
      <c r="K297" s="147">
        <v>46164</v>
      </c>
      <c r="L297" s="143">
        <f>IF(ISBLANK(DATA[[#This Row],[DISCHARGE DATE]]), "NO DATE", DATA[[#This Row],[DISCHARGE DATE]]-DATA[[#This Row],[ADMISSION DATE]]+1)</f>
        <v>110</v>
      </c>
      <c r="M297" s="148">
        <v>350</v>
      </c>
      <c r="N297" s="148">
        <v>1430</v>
      </c>
      <c r="O297" s="149">
        <v>301</v>
      </c>
      <c r="P297" s="149">
        <v>305</v>
      </c>
      <c r="Q297" s="150">
        <f>IF(DATA[[#This Row],[TYPE]]="Normal", 13 * DATA[[#This Row],[STORAGE DAYS]], 20 * DATA[[#This Row],[STORAGE DAYS]])</f>
        <v>1430</v>
      </c>
      <c r="R297" s="150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389</v>
      </c>
    </row>
    <row r="298" spans="1:20" s="26" customFormat="1" ht="16.5" customHeight="1" x14ac:dyDescent="0.25">
      <c r="A298" s="142" t="s">
        <v>1435</v>
      </c>
      <c r="B298" s="143" t="s">
        <v>1436</v>
      </c>
      <c r="C298" s="143">
        <v>70</v>
      </c>
      <c r="D298" s="144" t="s">
        <v>5</v>
      </c>
      <c r="E298" s="144" t="s">
        <v>1437</v>
      </c>
      <c r="F298" s="144" t="s">
        <v>1754</v>
      </c>
      <c r="G298" s="144" t="s">
        <v>18</v>
      </c>
      <c r="H298" s="146">
        <v>0.625</v>
      </c>
      <c r="I298" s="144" t="s">
        <v>10</v>
      </c>
      <c r="J298" s="147">
        <v>46055</v>
      </c>
      <c r="K298" s="147">
        <v>46171</v>
      </c>
      <c r="L298" s="143">
        <f>IF(ISBLANK(DATA[[#This Row],[DISCHARGE DATE]]), "NO DATE", DATA[[#This Row],[DISCHARGE DATE]]-DATA[[#This Row],[ADMISSION DATE]]+1)</f>
        <v>117</v>
      </c>
      <c r="M298" s="148">
        <v>350</v>
      </c>
      <c r="N298" s="148">
        <v>1521</v>
      </c>
      <c r="O298" s="149">
        <v>302</v>
      </c>
      <c r="P298" s="149">
        <v>312</v>
      </c>
      <c r="Q298" s="150">
        <f>IF(DATA[[#This Row],[TYPE]]="Normal", 13 * DATA[[#This Row],[STORAGE DAYS]], 20 * DATA[[#This Row],[STORAGE DAYS]])</f>
        <v>1521</v>
      </c>
      <c r="R298" s="150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389</v>
      </c>
    </row>
    <row r="299" spans="1:20" s="26" customFormat="1" ht="16.5" customHeight="1" x14ac:dyDescent="0.25">
      <c r="A299" s="142" t="s">
        <v>1439</v>
      </c>
      <c r="B299" s="143" t="s">
        <v>1440</v>
      </c>
      <c r="C299" s="143">
        <v>73</v>
      </c>
      <c r="D299" s="144" t="s">
        <v>5</v>
      </c>
      <c r="E299" s="144" t="s">
        <v>1437</v>
      </c>
      <c r="F299" s="144" t="s">
        <v>1441</v>
      </c>
      <c r="G299" s="144" t="s">
        <v>26</v>
      </c>
      <c r="H299" s="146">
        <v>0.35555555555555557</v>
      </c>
      <c r="I299" s="144" t="s">
        <v>12</v>
      </c>
      <c r="J299" s="147">
        <v>46068</v>
      </c>
      <c r="K299" s="147">
        <v>46171</v>
      </c>
      <c r="L299" s="143">
        <f>IF(ISBLANK(DATA[[#This Row],[DISCHARGE DATE]]), "NO DATE", DATA[[#This Row],[DISCHARGE DATE]]-DATA[[#This Row],[ADMISSION DATE]]+1)</f>
        <v>104</v>
      </c>
      <c r="M299" s="148">
        <v>350</v>
      </c>
      <c r="N299" s="148">
        <v>2080</v>
      </c>
      <c r="O299" s="149">
        <v>303</v>
      </c>
      <c r="P299" s="149">
        <v>303</v>
      </c>
      <c r="Q299" s="150">
        <f>IF(DATA[[#This Row],[TYPE]]="Normal", 13 * DATA[[#This Row],[STORAGE DAYS]], 20 * DATA[[#This Row],[STORAGE DAYS]])</f>
        <v>2080</v>
      </c>
      <c r="R299" s="150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389</v>
      </c>
    </row>
    <row r="300" spans="1:20" s="26" customFormat="1" ht="16.5" customHeight="1" x14ac:dyDescent="0.25">
      <c r="A300" s="142" t="s">
        <v>1448</v>
      </c>
      <c r="B300" s="143" t="s">
        <v>1498</v>
      </c>
      <c r="C300" s="143">
        <v>62</v>
      </c>
      <c r="D300" s="144" t="s">
        <v>5</v>
      </c>
      <c r="E300" s="144" t="s">
        <v>1449</v>
      </c>
      <c r="F300" s="144" t="s">
        <v>1755</v>
      </c>
      <c r="G300" s="144" t="s">
        <v>27</v>
      </c>
      <c r="H300" s="146">
        <v>0.3923611111111111</v>
      </c>
      <c r="I300" s="144" t="s">
        <v>10</v>
      </c>
      <c r="J300" s="147">
        <v>46076</v>
      </c>
      <c r="K300" s="147">
        <v>46143</v>
      </c>
      <c r="L300" s="143">
        <f>IF(ISBLANK(DATA[[#This Row],[DISCHARGE DATE]]), "NO DATE", DATA[[#This Row],[DISCHARGE DATE]]-DATA[[#This Row],[ADMISSION DATE]]+1)</f>
        <v>68</v>
      </c>
      <c r="M300" s="148">
        <v>350</v>
      </c>
      <c r="N300" s="148">
        <v>884</v>
      </c>
      <c r="O300" s="149">
        <v>304</v>
      </c>
      <c r="P300" s="149">
        <v>295</v>
      </c>
      <c r="Q300" s="150">
        <f>IF(DATA[[#This Row],[TYPE]]="Normal", 13 * DATA[[#This Row],[STORAGE DAYS]], 20 * DATA[[#This Row],[STORAGE DAYS]])</f>
        <v>884</v>
      </c>
      <c r="R300" s="150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389</v>
      </c>
    </row>
    <row r="301" spans="1:20" s="26" customFormat="1" ht="16.5" customHeight="1" x14ac:dyDescent="0.25">
      <c r="A301" s="142" t="s">
        <v>1450</v>
      </c>
      <c r="B301" s="143" t="s">
        <v>1451</v>
      </c>
      <c r="C301" s="143">
        <v>104</v>
      </c>
      <c r="D301" s="144" t="s">
        <v>4</v>
      </c>
      <c r="E301" s="144" t="s">
        <v>1452</v>
      </c>
      <c r="F301" s="144" t="s">
        <v>1683</v>
      </c>
      <c r="G301" s="144" t="s">
        <v>27</v>
      </c>
      <c r="H301" s="146">
        <v>0.37708333333333333</v>
      </c>
      <c r="I301" s="144" t="s">
        <v>12</v>
      </c>
      <c r="J301" s="147">
        <v>46074</v>
      </c>
      <c r="K301" s="147">
        <v>46269</v>
      </c>
      <c r="L301" s="143">
        <f>IF(ISBLANK(DATA[[#This Row],[DISCHARGE DATE]]), "NO DATE", DATA[[#This Row],[DISCHARGE DATE]]-DATA[[#This Row],[ADMISSION DATE]]+1)</f>
        <v>196</v>
      </c>
      <c r="M301" s="148">
        <v>350</v>
      </c>
      <c r="N301" s="148"/>
      <c r="O301" s="149">
        <v>305</v>
      </c>
      <c r="P301" s="149"/>
      <c r="Q301" s="150">
        <f>IF(DATA[[#This Row],[TYPE]]="Normal", 13 * DATA[[#This Row],[STORAGE DAYS]], 20 * DATA[[#This Row],[STORAGE DAYS]])</f>
        <v>3920</v>
      </c>
      <c r="R301" s="150">
        <f>DATA[[#This Row],[COLDROOM FEE]]-DATA[[#This Row],[STORAGE FEE]]</f>
        <v>-3920</v>
      </c>
      <c r="S301" s="98" t="str">
        <f>IF(ISBLANK(DATA[[#This Row],[COLDROOM RECEIPT]]),"IN CUSTODY","DISCHARGED")</f>
        <v>IN CUSTODY</v>
      </c>
      <c r="T301" s="25">
        <f>COUNTA(A:A)-2</f>
        <v>389</v>
      </c>
    </row>
    <row r="302" spans="1:20" s="26" customFormat="1" ht="16.5" customHeight="1" x14ac:dyDescent="0.25">
      <c r="A302" s="142" t="s">
        <v>1456</v>
      </c>
      <c r="B302" s="143" t="s">
        <v>1457</v>
      </c>
      <c r="C302" s="143">
        <v>65</v>
      </c>
      <c r="D302" s="144" t="s">
        <v>4</v>
      </c>
      <c r="E302" s="144" t="s">
        <v>1458</v>
      </c>
      <c r="F302" s="144" t="s">
        <v>1756</v>
      </c>
      <c r="G302" s="144" t="s">
        <v>26</v>
      </c>
      <c r="H302" s="146">
        <v>0.39583333333333331</v>
      </c>
      <c r="I302" s="144" t="s">
        <v>10</v>
      </c>
      <c r="J302" s="147">
        <v>46074</v>
      </c>
      <c r="K302" s="147">
        <v>46206</v>
      </c>
      <c r="L302" s="143">
        <f>IF(ISBLANK(DATA[[#This Row],[DISCHARGE DATE]]), "NO DATE", DATA[[#This Row],[DISCHARGE DATE]]-DATA[[#This Row],[ADMISSION DATE]]+1)</f>
        <v>133</v>
      </c>
      <c r="M302" s="148">
        <v>350</v>
      </c>
      <c r="N302" s="148">
        <v>1729</v>
      </c>
      <c r="O302" s="149">
        <v>306</v>
      </c>
      <c r="P302" s="149">
        <v>322</v>
      </c>
      <c r="Q302" s="150">
        <f>IF(DATA[[#This Row],[TYPE]]="Normal", 13 * DATA[[#This Row],[STORAGE DAYS]], 20 * DATA[[#This Row],[STORAGE DAYS]])</f>
        <v>1729</v>
      </c>
      <c r="R302" s="150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389</v>
      </c>
    </row>
    <row r="303" spans="1:20" s="26" customFormat="1" ht="16.5" customHeight="1" x14ac:dyDescent="0.25">
      <c r="A303" s="142" t="s">
        <v>1453</v>
      </c>
      <c r="B303" s="143" t="s">
        <v>1454</v>
      </c>
      <c r="C303" s="143">
        <v>64</v>
      </c>
      <c r="D303" s="144" t="s">
        <v>4</v>
      </c>
      <c r="E303" s="144" t="s">
        <v>1455</v>
      </c>
      <c r="F303" s="144" t="s">
        <v>1757</v>
      </c>
      <c r="G303" s="144" t="s">
        <v>27</v>
      </c>
      <c r="H303" s="146">
        <v>0.38611111111111113</v>
      </c>
      <c r="I303" s="144" t="s">
        <v>12</v>
      </c>
      <c r="J303" s="147">
        <v>46074</v>
      </c>
      <c r="K303" s="147">
        <v>46108</v>
      </c>
      <c r="L303" s="143">
        <f>IF(ISBLANK(DATA[[#This Row],[DISCHARGE DATE]]), "NO DATE", DATA[[#This Row],[DISCHARGE DATE]]-DATA[[#This Row],[ADMISSION DATE]]+1)</f>
        <v>35</v>
      </c>
      <c r="M303" s="148">
        <v>350</v>
      </c>
      <c r="N303" s="148">
        <v>700</v>
      </c>
      <c r="O303" s="149">
        <v>307</v>
      </c>
      <c r="P303" s="149">
        <v>260</v>
      </c>
      <c r="Q303" s="150">
        <f>IF(DATA[[#This Row],[TYPE]]="Normal", 13 * DATA[[#This Row],[STORAGE DAYS]], 20 * DATA[[#This Row],[STORAGE DAYS]])</f>
        <v>700</v>
      </c>
      <c r="R303" s="150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389</v>
      </c>
    </row>
    <row r="304" spans="1:20" s="26" customFormat="1" ht="16.5" customHeight="1" x14ac:dyDescent="0.25">
      <c r="A304" s="142" t="s">
        <v>1459</v>
      </c>
      <c r="B304" s="143" t="s">
        <v>1460</v>
      </c>
      <c r="C304" s="143">
        <v>69</v>
      </c>
      <c r="D304" s="144" t="s">
        <v>4</v>
      </c>
      <c r="E304" s="144" t="s">
        <v>105</v>
      </c>
      <c r="F304" s="144" t="s">
        <v>1758</v>
      </c>
      <c r="G304" s="144" t="s">
        <v>27</v>
      </c>
      <c r="H304" s="146">
        <v>0.62569444444444444</v>
      </c>
      <c r="I304" s="144" t="s">
        <v>12</v>
      </c>
      <c r="J304" s="147">
        <v>46076</v>
      </c>
      <c r="K304" s="147">
        <v>46234</v>
      </c>
      <c r="L304" s="143">
        <f>IF(ISBLANK(DATA[[#This Row],[DISCHARGE DATE]]), "NO DATE", DATA[[#This Row],[DISCHARGE DATE]]-DATA[[#This Row],[ADMISSION DATE]]+1)</f>
        <v>159</v>
      </c>
      <c r="M304" s="148">
        <v>350</v>
      </c>
      <c r="N304" s="148">
        <v>3180</v>
      </c>
      <c r="O304" s="149">
        <v>308</v>
      </c>
      <c r="P304" s="149">
        <v>339</v>
      </c>
      <c r="Q304" s="150">
        <f>IF(DATA[[#This Row],[TYPE]]="Normal", 13 * DATA[[#This Row],[STORAGE DAYS]], 20 * DATA[[#This Row],[STORAGE DAYS]])</f>
        <v>3180</v>
      </c>
      <c r="R304" s="150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389</v>
      </c>
    </row>
    <row r="305" spans="1:20" s="26" customFormat="1" ht="16.5" customHeight="1" x14ac:dyDescent="0.25">
      <c r="A305" s="142" t="s">
        <v>1461</v>
      </c>
      <c r="B305" s="143" t="s">
        <v>1462</v>
      </c>
      <c r="C305" s="143">
        <v>65</v>
      </c>
      <c r="D305" s="144" t="s">
        <v>4</v>
      </c>
      <c r="E305" s="144" t="s">
        <v>1463</v>
      </c>
      <c r="F305" s="144" t="s">
        <v>1759</v>
      </c>
      <c r="G305" s="144" t="s">
        <v>25</v>
      </c>
      <c r="H305" s="146">
        <v>0.79166666666666663</v>
      </c>
      <c r="I305" s="144" t="s">
        <v>10</v>
      </c>
      <c r="J305" s="147">
        <v>46076</v>
      </c>
      <c r="K305" s="147">
        <v>46206</v>
      </c>
      <c r="L305" s="143">
        <f>IF(ISBLANK(DATA[[#This Row],[DISCHARGE DATE]]), "NO DATE", DATA[[#This Row],[DISCHARGE DATE]]-DATA[[#This Row],[ADMISSION DATE]]+1)</f>
        <v>131</v>
      </c>
      <c r="M305" s="148">
        <v>350</v>
      </c>
      <c r="N305" s="148">
        <v>1703</v>
      </c>
      <c r="O305" s="149">
        <v>309</v>
      </c>
      <c r="P305" s="149">
        <v>327</v>
      </c>
      <c r="Q305" s="150">
        <f>IF(DATA[[#This Row],[TYPE]]="Normal", 13 * DATA[[#This Row],[STORAGE DAYS]], 20 * DATA[[#This Row],[STORAGE DAYS]])</f>
        <v>1703</v>
      </c>
      <c r="R305" s="150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389</v>
      </c>
    </row>
    <row r="306" spans="1:20" s="26" customFormat="1" ht="16.5" customHeight="1" x14ac:dyDescent="0.25">
      <c r="A306" s="142" t="s">
        <v>1464</v>
      </c>
      <c r="B306" s="143" t="s">
        <v>1465</v>
      </c>
      <c r="C306" s="143">
        <v>62</v>
      </c>
      <c r="D306" s="144" t="s">
        <v>5</v>
      </c>
      <c r="E306" s="144" t="s">
        <v>1466</v>
      </c>
      <c r="F306" s="144" t="s">
        <v>1760</v>
      </c>
      <c r="G306" s="144" t="s">
        <v>27</v>
      </c>
      <c r="H306" s="146">
        <v>0.50694444444444442</v>
      </c>
      <c r="I306" s="144" t="s">
        <v>12</v>
      </c>
      <c r="J306" s="147">
        <v>46077</v>
      </c>
      <c r="K306" s="147">
        <v>46171</v>
      </c>
      <c r="L306" s="143">
        <f>IF(ISBLANK(DATA[[#This Row],[DISCHARGE DATE]]), "NO DATE", DATA[[#This Row],[DISCHARGE DATE]]-DATA[[#This Row],[ADMISSION DATE]]+1)</f>
        <v>95</v>
      </c>
      <c r="M306" s="148">
        <v>350</v>
      </c>
      <c r="N306" s="148">
        <v>1900</v>
      </c>
      <c r="O306" s="149">
        <v>310</v>
      </c>
      <c r="P306" s="149">
        <v>317</v>
      </c>
      <c r="Q306" s="150">
        <f>IF(DATA[[#This Row],[TYPE]]="Normal", 13 * DATA[[#This Row],[STORAGE DAYS]], 20 * DATA[[#This Row],[STORAGE DAYS]])</f>
        <v>1900</v>
      </c>
      <c r="R306" s="150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389</v>
      </c>
    </row>
    <row r="307" spans="1:20" s="26" customFormat="1" ht="16.5" customHeight="1" x14ac:dyDescent="0.25">
      <c r="A307" s="142" t="s">
        <v>1467</v>
      </c>
      <c r="B307" s="143" t="s">
        <v>1468</v>
      </c>
      <c r="C307" s="143">
        <v>70</v>
      </c>
      <c r="D307" s="144" t="s">
        <v>4</v>
      </c>
      <c r="E307" s="144" t="s">
        <v>1187</v>
      </c>
      <c r="F307" s="144" t="s">
        <v>1188</v>
      </c>
      <c r="G307" s="144" t="s">
        <v>1469</v>
      </c>
      <c r="H307" s="146">
        <v>0.77083333333333337</v>
      </c>
      <c r="I307" s="144" t="s">
        <v>12</v>
      </c>
      <c r="J307" s="147">
        <v>46077</v>
      </c>
      <c r="K307" s="147">
        <v>46269</v>
      </c>
      <c r="L307" s="143">
        <f>IF(ISBLANK(DATA[[#This Row],[DISCHARGE DATE]]), "NO DATE", DATA[[#This Row],[DISCHARGE DATE]]-DATA[[#This Row],[ADMISSION DATE]]+1)</f>
        <v>193</v>
      </c>
      <c r="M307" s="148">
        <v>350</v>
      </c>
      <c r="N307" s="148"/>
      <c r="O307" s="149">
        <v>311</v>
      </c>
      <c r="P307" s="149"/>
      <c r="Q307" s="150">
        <f>IF(DATA[[#This Row],[TYPE]]="Normal", 13 * DATA[[#This Row],[STORAGE DAYS]], 20 * DATA[[#This Row],[STORAGE DAYS]])</f>
        <v>3860</v>
      </c>
      <c r="R307" s="150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389</v>
      </c>
    </row>
    <row r="308" spans="1:20" s="26" customFormat="1" ht="16.5" customHeight="1" x14ac:dyDescent="0.25">
      <c r="A308" s="142" t="s">
        <v>1470</v>
      </c>
      <c r="B308" s="143" t="s">
        <v>1471</v>
      </c>
      <c r="C308" s="143">
        <v>81</v>
      </c>
      <c r="D308" s="144" t="s">
        <v>4</v>
      </c>
      <c r="E308" s="144" t="s">
        <v>1472</v>
      </c>
      <c r="F308" s="144" t="s">
        <v>1761</v>
      </c>
      <c r="G308" s="144" t="s">
        <v>18</v>
      </c>
      <c r="H308" s="146">
        <v>0.20833333333333334</v>
      </c>
      <c r="I308" s="144" t="s">
        <v>12</v>
      </c>
      <c r="J308" s="147">
        <v>46078</v>
      </c>
      <c r="K308" s="147">
        <v>46206</v>
      </c>
      <c r="L308" s="143">
        <f>IF(ISBLANK(DATA[[#This Row],[DISCHARGE DATE]]), "NO DATE", DATA[[#This Row],[DISCHARGE DATE]]-DATA[[#This Row],[ADMISSION DATE]]+1)</f>
        <v>129</v>
      </c>
      <c r="M308" s="148">
        <v>350</v>
      </c>
      <c r="N308" s="148">
        <v>2580</v>
      </c>
      <c r="O308" s="149">
        <v>312</v>
      </c>
      <c r="P308" s="149">
        <v>330</v>
      </c>
      <c r="Q308" s="150">
        <f>IF(DATA[[#This Row],[TYPE]]="Normal", 13 * DATA[[#This Row],[STORAGE DAYS]], 20 * DATA[[#This Row],[STORAGE DAYS]])</f>
        <v>2580</v>
      </c>
      <c r="R308" s="150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389</v>
      </c>
    </row>
    <row r="309" spans="1:20" s="26" customFormat="1" ht="16.5" customHeight="1" x14ac:dyDescent="0.25">
      <c r="A309" s="142" t="s">
        <v>1473</v>
      </c>
      <c r="B309" s="143" t="s">
        <v>1474</v>
      </c>
      <c r="C309" s="143">
        <v>74</v>
      </c>
      <c r="D309" s="144" t="s">
        <v>4</v>
      </c>
      <c r="E309" s="144" t="s">
        <v>1475</v>
      </c>
      <c r="F309" s="144" t="s">
        <v>1762</v>
      </c>
      <c r="G309" s="144" t="s">
        <v>25</v>
      </c>
      <c r="H309" s="146">
        <v>0.8125</v>
      </c>
      <c r="I309" s="144" t="s">
        <v>12</v>
      </c>
      <c r="J309" s="147">
        <v>46077</v>
      </c>
      <c r="K309" s="147">
        <v>46199</v>
      </c>
      <c r="L309" s="143">
        <f>IF(ISBLANK(DATA[[#This Row],[DISCHARGE DATE]]), "NO DATE", DATA[[#This Row],[DISCHARGE DATE]]-DATA[[#This Row],[ADMISSION DATE]]+1)</f>
        <v>123</v>
      </c>
      <c r="M309" s="148">
        <v>350</v>
      </c>
      <c r="N309" s="148">
        <v>1500</v>
      </c>
      <c r="O309" s="149">
        <v>313</v>
      </c>
      <c r="P309" s="149"/>
      <c r="Q309" s="150">
        <f>IF(DATA[[#This Row],[TYPE]]="Normal", 13 * DATA[[#This Row],[STORAGE DAYS]], 20 * DATA[[#This Row],[STORAGE DAYS]])</f>
        <v>2460</v>
      </c>
      <c r="R309" s="150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389</v>
      </c>
    </row>
    <row r="310" spans="1:20" s="26" customFormat="1" ht="16.5" customHeight="1" x14ac:dyDescent="0.25">
      <c r="A310" s="142" t="s">
        <v>1476</v>
      </c>
      <c r="B310" s="143" t="s">
        <v>1477</v>
      </c>
      <c r="C310" s="143">
        <v>70</v>
      </c>
      <c r="D310" s="144" t="s">
        <v>5</v>
      </c>
      <c r="E310" s="144" t="s">
        <v>96</v>
      </c>
      <c r="F310" s="144" t="s">
        <v>1763</v>
      </c>
      <c r="G310" s="144" t="s">
        <v>27</v>
      </c>
      <c r="H310" s="146">
        <v>4.1666666666666664E-2</v>
      </c>
      <c r="I310" s="144" t="s">
        <v>10</v>
      </c>
      <c r="J310" s="147">
        <v>46078</v>
      </c>
      <c r="K310" s="147">
        <v>46171</v>
      </c>
      <c r="L310" s="143">
        <f>IF(ISBLANK(DATA[[#This Row],[DISCHARGE DATE]]), "NO DATE", DATA[[#This Row],[DISCHARGE DATE]]-DATA[[#This Row],[ADMISSION DATE]]+1)</f>
        <v>94</v>
      </c>
      <c r="M310" s="148">
        <v>350</v>
      </c>
      <c r="N310" s="148">
        <v>1222</v>
      </c>
      <c r="O310" s="149">
        <v>314</v>
      </c>
      <c r="P310" s="149">
        <v>316</v>
      </c>
      <c r="Q310" s="150">
        <f>IF(DATA[[#This Row],[TYPE]]="Normal", 13 * DATA[[#This Row],[STORAGE DAYS]], 20 * DATA[[#This Row],[STORAGE DAYS]])</f>
        <v>1222</v>
      </c>
      <c r="R310" s="150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389</v>
      </c>
    </row>
    <row r="311" spans="1:20" s="26" customFormat="1" ht="16.5" customHeight="1" x14ac:dyDescent="0.25">
      <c r="A311" s="142" t="s">
        <v>1478</v>
      </c>
      <c r="B311" s="143" t="s">
        <v>1479</v>
      </c>
      <c r="C311" s="143">
        <v>68</v>
      </c>
      <c r="D311" s="144" t="s">
        <v>4</v>
      </c>
      <c r="E311" s="144" t="s">
        <v>1480</v>
      </c>
      <c r="F311" s="144" t="s">
        <v>1764</v>
      </c>
      <c r="G311" s="144" t="s">
        <v>27</v>
      </c>
      <c r="H311" s="146">
        <v>0.73263888888888884</v>
      </c>
      <c r="I311" s="144" t="s">
        <v>12</v>
      </c>
      <c r="J311" s="147">
        <v>46080</v>
      </c>
      <c r="K311" s="147">
        <v>46234</v>
      </c>
      <c r="L311" s="143">
        <f>IF(ISBLANK(DATA[[#This Row],[DISCHARGE DATE]]), "NO DATE", DATA[[#This Row],[DISCHARGE DATE]]-DATA[[#This Row],[ADMISSION DATE]]+1)</f>
        <v>155</v>
      </c>
      <c r="M311" s="148">
        <v>350</v>
      </c>
      <c r="N311" s="148">
        <v>3100</v>
      </c>
      <c r="O311" s="149">
        <v>315</v>
      </c>
      <c r="P311" s="149">
        <v>340</v>
      </c>
      <c r="Q311" s="150">
        <f>IF(DATA[[#This Row],[TYPE]]="Normal", 13 * DATA[[#This Row],[STORAGE DAYS]], 20 * DATA[[#This Row],[STORAGE DAYS]])</f>
        <v>3100</v>
      </c>
      <c r="R311" s="150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389</v>
      </c>
    </row>
    <row r="312" spans="1:20" s="26" customFormat="1" ht="16.5" customHeight="1" x14ac:dyDescent="0.25">
      <c r="A312" s="142" t="s">
        <v>1481</v>
      </c>
      <c r="B312" s="143" t="s">
        <v>1482</v>
      </c>
      <c r="C312" s="143">
        <v>73</v>
      </c>
      <c r="D312" s="144" t="s">
        <v>4</v>
      </c>
      <c r="E312" s="144" t="s">
        <v>1466</v>
      </c>
      <c r="F312" s="144" t="s">
        <v>1765</v>
      </c>
      <c r="G312" s="144" t="s">
        <v>25</v>
      </c>
      <c r="H312" s="146">
        <v>0.8125</v>
      </c>
      <c r="I312" s="144" t="s">
        <v>12</v>
      </c>
      <c r="J312" s="147">
        <v>46080</v>
      </c>
      <c r="K312" s="147"/>
      <c r="L312" s="143" t="str">
        <f>IF(ISBLANK(DATA[[#This Row],[DISCHARGE DATE]]), "NO DATE", DATA[[#This Row],[DISCHARGE DATE]]-DATA[[#This Row],[ADMISSION DATE]]+1)</f>
        <v>NO DATE</v>
      </c>
      <c r="M312" s="148">
        <v>350</v>
      </c>
      <c r="N312" s="148"/>
      <c r="O312" s="149">
        <v>316</v>
      </c>
      <c r="P312" s="149"/>
      <c r="Q312" s="150" t="e">
        <f>IF(DATA[[#This Row],[TYPE]]="Normal", 13 * DATA[[#This Row],[STORAGE DAYS]], 20 * DATA[[#This Row],[STORAGE DAYS]])</f>
        <v>#VALUE!</v>
      </c>
      <c r="R312" s="150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389</v>
      </c>
    </row>
    <row r="313" spans="1:20" s="26" customFormat="1" ht="16.5" customHeight="1" x14ac:dyDescent="0.25">
      <c r="A313" s="142" t="s">
        <v>1483</v>
      </c>
      <c r="B313" s="143" t="s">
        <v>1484</v>
      </c>
      <c r="C313" s="143">
        <v>79</v>
      </c>
      <c r="D313" s="144" t="s">
        <v>5</v>
      </c>
      <c r="E313" s="144" t="s">
        <v>1485</v>
      </c>
      <c r="F313" s="144" t="s">
        <v>1766</v>
      </c>
      <c r="G313" s="144" t="s">
        <v>27</v>
      </c>
      <c r="H313" s="146">
        <v>0.3125</v>
      </c>
      <c r="I313" s="144" t="s">
        <v>10</v>
      </c>
      <c r="J313" s="147">
        <v>46083</v>
      </c>
      <c r="K313" s="147">
        <v>46234</v>
      </c>
      <c r="L313" s="143">
        <f>IF(ISBLANK(DATA[[#This Row],[DISCHARGE DATE]]), "NO DATE", DATA[[#This Row],[DISCHARGE DATE]]-DATA[[#This Row],[ADMISSION DATE]]+1)</f>
        <v>152</v>
      </c>
      <c r="M313" s="148">
        <v>350</v>
      </c>
      <c r="N313" s="148">
        <v>1976</v>
      </c>
      <c r="O313" s="149">
        <v>317</v>
      </c>
      <c r="P313" s="149">
        <v>334</v>
      </c>
      <c r="Q313" s="150">
        <f>IF(DATA[[#This Row],[TYPE]]="Normal", 13 * DATA[[#This Row],[STORAGE DAYS]], 20 * DATA[[#This Row],[STORAGE DAYS]])</f>
        <v>1976</v>
      </c>
      <c r="R313" s="150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389</v>
      </c>
    </row>
    <row r="314" spans="1:20" s="26" customFormat="1" ht="16.5" customHeight="1" x14ac:dyDescent="0.25">
      <c r="A314" s="142" t="s">
        <v>1486</v>
      </c>
      <c r="B314" s="143" t="s">
        <v>1487</v>
      </c>
      <c r="C314" s="143">
        <v>67</v>
      </c>
      <c r="D314" s="144" t="s">
        <v>5</v>
      </c>
      <c r="E314" s="144" t="s">
        <v>1488</v>
      </c>
      <c r="F314" s="144" t="s">
        <v>1767</v>
      </c>
      <c r="G314" s="144" t="s">
        <v>27</v>
      </c>
      <c r="H314" s="146">
        <v>0.72916666666666663</v>
      </c>
      <c r="I314" s="144" t="s">
        <v>10</v>
      </c>
      <c r="J314" s="147">
        <v>46084</v>
      </c>
      <c r="K314" s="147">
        <v>46234</v>
      </c>
      <c r="L314" s="143">
        <f>IF(ISBLANK(DATA[[#This Row],[DISCHARGE DATE]]), "NO DATE", DATA[[#This Row],[DISCHARGE DATE]]-DATA[[#This Row],[ADMISSION DATE]]+1)</f>
        <v>151</v>
      </c>
      <c r="M314" s="148">
        <v>350</v>
      </c>
      <c r="N314" s="148">
        <v>1963</v>
      </c>
      <c r="O314" s="149">
        <v>318</v>
      </c>
      <c r="P314" s="149">
        <v>338</v>
      </c>
      <c r="Q314" s="150">
        <f>IF(DATA[[#This Row],[TYPE]]="Normal", 13 * DATA[[#This Row],[STORAGE DAYS]], 20 * DATA[[#This Row],[STORAGE DAYS]])</f>
        <v>1963</v>
      </c>
      <c r="R314" s="150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389</v>
      </c>
    </row>
    <row r="315" spans="1:20" s="26" customFormat="1" ht="16.5" customHeight="1" x14ac:dyDescent="0.25">
      <c r="A315" s="142" t="s">
        <v>1490</v>
      </c>
      <c r="B315" s="143" t="s">
        <v>1491</v>
      </c>
      <c r="C315" s="143">
        <v>82</v>
      </c>
      <c r="D315" s="144" t="s">
        <v>5</v>
      </c>
      <c r="E315" s="144" t="s">
        <v>1492</v>
      </c>
      <c r="F315" s="144" t="s">
        <v>1768</v>
      </c>
      <c r="G315" s="144" t="s">
        <v>27</v>
      </c>
      <c r="H315" s="146">
        <v>0.375</v>
      </c>
      <c r="I315" s="144" t="s">
        <v>12</v>
      </c>
      <c r="J315" s="147">
        <v>46088</v>
      </c>
      <c r="K315" s="147">
        <v>46118</v>
      </c>
      <c r="L315" s="143">
        <f>IF(ISBLANK(DATA[[#This Row],[DISCHARGE DATE]]), "NO DATE", DATA[[#This Row],[DISCHARGE DATE]]-DATA[[#This Row],[ADMISSION DATE]]+1)</f>
        <v>31</v>
      </c>
      <c r="M315" s="148">
        <v>350</v>
      </c>
      <c r="N315" s="148">
        <v>620</v>
      </c>
      <c r="O315" s="149">
        <v>319</v>
      </c>
      <c r="P315" s="149">
        <v>269</v>
      </c>
      <c r="Q315" s="150">
        <f>IF(DATA[[#This Row],[TYPE]]="Normal", 13 * DATA[[#This Row],[STORAGE DAYS]], 20 * DATA[[#This Row],[STORAGE DAYS]])</f>
        <v>620</v>
      </c>
      <c r="R315" s="150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389</v>
      </c>
    </row>
    <row r="316" spans="1:20" s="26" customFormat="1" ht="16.5" customHeight="1" x14ac:dyDescent="0.25">
      <c r="A316" s="142" t="s">
        <v>1493</v>
      </c>
      <c r="B316" s="143" t="s">
        <v>1494</v>
      </c>
      <c r="C316" s="143">
        <v>43</v>
      </c>
      <c r="D316" s="144" t="s">
        <v>5</v>
      </c>
      <c r="E316" s="144" t="s">
        <v>1495</v>
      </c>
      <c r="F316" s="144" t="s">
        <v>1496</v>
      </c>
      <c r="G316" s="144" t="s">
        <v>27</v>
      </c>
      <c r="H316" s="146">
        <v>0.45833333333333331</v>
      </c>
      <c r="I316" s="144" t="s">
        <v>10</v>
      </c>
      <c r="J316" s="147">
        <v>46089</v>
      </c>
      <c r="K316" s="147">
        <v>46143</v>
      </c>
      <c r="L316" s="143">
        <f>IF(ISBLANK(DATA[[#This Row],[DISCHARGE DATE]]), "NO DATE", DATA[[#This Row],[DISCHARGE DATE]]-DATA[[#This Row],[ADMISSION DATE]]+1)</f>
        <v>55</v>
      </c>
      <c r="M316" s="148">
        <v>350</v>
      </c>
      <c r="N316" s="148">
        <v>715</v>
      </c>
      <c r="O316" s="149">
        <v>320</v>
      </c>
      <c r="P316" s="149">
        <v>279</v>
      </c>
      <c r="Q316" s="150">
        <f>IF(DATA[[#This Row],[TYPE]]="Normal", 13 * DATA[[#This Row],[STORAGE DAYS]], 20 * DATA[[#This Row],[STORAGE DAYS]])</f>
        <v>715</v>
      </c>
      <c r="R316" s="150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389</v>
      </c>
    </row>
    <row r="317" spans="1:20" s="26" customFormat="1" ht="16.5" customHeight="1" x14ac:dyDescent="0.25">
      <c r="A317" s="142" t="s">
        <v>1516</v>
      </c>
      <c r="B317" s="143" t="s">
        <v>1517</v>
      </c>
      <c r="C317" s="143">
        <v>105</v>
      </c>
      <c r="D317" s="144" t="s">
        <v>4</v>
      </c>
      <c r="E317" s="144" t="s">
        <v>1518</v>
      </c>
      <c r="F317" s="144" t="s">
        <v>1519</v>
      </c>
      <c r="G317" s="144" t="s">
        <v>27</v>
      </c>
      <c r="H317" s="146">
        <v>0.22916666666666666</v>
      </c>
      <c r="I317" s="144" t="s">
        <v>12</v>
      </c>
      <c r="J317" s="147">
        <v>46099</v>
      </c>
      <c r="K317" s="147">
        <v>46234</v>
      </c>
      <c r="L317" s="143">
        <f>IF(ISBLANK(DATA[[#This Row],[DISCHARGE DATE]]), "NO DATE", DATA[[#This Row],[DISCHARGE DATE]]-DATA[[#This Row],[ADMISSION DATE]]+1)</f>
        <v>136</v>
      </c>
      <c r="M317" s="148">
        <v>350</v>
      </c>
      <c r="N317" s="148">
        <v>2720</v>
      </c>
      <c r="O317" s="149">
        <v>321</v>
      </c>
      <c r="P317" s="149">
        <v>333</v>
      </c>
      <c r="Q317" s="150">
        <f>IF(DATA[[#This Row],[TYPE]]="Normal", 13 * DATA[[#This Row],[STORAGE DAYS]], 20 * DATA[[#This Row],[STORAGE DAYS]])</f>
        <v>2720</v>
      </c>
      <c r="R317" s="150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389</v>
      </c>
    </row>
    <row r="318" spans="1:20" s="26" customFormat="1" ht="16.5" customHeight="1" x14ac:dyDescent="0.25">
      <c r="A318" s="142" t="s">
        <v>1520</v>
      </c>
      <c r="B318" s="143" t="s">
        <v>1521</v>
      </c>
      <c r="C318" s="143">
        <v>68</v>
      </c>
      <c r="D318" s="144" t="s">
        <v>5</v>
      </c>
      <c r="E318" s="144" t="s">
        <v>1522</v>
      </c>
      <c r="F318" s="144" t="s">
        <v>1769</v>
      </c>
      <c r="G318" s="144" t="s">
        <v>27</v>
      </c>
      <c r="H318" s="146">
        <v>0.5</v>
      </c>
      <c r="I318" s="144" t="s">
        <v>12</v>
      </c>
      <c r="J318" s="147">
        <v>46100</v>
      </c>
      <c r="K318" s="147">
        <v>46325</v>
      </c>
      <c r="L318" s="143">
        <f>IF(ISBLANK(DATA[[#This Row],[DISCHARGE DATE]]), "NO DATE", DATA[[#This Row],[DISCHARGE DATE]]-DATA[[#This Row],[ADMISSION DATE]]+1)</f>
        <v>226</v>
      </c>
      <c r="M318" s="148">
        <v>350</v>
      </c>
      <c r="N318" s="148">
        <v>1500</v>
      </c>
      <c r="O318" s="149">
        <v>322</v>
      </c>
      <c r="P318" s="149"/>
      <c r="Q318" s="150">
        <f>IF(DATA[[#This Row],[TYPE]]="Normal", 13 * DATA[[#This Row],[STORAGE DAYS]], 20 * DATA[[#This Row],[STORAGE DAYS]])</f>
        <v>4520</v>
      </c>
      <c r="R318" s="150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389</v>
      </c>
    </row>
    <row r="319" spans="1:20" s="26" customFormat="1" ht="16.5" customHeight="1" x14ac:dyDescent="0.25">
      <c r="A319" s="142" t="s">
        <v>1523</v>
      </c>
      <c r="B319" s="143" t="s">
        <v>1524</v>
      </c>
      <c r="C319" s="143">
        <v>87</v>
      </c>
      <c r="D319" s="144" t="s">
        <v>4</v>
      </c>
      <c r="E319" s="144" t="s">
        <v>1525</v>
      </c>
      <c r="F319" s="144" t="s">
        <v>1770</v>
      </c>
      <c r="G319" s="144" t="s">
        <v>26</v>
      </c>
      <c r="H319" s="146">
        <v>0.75</v>
      </c>
      <c r="I319" s="144" t="s">
        <v>12</v>
      </c>
      <c r="J319" s="147">
        <v>46099</v>
      </c>
      <c r="K319" s="147"/>
      <c r="L319" s="143" t="str">
        <f>IF(ISBLANK(DATA[[#This Row],[DISCHARGE DATE]]), "NO DATE", DATA[[#This Row],[DISCHARGE DATE]]-DATA[[#This Row],[ADMISSION DATE]]+1)</f>
        <v>NO DATE</v>
      </c>
      <c r="M319" s="148">
        <v>350</v>
      </c>
      <c r="N319" s="148"/>
      <c r="O319" s="149">
        <v>323</v>
      </c>
      <c r="P319" s="149"/>
      <c r="Q319" s="150" t="e">
        <f>IF(DATA[[#This Row],[TYPE]]="Normal", 13 * DATA[[#This Row],[STORAGE DAYS]], 20 * DATA[[#This Row],[STORAGE DAYS]])</f>
        <v>#VALUE!</v>
      </c>
      <c r="R319" s="150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389</v>
      </c>
    </row>
    <row r="320" spans="1:20" s="26" customFormat="1" ht="16.5" customHeight="1" x14ac:dyDescent="0.25">
      <c r="A320" s="142" t="s">
        <v>1528</v>
      </c>
      <c r="B320" s="143" t="s">
        <v>1529</v>
      </c>
      <c r="C320" s="143">
        <v>65</v>
      </c>
      <c r="D320" s="144" t="s">
        <v>4</v>
      </c>
      <c r="E320" s="144" t="s">
        <v>1530</v>
      </c>
      <c r="F320" s="144" t="s">
        <v>1771</v>
      </c>
      <c r="G320" s="144" t="s">
        <v>27</v>
      </c>
      <c r="H320" s="146">
        <v>0.58333333333333337</v>
      </c>
      <c r="I320" s="144" t="s">
        <v>10</v>
      </c>
      <c r="J320" s="147">
        <v>46101</v>
      </c>
      <c r="K320" s="147">
        <v>46157</v>
      </c>
      <c r="L320" s="143">
        <f>IF(ISBLANK(DATA[[#This Row],[DISCHARGE DATE]]), "NO DATE", DATA[[#This Row],[DISCHARGE DATE]]-DATA[[#This Row],[ADMISSION DATE]]+1)</f>
        <v>57</v>
      </c>
      <c r="M320" s="148">
        <v>350</v>
      </c>
      <c r="N320" s="148">
        <v>741</v>
      </c>
      <c r="O320" s="149">
        <v>324</v>
      </c>
      <c r="P320" s="149">
        <v>300</v>
      </c>
      <c r="Q320" s="150">
        <f>IF(DATA[[#This Row],[TYPE]]="Normal", 13 * DATA[[#This Row],[STORAGE DAYS]], 20 * DATA[[#This Row],[STORAGE DAYS]])</f>
        <v>741</v>
      </c>
      <c r="R320" s="150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389</v>
      </c>
    </row>
    <row r="321" spans="1:20" s="26" customFormat="1" ht="16.5" customHeight="1" x14ac:dyDescent="0.25">
      <c r="A321" s="142" t="s">
        <v>1773</v>
      </c>
      <c r="B321" s="143" t="s">
        <v>1774</v>
      </c>
      <c r="C321" s="143">
        <v>80</v>
      </c>
      <c r="D321" s="144" t="s">
        <v>4</v>
      </c>
      <c r="E321" s="144" t="s">
        <v>1775</v>
      </c>
      <c r="F321" s="144" t="s">
        <v>1776</v>
      </c>
      <c r="G321" s="144" t="s">
        <v>25</v>
      </c>
      <c r="H321" s="146">
        <v>0.3125</v>
      </c>
      <c r="I321" s="144" t="s">
        <v>12</v>
      </c>
      <c r="J321" s="147">
        <v>46107</v>
      </c>
      <c r="K321" s="147"/>
      <c r="L321" s="143" t="str">
        <f>IF(ISBLANK(DATA[[#This Row],[DISCHARGE DATE]]), "NO DATE", DATA[[#This Row],[DISCHARGE DATE]]-DATA[[#This Row],[ADMISSION DATE]]+1)</f>
        <v>NO DATE</v>
      </c>
      <c r="M321" s="148">
        <v>350</v>
      </c>
      <c r="N321" s="148"/>
      <c r="O321" s="149">
        <v>325</v>
      </c>
      <c r="P321" s="149"/>
      <c r="Q321" s="150" t="e">
        <f>IF(DATA[[#This Row],[TYPE]]="Normal", 13 * DATA[[#This Row],[STORAGE DAYS]], 20 * DATA[[#This Row],[STORAGE DAYS]])</f>
        <v>#VALUE!</v>
      </c>
      <c r="R321" s="150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389</v>
      </c>
    </row>
    <row r="322" spans="1:20" s="26" customFormat="1" ht="16.5" customHeight="1" x14ac:dyDescent="0.25">
      <c r="A322" s="142" t="s">
        <v>1772</v>
      </c>
      <c r="B322" s="143" t="s">
        <v>1777</v>
      </c>
      <c r="C322" s="143">
        <v>42</v>
      </c>
      <c r="D322" s="144" t="s">
        <v>5</v>
      </c>
      <c r="E322" s="144" t="s">
        <v>1778</v>
      </c>
      <c r="F322" s="144" t="s">
        <v>1779</v>
      </c>
      <c r="G322" s="144" t="s">
        <v>15</v>
      </c>
      <c r="H322" s="146">
        <v>0.47916666666666669</v>
      </c>
      <c r="I322" s="144" t="s">
        <v>12</v>
      </c>
      <c r="J322" s="147">
        <v>46107</v>
      </c>
      <c r="K322" s="147">
        <v>46185</v>
      </c>
      <c r="L322" s="143">
        <f>IF(ISBLANK(DATA[[#This Row],[DISCHARGE DATE]]), "NO DATE", DATA[[#This Row],[DISCHARGE DATE]]-DATA[[#This Row],[ADMISSION DATE]]+1)</f>
        <v>79</v>
      </c>
      <c r="M322" s="148">
        <v>350</v>
      </c>
      <c r="N322" s="148">
        <v>1580</v>
      </c>
      <c r="O322" s="149">
        <v>326</v>
      </c>
      <c r="P322" s="149">
        <v>320</v>
      </c>
      <c r="Q322" s="150">
        <f>IF(DATA[[#This Row],[TYPE]]="Normal", 13 * DATA[[#This Row],[STORAGE DAYS]], 20 * DATA[[#This Row],[STORAGE DAYS]])</f>
        <v>1580</v>
      </c>
      <c r="R322" s="150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389</v>
      </c>
    </row>
    <row r="323" spans="1:20" s="26" customFormat="1" ht="16.5" customHeight="1" x14ac:dyDescent="0.25">
      <c r="A323" s="142" t="s">
        <v>1780</v>
      </c>
      <c r="B323" s="143" t="s">
        <v>91</v>
      </c>
      <c r="C323" s="143">
        <v>85</v>
      </c>
      <c r="D323" s="144" t="s">
        <v>5</v>
      </c>
      <c r="E323" s="144" t="s">
        <v>1781</v>
      </c>
      <c r="F323" s="144" t="s">
        <v>1782</v>
      </c>
      <c r="G323" s="144" t="s">
        <v>27</v>
      </c>
      <c r="H323" s="146">
        <v>0.33333333333333331</v>
      </c>
      <c r="I323" s="144" t="s">
        <v>10</v>
      </c>
      <c r="J323" s="147">
        <v>46109</v>
      </c>
      <c r="K323" s="147">
        <v>46171</v>
      </c>
      <c r="L323" s="143">
        <f>IF(ISBLANK(DATA[[#This Row],[DISCHARGE DATE]]), "NO DATE", DATA[[#This Row],[DISCHARGE DATE]]-DATA[[#This Row],[ADMISSION DATE]]+1)</f>
        <v>63</v>
      </c>
      <c r="M323" s="148">
        <v>350</v>
      </c>
      <c r="N323" s="148">
        <v>819</v>
      </c>
      <c r="O323" s="149">
        <v>327</v>
      </c>
      <c r="P323" s="149">
        <v>309</v>
      </c>
      <c r="Q323" s="150">
        <f>IF(DATA[[#This Row],[TYPE]]="Normal", 13 * DATA[[#This Row],[STORAGE DAYS]], 20 * DATA[[#This Row],[STORAGE DAYS]])</f>
        <v>819</v>
      </c>
      <c r="R323" s="150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389</v>
      </c>
    </row>
    <row r="324" spans="1:20" s="26" customFormat="1" ht="16.5" customHeight="1" x14ac:dyDescent="0.25">
      <c r="A324" s="142" t="s">
        <v>1783</v>
      </c>
      <c r="B324" s="143" t="s">
        <v>1784</v>
      </c>
      <c r="C324" s="143">
        <v>43</v>
      </c>
      <c r="D324" s="144" t="s">
        <v>5</v>
      </c>
      <c r="E324" s="144" t="s">
        <v>1785</v>
      </c>
      <c r="F324" s="144" t="s">
        <v>1786</v>
      </c>
      <c r="G324" s="144" t="s">
        <v>24</v>
      </c>
      <c r="H324" s="146">
        <v>0.72916666666666663</v>
      </c>
      <c r="I324" s="144" t="s">
        <v>12</v>
      </c>
      <c r="J324" s="147">
        <v>46113</v>
      </c>
      <c r="K324" s="147">
        <v>46164</v>
      </c>
      <c r="L324" s="143">
        <f>IF(ISBLANK(DATA[[#This Row],[DISCHARGE DATE]]), "NO DATE", DATA[[#This Row],[DISCHARGE DATE]]-DATA[[#This Row],[ADMISSION DATE]]+1)</f>
        <v>52</v>
      </c>
      <c r="M324" s="148">
        <v>350</v>
      </c>
      <c r="N324" s="148">
        <v>1040</v>
      </c>
      <c r="O324" s="149">
        <v>328</v>
      </c>
      <c r="P324" s="149">
        <v>304</v>
      </c>
      <c r="Q324" s="150">
        <f>IF(DATA[[#This Row],[TYPE]]="Normal", 13 * DATA[[#This Row],[STORAGE DAYS]], 20 * DATA[[#This Row],[STORAGE DAYS]])</f>
        <v>1040</v>
      </c>
      <c r="R324" s="150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389</v>
      </c>
    </row>
    <row r="325" spans="1:20" s="26" customFormat="1" ht="16.5" customHeight="1" x14ac:dyDescent="0.25">
      <c r="A325" s="142" t="s">
        <v>1787</v>
      </c>
      <c r="B325" s="143" t="s">
        <v>1788</v>
      </c>
      <c r="C325" s="143">
        <v>54</v>
      </c>
      <c r="D325" s="144" t="s">
        <v>5</v>
      </c>
      <c r="E325" s="144" t="s">
        <v>1789</v>
      </c>
      <c r="F325" s="144" t="s">
        <v>1580</v>
      </c>
      <c r="G325" s="144" t="s">
        <v>26</v>
      </c>
      <c r="H325" s="146">
        <v>0.83333333333333337</v>
      </c>
      <c r="I325" s="144" t="s">
        <v>12</v>
      </c>
      <c r="J325" s="147">
        <v>46114</v>
      </c>
      <c r="K325" s="147"/>
      <c r="L325" s="143" t="str">
        <f>IF(ISBLANK(DATA[[#This Row],[DISCHARGE DATE]]), "NO DATE", DATA[[#This Row],[DISCHARGE DATE]]-DATA[[#This Row],[ADMISSION DATE]]+1)</f>
        <v>NO DATE</v>
      </c>
      <c r="M325" s="148">
        <v>350</v>
      </c>
      <c r="N325" s="148"/>
      <c r="O325" s="149">
        <v>329</v>
      </c>
      <c r="P325" s="149"/>
      <c r="Q325" s="150" t="e">
        <f>IF(DATA[[#This Row],[TYPE]]="Normal", 13 * DATA[[#This Row],[STORAGE DAYS]], 20 * DATA[[#This Row],[STORAGE DAYS]])</f>
        <v>#VALUE!</v>
      </c>
      <c r="R325" s="150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389</v>
      </c>
    </row>
    <row r="326" spans="1:20" s="26" customFormat="1" ht="16.5" customHeight="1" x14ac:dyDescent="0.25">
      <c r="A326" s="142" t="s">
        <v>1790</v>
      </c>
      <c r="B326" s="143" t="s">
        <v>1791</v>
      </c>
      <c r="C326" s="143">
        <v>63</v>
      </c>
      <c r="D326" s="144" t="s">
        <v>5</v>
      </c>
      <c r="E326" s="144" t="s">
        <v>1792</v>
      </c>
      <c r="F326" s="144" t="s">
        <v>1793</v>
      </c>
      <c r="G326" s="144" t="s">
        <v>18</v>
      </c>
      <c r="H326" s="146">
        <v>0.64722222222222225</v>
      </c>
      <c r="I326" s="144" t="s">
        <v>10</v>
      </c>
      <c r="J326" s="147">
        <v>46117</v>
      </c>
      <c r="K326" s="147"/>
      <c r="L326" s="143" t="str">
        <f>IF(ISBLANK(DATA[[#This Row],[DISCHARGE DATE]]), "NO DATE", DATA[[#This Row],[DISCHARGE DATE]]-DATA[[#This Row],[ADMISSION DATE]]+1)</f>
        <v>NO DATE</v>
      </c>
      <c r="M326" s="148">
        <v>350</v>
      </c>
      <c r="N326" s="148"/>
      <c r="O326" s="149">
        <v>330</v>
      </c>
      <c r="P326" s="149"/>
      <c r="Q326" s="150" t="e">
        <f>IF(DATA[[#This Row],[TYPE]]="Normal", 13 * DATA[[#This Row],[STORAGE DAYS]], 20 * DATA[[#This Row],[STORAGE DAYS]])</f>
        <v>#VALUE!</v>
      </c>
      <c r="R326" s="150" t="e">
        <f>DATA[[#This Row],[COLDROOM FEE]]-DATA[[#This Row],[STORAGE FEE]]</f>
        <v>#VALUE!</v>
      </c>
      <c r="S326" s="98" t="str">
        <f>IF(ISBLANK(DATA[[#This Row],[COLDROOM RECEIPT]]),"IN CUSTODY","DISCHARGED")</f>
        <v>IN CUSTODY</v>
      </c>
      <c r="T326" s="25">
        <f>COUNTA(A:A)-2</f>
        <v>389</v>
      </c>
    </row>
    <row r="327" spans="1:20" s="26" customFormat="1" ht="16.5" customHeight="1" x14ac:dyDescent="0.25">
      <c r="A327" s="142" t="s">
        <v>1794</v>
      </c>
      <c r="B327" s="143" t="s">
        <v>1795</v>
      </c>
      <c r="C327" s="143">
        <v>54</v>
      </c>
      <c r="D327" s="144" t="s">
        <v>4</v>
      </c>
      <c r="E327" s="144" t="s">
        <v>91</v>
      </c>
      <c r="F327" s="144" t="s">
        <v>1549</v>
      </c>
      <c r="G327" s="144" t="s">
        <v>27</v>
      </c>
      <c r="H327" s="146">
        <v>0.4826388888888889</v>
      </c>
      <c r="I327" s="144" t="s">
        <v>12</v>
      </c>
      <c r="J327" s="147">
        <v>46118</v>
      </c>
      <c r="K327" s="147">
        <v>46143</v>
      </c>
      <c r="L327" s="143">
        <f>IF(ISBLANK(DATA[[#This Row],[DISCHARGE DATE]]), "NO DATE", DATA[[#This Row],[DISCHARGE DATE]]-DATA[[#This Row],[ADMISSION DATE]]+1)</f>
        <v>26</v>
      </c>
      <c r="M327" s="148">
        <v>350</v>
      </c>
      <c r="N327" s="148">
        <v>520</v>
      </c>
      <c r="O327" s="149">
        <v>331</v>
      </c>
      <c r="P327" s="149">
        <v>273</v>
      </c>
      <c r="Q327" s="150">
        <f>IF(DATA[[#This Row],[TYPE]]="Normal", 13 * DATA[[#This Row],[STORAGE DAYS]], 20 * DATA[[#This Row],[STORAGE DAYS]])</f>
        <v>520</v>
      </c>
      <c r="R327" s="150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389</v>
      </c>
    </row>
    <row r="328" spans="1:20" s="26" customFormat="1" ht="16.5" customHeight="1" x14ac:dyDescent="0.25">
      <c r="A328" s="142" t="s">
        <v>1796</v>
      </c>
      <c r="B328" s="143" t="s">
        <v>1797</v>
      </c>
      <c r="C328" s="143">
        <v>66</v>
      </c>
      <c r="D328" s="144" t="s">
        <v>4</v>
      </c>
      <c r="E328" s="144" t="s">
        <v>1798</v>
      </c>
      <c r="F328" s="144" t="s">
        <v>1799</v>
      </c>
      <c r="G328" s="144" t="s">
        <v>27</v>
      </c>
      <c r="H328" s="146">
        <v>0.4236111111111111</v>
      </c>
      <c r="I328" s="144" t="s">
        <v>12</v>
      </c>
      <c r="J328" s="147">
        <v>46125</v>
      </c>
      <c r="K328" s="147">
        <v>46206</v>
      </c>
      <c r="L328" s="143">
        <f>IF(ISBLANK(DATA[[#This Row],[DISCHARGE DATE]]), "NO DATE", DATA[[#This Row],[DISCHARGE DATE]]-DATA[[#This Row],[ADMISSION DATE]]+1)</f>
        <v>82</v>
      </c>
      <c r="M328" s="148">
        <v>350</v>
      </c>
      <c r="N328" s="148">
        <v>1640</v>
      </c>
      <c r="O328" s="149">
        <v>332</v>
      </c>
      <c r="P328" s="149">
        <v>329</v>
      </c>
      <c r="Q328" s="150">
        <f>IF(DATA[[#This Row],[TYPE]]="Normal", 13 * DATA[[#This Row],[STORAGE DAYS]], 20 * DATA[[#This Row],[STORAGE DAYS]])</f>
        <v>1640</v>
      </c>
      <c r="R328" s="150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389</v>
      </c>
    </row>
    <row r="329" spans="1:20" s="26" customFormat="1" ht="16.5" customHeight="1" x14ac:dyDescent="0.25">
      <c r="A329" s="144" t="s">
        <v>1800</v>
      </c>
      <c r="B329" s="143" t="s">
        <v>1801</v>
      </c>
      <c r="C329" s="143">
        <v>87</v>
      </c>
      <c r="D329" s="144" t="s">
        <v>4</v>
      </c>
      <c r="E329" s="144" t="s">
        <v>1802</v>
      </c>
      <c r="F329" s="163">
        <v>536831856</v>
      </c>
      <c r="G329" s="144" t="s">
        <v>25</v>
      </c>
      <c r="H329" s="146">
        <v>0.3125</v>
      </c>
      <c r="I329" s="144" t="s">
        <v>12</v>
      </c>
      <c r="J329" s="147">
        <v>46128</v>
      </c>
      <c r="K329" s="147"/>
      <c r="L329" s="143" t="str">
        <f>IF(ISBLANK(DATA[[#This Row],[DISCHARGE DATE]]), "NO DATE", DATA[[#This Row],[DISCHARGE DATE]]-DATA[[#This Row],[ADMISSION DATE]]+1)</f>
        <v>NO DATE</v>
      </c>
      <c r="M329" s="148">
        <v>350</v>
      </c>
      <c r="N329" s="148"/>
      <c r="O329" s="149">
        <v>333</v>
      </c>
      <c r="P329" s="149"/>
      <c r="Q329" s="150" t="e">
        <f>IF(DATA[[#This Row],[TYPE]]="Normal", 13 * DATA[[#This Row],[STORAGE DAYS]], 20 * DATA[[#This Row],[STORAGE DAYS]])</f>
        <v>#VALUE!</v>
      </c>
      <c r="R329" s="150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389</v>
      </c>
    </row>
    <row r="330" spans="1:20" s="26" customFormat="1" ht="16.5" customHeight="1" x14ac:dyDescent="0.25">
      <c r="A330" s="144" t="s">
        <v>1803</v>
      </c>
      <c r="B330" s="143" t="s">
        <v>1804</v>
      </c>
      <c r="C330" s="143">
        <v>90</v>
      </c>
      <c r="D330" s="144" t="s">
        <v>4</v>
      </c>
      <c r="E330" s="144" t="s">
        <v>1067</v>
      </c>
      <c r="F330" s="163">
        <v>246992460</v>
      </c>
      <c r="G330" s="144" t="s">
        <v>1290</v>
      </c>
      <c r="H330" s="146">
        <v>0.85416666666666663</v>
      </c>
      <c r="I330" s="144" t="s">
        <v>10</v>
      </c>
      <c r="J330" s="147">
        <v>46128</v>
      </c>
      <c r="K330" s="147"/>
      <c r="L330" s="143" t="str">
        <f>IF(ISBLANK(DATA[[#This Row],[DISCHARGE DATE]]), "NO DATE", DATA[[#This Row],[DISCHARGE DATE]]-DATA[[#This Row],[ADMISSION DATE]]+1)</f>
        <v>NO DATE</v>
      </c>
      <c r="M330" s="148">
        <v>350</v>
      </c>
      <c r="N330" s="148"/>
      <c r="O330" s="149">
        <v>334</v>
      </c>
      <c r="P330" s="149"/>
      <c r="Q330" s="150" t="e">
        <f>IF(DATA[[#This Row],[TYPE]]="Normal", 13 * DATA[[#This Row],[STORAGE DAYS]], 20 * DATA[[#This Row],[STORAGE DAYS]])</f>
        <v>#VALUE!</v>
      </c>
      <c r="R330" s="150" t="e">
        <f>DATA[[#This Row],[COLDROOM FEE]]-DATA[[#This Row],[STORAGE FEE]]</f>
        <v>#VALUE!</v>
      </c>
      <c r="S330" s="98" t="str">
        <f>IF(ISBLANK(DATA[[#This Row],[COLDROOM RECEIPT]]),"IN CUSTODY","DISCHARGED")</f>
        <v>IN CUSTODY</v>
      </c>
      <c r="T330" s="25">
        <f>COUNTA(A:A)-2</f>
        <v>389</v>
      </c>
    </row>
    <row r="331" spans="1:20" s="26" customFormat="1" ht="16.5" customHeight="1" x14ac:dyDescent="0.25">
      <c r="A331" s="144" t="s">
        <v>1805</v>
      </c>
      <c r="B331" s="143" t="s">
        <v>1806</v>
      </c>
      <c r="C331" s="143">
        <v>41</v>
      </c>
      <c r="D331" s="144" t="s">
        <v>4</v>
      </c>
      <c r="E331" s="144" t="s">
        <v>1807</v>
      </c>
      <c r="F331" s="163">
        <v>558603367</v>
      </c>
      <c r="G331" s="144" t="s">
        <v>25</v>
      </c>
      <c r="H331" s="146">
        <v>0.3125</v>
      </c>
      <c r="I331" s="144" t="s">
        <v>10</v>
      </c>
      <c r="J331" s="147">
        <v>46130</v>
      </c>
      <c r="K331" s="147">
        <v>46171</v>
      </c>
      <c r="L331" s="143">
        <f>IF(ISBLANK(DATA[[#This Row],[DISCHARGE DATE]]), "NO DATE", DATA[[#This Row],[DISCHARGE DATE]]-DATA[[#This Row],[ADMISSION DATE]]+1)</f>
        <v>42</v>
      </c>
      <c r="M331" s="148">
        <v>350</v>
      </c>
      <c r="N331" s="148">
        <v>546</v>
      </c>
      <c r="O331" s="149">
        <v>335</v>
      </c>
      <c r="P331" s="149">
        <v>313</v>
      </c>
      <c r="Q331" s="150">
        <f>IF(DATA[[#This Row],[TYPE]]="Normal", 13 * DATA[[#This Row],[STORAGE DAYS]], 20 * DATA[[#This Row],[STORAGE DAYS]])</f>
        <v>546</v>
      </c>
      <c r="R331" s="150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389</v>
      </c>
    </row>
    <row r="332" spans="1:20" s="26" customFormat="1" ht="16.5" customHeight="1" x14ac:dyDescent="0.25">
      <c r="A332" s="144" t="s">
        <v>1808</v>
      </c>
      <c r="B332" s="143" t="s">
        <v>1809</v>
      </c>
      <c r="C332" s="143">
        <v>57</v>
      </c>
      <c r="D332" s="144" t="s">
        <v>4</v>
      </c>
      <c r="E332" s="144" t="s">
        <v>1810</v>
      </c>
      <c r="F332" s="163">
        <v>248657543</v>
      </c>
      <c r="G332" s="144" t="s">
        <v>27</v>
      </c>
      <c r="H332" s="146">
        <v>0.57638888888888884</v>
      </c>
      <c r="I332" s="144" t="s">
        <v>10</v>
      </c>
      <c r="J332" s="147">
        <v>46132</v>
      </c>
      <c r="K332" s="147">
        <v>46269</v>
      </c>
      <c r="L332" s="143">
        <f>IF(ISBLANK(DATA[[#This Row],[DISCHARGE DATE]]), "NO DATE", DATA[[#This Row],[DISCHARGE DATE]]-DATA[[#This Row],[ADMISSION DATE]]+1)</f>
        <v>138</v>
      </c>
      <c r="M332" s="148">
        <v>350</v>
      </c>
      <c r="N332" s="148"/>
      <c r="O332" s="149">
        <v>336</v>
      </c>
      <c r="P332" s="149"/>
      <c r="Q332" s="150">
        <f>IF(DATA[[#This Row],[TYPE]]="Normal", 13 * DATA[[#This Row],[STORAGE DAYS]], 20 * DATA[[#This Row],[STORAGE DAYS]])</f>
        <v>1794</v>
      </c>
      <c r="R332" s="150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389</v>
      </c>
    </row>
    <row r="333" spans="1:20" s="26" customFormat="1" ht="16.5" customHeight="1" x14ac:dyDescent="0.25">
      <c r="A333" s="144" t="s">
        <v>1811</v>
      </c>
      <c r="B333" s="143" t="s">
        <v>1812</v>
      </c>
      <c r="C333" s="143">
        <v>48</v>
      </c>
      <c r="D333" s="144" t="s">
        <v>4</v>
      </c>
      <c r="E333" s="144" t="s">
        <v>484</v>
      </c>
      <c r="F333" s="163">
        <v>556474751</v>
      </c>
      <c r="G333" s="144" t="s">
        <v>27</v>
      </c>
      <c r="H333" s="146">
        <v>0.89583333333333337</v>
      </c>
      <c r="I333" s="144" t="s">
        <v>12</v>
      </c>
      <c r="J333" s="147">
        <v>46132</v>
      </c>
      <c r="K333" s="147">
        <v>46206</v>
      </c>
      <c r="L333" s="143">
        <f>IF(ISBLANK(DATA[[#This Row],[DISCHARGE DATE]]), "NO DATE", DATA[[#This Row],[DISCHARGE DATE]]-DATA[[#This Row],[ADMISSION DATE]]+1)</f>
        <v>75</v>
      </c>
      <c r="M333" s="148">
        <v>350</v>
      </c>
      <c r="N333" s="148">
        <v>1500</v>
      </c>
      <c r="O333" s="149">
        <v>337</v>
      </c>
      <c r="P333" s="149">
        <v>323</v>
      </c>
      <c r="Q333" s="150">
        <f>IF(DATA[[#This Row],[TYPE]]="Normal", 13 * DATA[[#This Row],[STORAGE DAYS]], 20 * DATA[[#This Row],[STORAGE DAYS]])</f>
        <v>1500</v>
      </c>
      <c r="R333" s="150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389</v>
      </c>
    </row>
    <row r="334" spans="1:20" s="26" customFormat="1" ht="16.5" customHeight="1" x14ac:dyDescent="0.25">
      <c r="A334" s="144" t="s">
        <v>1813</v>
      </c>
      <c r="B334" s="143" t="s">
        <v>1814</v>
      </c>
      <c r="C334" s="143">
        <v>45</v>
      </c>
      <c r="D334" s="144" t="s">
        <v>5</v>
      </c>
      <c r="E334" s="144" t="s">
        <v>1815</v>
      </c>
      <c r="F334" s="163">
        <v>543343484</v>
      </c>
      <c r="G334" s="144" t="s">
        <v>27</v>
      </c>
      <c r="H334" s="146">
        <v>0.1875</v>
      </c>
      <c r="I334" s="144" t="s">
        <v>10</v>
      </c>
      <c r="J334" s="147">
        <v>46133</v>
      </c>
      <c r="K334" s="147">
        <v>46206</v>
      </c>
      <c r="L334" s="143">
        <f>IF(ISBLANK(DATA[[#This Row],[DISCHARGE DATE]]), "NO DATE", DATA[[#This Row],[DISCHARGE DATE]]-DATA[[#This Row],[ADMISSION DATE]]+1)</f>
        <v>74</v>
      </c>
      <c r="M334" s="148">
        <v>350</v>
      </c>
      <c r="N334" s="148">
        <v>962</v>
      </c>
      <c r="O334" s="149">
        <v>338</v>
      </c>
      <c r="P334" s="149">
        <v>325</v>
      </c>
      <c r="Q334" s="150">
        <f>IF(DATA[[#This Row],[TYPE]]="Normal", 13 * DATA[[#This Row],[STORAGE DAYS]], 20 * DATA[[#This Row],[STORAGE DAYS]])</f>
        <v>962</v>
      </c>
      <c r="R334" s="150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389</v>
      </c>
    </row>
    <row r="335" spans="1:20" s="26" customFormat="1" ht="16.5" customHeight="1" x14ac:dyDescent="0.25">
      <c r="A335" s="142" t="s">
        <v>1817</v>
      </c>
      <c r="B335" s="143" t="s">
        <v>1818</v>
      </c>
      <c r="C335" s="143">
        <v>33</v>
      </c>
      <c r="D335" s="144" t="s">
        <v>4</v>
      </c>
      <c r="E335" s="144" t="s">
        <v>1819</v>
      </c>
      <c r="F335" s="144">
        <v>544489271</v>
      </c>
      <c r="G335" s="144" t="s">
        <v>25</v>
      </c>
      <c r="H335" s="146">
        <v>0.8125</v>
      </c>
      <c r="I335" s="144" t="s">
        <v>12</v>
      </c>
      <c r="J335" s="147">
        <v>46132</v>
      </c>
      <c r="K335" s="164">
        <v>46234</v>
      </c>
      <c r="L335" s="143">
        <f>IF(ISBLANK(DATA[[#This Row],[DISCHARGE DATE]]), "NO DATE", DATA[[#This Row],[DISCHARGE DATE]]-DATA[[#This Row],[ADMISSION DATE]]+1)</f>
        <v>103</v>
      </c>
      <c r="M335" s="148">
        <v>350</v>
      </c>
      <c r="N335" s="148">
        <v>2060</v>
      </c>
      <c r="O335" s="149">
        <v>339</v>
      </c>
      <c r="P335" s="149">
        <v>336</v>
      </c>
      <c r="Q335" s="150">
        <f>IF(DATA[[#This Row],[TYPE]]="Normal", 13 * DATA[[#This Row],[STORAGE DAYS]], 20 * DATA[[#This Row],[STORAGE DAYS]])</f>
        <v>2060</v>
      </c>
      <c r="R335" s="150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389</v>
      </c>
    </row>
    <row r="336" spans="1:20" s="100" customFormat="1" ht="16.5" customHeight="1" x14ac:dyDescent="0.25">
      <c r="A336" s="142" t="s">
        <v>1820</v>
      </c>
      <c r="B336" s="143" t="s">
        <v>1821</v>
      </c>
      <c r="C336" s="143">
        <v>86</v>
      </c>
      <c r="D336" s="144" t="s">
        <v>4</v>
      </c>
      <c r="E336" s="144" t="s">
        <v>507</v>
      </c>
      <c r="F336" s="163">
        <v>532089205</v>
      </c>
      <c r="G336" s="144" t="s">
        <v>26</v>
      </c>
      <c r="H336" s="146">
        <v>0.70833333333333337</v>
      </c>
      <c r="I336" s="144" t="s">
        <v>12</v>
      </c>
      <c r="J336" s="147">
        <v>46134</v>
      </c>
      <c r="K336" s="147">
        <v>46269</v>
      </c>
      <c r="L336" s="143">
        <f>IF(ISBLANK(DATA[[#This Row],[DISCHARGE DATE]]), "NO DATE", DATA[[#This Row],[DISCHARGE DATE]]-DATA[[#This Row],[ADMISSION DATE]]+1)</f>
        <v>136</v>
      </c>
      <c r="M336" s="148">
        <v>350</v>
      </c>
      <c r="N336" s="148">
        <v>1000</v>
      </c>
      <c r="O336" s="149">
        <v>340</v>
      </c>
      <c r="P336" s="149"/>
      <c r="Q336" s="150">
        <f>IF(DATA[[#This Row],[TYPE]]="Normal", 13 * DATA[[#This Row],[STORAGE DAYS]], 20 * DATA[[#This Row],[STORAGE DAYS]])</f>
        <v>2720</v>
      </c>
      <c r="R336" s="150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389</v>
      </c>
    </row>
    <row r="337" spans="1:20" s="100" customFormat="1" ht="16.5" customHeight="1" x14ac:dyDescent="0.25">
      <c r="A337" s="142" t="s">
        <v>1822</v>
      </c>
      <c r="B337" s="143" t="s">
        <v>1823</v>
      </c>
      <c r="C337" s="143">
        <v>70</v>
      </c>
      <c r="D337" s="144" t="s">
        <v>4</v>
      </c>
      <c r="E337" s="144" t="s">
        <v>1824</v>
      </c>
      <c r="F337" s="163">
        <v>543779606</v>
      </c>
      <c r="G337" s="144" t="s">
        <v>17</v>
      </c>
      <c r="H337" s="146">
        <v>4.1666666666666664E-2</v>
      </c>
      <c r="I337" s="144" t="s">
        <v>12</v>
      </c>
      <c r="J337" s="147">
        <v>46136</v>
      </c>
      <c r="K337" s="147"/>
      <c r="L337" s="143" t="str">
        <f>IF(ISBLANK(DATA[[#This Row],[DISCHARGE DATE]]), "NO DATE", DATA[[#This Row],[DISCHARGE DATE]]-DATA[[#This Row],[ADMISSION DATE]]+1)</f>
        <v>NO DATE</v>
      </c>
      <c r="M337" s="148">
        <v>350</v>
      </c>
      <c r="N337" s="148"/>
      <c r="O337" s="149">
        <v>341</v>
      </c>
      <c r="P337" s="149"/>
      <c r="Q337" s="150" t="e">
        <f>IF(DATA[[#This Row],[TYPE]]="Normal", 13 * DATA[[#This Row],[STORAGE DAYS]], 20 * DATA[[#This Row],[STORAGE DAYS]])</f>
        <v>#VALUE!</v>
      </c>
      <c r="R337" s="150" t="e">
        <f>DATA[[#This Row],[COLDROOM FEE]]-DATA[[#This Row],[STORAGE FEE]]</f>
        <v>#VALUE!</v>
      </c>
      <c r="S337" s="98" t="str">
        <f>IF(ISBLANK(DATA[[#This Row],[COLDROOM RECEIPT]]),"IN CUSTODY","DISCHARGED")</f>
        <v>IN CUSTODY</v>
      </c>
      <c r="T337" s="99">
        <f>COUNTA(A:A)-2</f>
        <v>389</v>
      </c>
    </row>
    <row r="338" spans="1:20" s="100" customFormat="1" ht="16.5" customHeight="1" x14ac:dyDescent="0.25">
      <c r="A338" s="142" t="s">
        <v>1825</v>
      </c>
      <c r="B338" s="143" t="s">
        <v>1826</v>
      </c>
      <c r="C338" s="143">
        <v>72</v>
      </c>
      <c r="D338" s="144" t="s">
        <v>4</v>
      </c>
      <c r="E338" s="144" t="s">
        <v>1827</v>
      </c>
      <c r="F338" s="163">
        <v>248514599</v>
      </c>
      <c r="G338" s="144" t="s">
        <v>18</v>
      </c>
      <c r="H338" s="146">
        <v>0.59027777777777779</v>
      </c>
      <c r="I338" s="144" t="s">
        <v>12</v>
      </c>
      <c r="J338" s="147">
        <v>46136</v>
      </c>
      <c r="K338" s="147"/>
      <c r="L338" s="143" t="str">
        <f>IF(ISBLANK(DATA[[#This Row],[DISCHARGE DATE]]), "NO DATE", DATA[[#This Row],[DISCHARGE DATE]]-DATA[[#This Row],[ADMISSION DATE]]+1)</f>
        <v>NO DATE</v>
      </c>
      <c r="M338" s="148">
        <v>350</v>
      </c>
      <c r="N338" s="148"/>
      <c r="O338" s="149">
        <v>342</v>
      </c>
      <c r="P338" s="149"/>
      <c r="Q338" s="150" t="e">
        <f>IF(DATA[[#This Row],[TYPE]]="Normal", 13 * DATA[[#This Row],[STORAGE DAYS]], 20 * DATA[[#This Row],[STORAGE DAYS]])</f>
        <v>#VALUE!</v>
      </c>
      <c r="R338" s="150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>COUNTA(A:A)-2</f>
        <v>389</v>
      </c>
    </row>
    <row r="339" spans="1:20" s="100" customFormat="1" ht="16.5" customHeight="1" x14ac:dyDescent="0.25">
      <c r="A339" s="142" t="s">
        <v>1833</v>
      </c>
      <c r="B339" s="143" t="s">
        <v>1834</v>
      </c>
      <c r="C339" s="143">
        <v>46</v>
      </c>
      <c r="D339" s="144" t="s">
        <v>4</v>
      </c>
      <c r="E339" s="144" t="s">
        <v>1835</v>
      </c>
      <c r="F339" s="163">
        <v>247239374</v>
      </c>
      <c r="G339" s="144" t="s">
        <v>27</v>
      </c>
      <c r="H339" s="146">
        <v>0.69097222222222221</v>
      </c>
      <c r="I339" s="144" t="s">
        <v>10</v>
      </c>
      <c r="J339" s="147">
        <v>46143</v>
      </c>
      <c r="K339" s="147"/>
      <c r="L339" s="143" t="str">
        <f>IF(ISBLANK(DATA[[#This Row],[DISCHARGE DATE]]), "NO DATE", DATA[[#This Row],[DISCHARGE DATE]]-DATA[[#This Row],[ADMISSION DATE]]+1)</f>
        <v>NO DATE</v>
      </c>
      <c r="M339" s="148">
        <v>350</v>
      </c>
      <c r="N339" s="148"/>
      <c r="O339" s="149">
        <v>343</v>
      </c>
      <c r="P339" s="149"/>
      <c r="Q339" s="150" t="e">
        <f>IF(DATA[[#This Row],[TYPE]]="Normal", 13 * DATA[[#This Row],[STORAGE DAYS]], 20 * DATA[[#This Row],[STORAGE DAYS]])</f>
        <v>#VALUE!</v>
      </c>
      <c r="R339" s="150" t="e">
        <f>DATA[[#This Row],[COLDROOM FEE]]-DATA[[#This Row],[STORAGE FEE]]</f>
        <v>#VALUE!</v>
      </c>
      <c r="S339" s="98" t="str">
        <f>IF(ISBLANK(DATA[[#This Row],[COLDROOM RECEIPT]]),"IN CUSTODY","DISCHARGED")</f>
        <v>IN CUSTODY</v>
      </c>
      <c r="T339" s="25">
        <f>COUNTA(A:A)-2</f>
        <v>389</v>
      </c>
    </row>
    <row r="340" spans="1:20" s="100" customFormat="1" ht="16.5" customHeight="1" x14ac:dyDescent="0.25">
      <c r="A340" s="142" t="s">
        <v>1832</v>
      </c>
      <c r="B340" s="143" t="s">
        <v>1836</v>
      </c>
      <c r="C340" s="143">
        <v>42</v>
      </c>
      <c r="D340" s="144" t="s">
        <v>4</v>
      </c>
      <c r="E340" s="144" t="s">
        <v>1837</v>
      </c>
      <c r="F340" s="163">
        <v>541500105</v>
      </c>
      <c r="G340" s="144" t="s">
        <v>25</v>
      </c>
      <c r="H340" s="146">
        <v>0.9375</v>
      </c>
      <c r="I340" s="144" t="s">
        <v>10</v>
      </c>
      <c r="J340" s="147">
        <v>46144</v>
      </c>
      <c r="K340" s="147">
        <v>46206</v>
      </c>
      <c r="L340" s="143">
        <f>IF(ISBLANK(DATA[[#This Row],[DISCHARGE DATE]]), "NO DATE", DATA[[#This Row],[DISCHARGE DATE]]-DATA[[#This Row],[ADMISSION DATE]]+1)</f>
        <v>63</v>
      </c>
      <c r="M340" s="148">
        <v>350</v>
      </c>
      <c r="N340" s="148">
        <v>819</v>
      </c>
      <c r="O340" s="149">
        <v>344</v>
      </c>
      <c r="P340" s="149">
        <v>324</v>
      </c>
      <c r="Q340" s="150">
        <f>IF(DATA[[#This Row],[TYPE]]="Normal", 13 * DATA[[#This Row],[STORAGE DAYS]], 20 * DATA[[#This Row],[STORAGE DAYS]])</f>
        <v>819</v>
      </c>
      <c r="R340" s="150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389</v>
      </c>
    </row>
    <row r="341" spans="1:20" s="100" customFormat="1" ht="16.5" customHeight="1" x14ac:dyDescent="0.25">
      <c r="A341" s="176" t="s">
        <v>1838</v>
      </c>
      <c r="B341" s="177" t="s">
        <v>1839</v>
      </c>
      <c r="C341" s="177">
        <v>62</v>
      </c>
      <c r="D341" s="178" t="s">
        <v>5</v>
      </c>
      <c r="E341" s="178" t="s">
        <v>204</v>
      </c>
      <c r="F341" s="179">
        <v>592684635</v>
      </c>
      <c r="G341" s="178" t="s">
        <v>26</v>
      </c>
      <c r="H341" s="180">
        <v>0.875</v>
      </c>
      <c r="I341" s="178" t="s">
        <v>10</v>
      </c>
      <c r="J341" s="181">
        <v>46144</v>
      </c>
      <c r="K341" s="181">
        <v>46283</v>
      </c>
      <c r="L341" s="177">
        <f>IF(ISBLANK(DATA[[#This Row],[DISCHARGE DATE]]), "NO DATE", DATA[[#This Row],[DISCHARGE DATE]]-DATA[[#This Row],[ADMISSION DATE]]+1)</f>
        <v>140</v>
      </c>
      <c r="M341" s="182">
        <v>350</v>
      </c>
      <c r="N341" s="182">
        <v>2000</v>
      </c>
      <c r="O341" s="183">
        <v>345</v>
      </c>
      <c r="P341" s="183"/>
      <c r="Q341" s="184">
        <f>IF(DATA[[#This Row],[TYPE]]="Normal", 13 * DATA[[#This Row],[STORAGE DAYS]], 20 * DATA[[#This Row],[STORAGE DAYS]])</f>
        <v>1820</v>
      </c>
      <c r="R341" s="184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389</v>
      </c>
    </row>
    <row r="342" spans="1:20" s="100" customFormat="1" ht="16.5" customHeight="1" x14ac:dyDescent="0.25">
      <c r="A342" s="142" t="s">
        <v>1840</v>
      </c>
      <c r="B342" s="143" t="s">
        <v>1844</v>
      </c>
      <c r="C342" s="143">
        <v>83</v>
      </c>
      <c r="D342" s="144" t="s">
        <v>4</v>
      </c>
      <c r="E342" s="144" t="s">
        <v>1845</v>
      </c>
      <c r="F342" s="163">
        <v>503472718</v>
      </c>
      <c r="G342" s="144" t="s">
        <v>25</v>
      </c>
      <c r="H342" s="146">
        <v>0.29166666666666669</v>
      </c>
      <c r="I342" s="144" t="s">
        <v>12</v>
      </c>
      <c r="J342" s="147">
        <v>46147</v>
      </c>
      <c r="K342" s="147"/>
      <c r="L342" s="143" t="str">
        <f>IF(ISBLANK(DATA[[#This Row],[DISCHARGE DATE]]), "NO DATE", DATA[[#This Row],[DISCHARGE DATE]]-DATA[[#This Row],[ADMISSION DATE]]+1)</f>
        <v>NO DATE</v>
      </c>
      <c r="M342" s="148">
        <v>350</v>
      </c>
      <c r="N342" s="148"/>
      <c r="O342" s="149">
        <v>347</v>
      </c>
      <c r="P342" s="149"/>
      <c r="Q342" s="150" t="e">
        <f>IF(DATA[[#This Row],[TYPE]]="Normal", 13 * DATA[[#This Row],[STORAGE DAYS]], 20 * DATA[[#This Row],[STORAGE DAYS]])</f>
        <v>#VALUE!</v>
      </c>
      <c r="R342" s="150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389</v>
      </c>
    </row>
    <row r="343" spans="1:20" s="100" customFormat="1" ht="16.5" customHeight="1" x14ac:dyDescent="0.25">
      <c r="A343" s="142" t="s">
        <v>1843</v>
      </c>
      <c r="B343" s="143" t="s">
        <v>1841</v>
      </c>
      <c r="C343" s="143">
        <v>80</v>
      </c>
      <c r="D343" s="144" t="s">
        <v>4</v>
      </c>
      <c r="E343" s="144" t="s">
        <v>1842</v>
      </c>
      <c r="F343" s="163">
        <v>557797063</v>
      </c>
      <c r="G343" s="144" t="s">
        <v>27</v>
      </c>
      <c r="H343" s="146">
        <v>0.72916666666666663</v>
      </c>
      <c r="I343" s="144" t="s">
        <v>12</v>
      </c>
      <c r="J343" s="147">
        <v>46146</v>
      </c>
      <c r="K343" s="147">
        <v>46325</v>
      </c>
      <c r="L343" s="143">
        <f>IF(ISBLANK(DATA[[#This Row],[DISCHARGE DATE]]), "NO DATE", DATA[[#This Row],[DISCHARGE DATE]]-DATA[[#This Row],[ADMISSION DATE]]+1)</f>
        <v>180</v>
      </c>
      <c r="M343" s="148">
        <v>350</v>
      </c>
      <c r="N343" s="148">
        <v>500</v>
      </c>
      <c r="O343" s="149">
        <v>348</v>
      </c>
      <c r="P343" s="149"/>
      <c r="Q343" s="150">
        <f>IF(DATA[[#This Row],[TYPE]]="Normal", 13 * DATA[[#This Row],[STORAGE DAYS]], 20 * DATA[[#This Row],[STORAGE DAYS]])</f>
        <v>3600</v>
      </c>
      <c r="R343" s="150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389</v>
      </c>
    </row>
    <row r="344" spans="1:20" s="100" customFormat="1" ht="16.5" customHeight="1" x14ac:dyDescent="0.25">
      <c r="A344" s="142" t="s">
        <v>1846</v>
      </c>
      <c r="B344" s="143" t="s">
        <v>1847</v>
      </c>
      <c r="C344" s="143">
        <v>95</v>
      </c>
      <c r="D344" s="144" t="s">
        <v>4</v>
      </c>
      <c r="E344" s="144" t="s">
        <v>1848</v>
      </c>
      <c r="F344" s="163">
        <v>243035633</v>
      </c>
      <c r="G344" s="144" t="s">
        <v>27</v>
      </c>
      <c r="H344" s="146">
        <v>0.64652777777777781</v>
      </c>
      <c r="I344" s="144" t="s">
        <v>10</v>
      </c>
      <c r="J344" s="147">
        <v>46151</v>
      </c>
      <c r="K344" s="147"/>
      <c r="L344" s="143" t="str">
        <f>IF(ISBLANK(DATA[[#This Row],[DISCHARGE DATE]]), "NO DATE", DATA[[#This Row],[DISCHARGE DATE]]-DATA[[#This Row],[ADMISSION DATE]]+1)</f>
        <v>NO DATE</v>
      </c>
      <c r="M344" s="148">
        <v>350</v>
      </c>
      <c r="N344" s="148"/>
      <c r="O344" s="149">
        <v>349</v>
      </c>
      <c r="P344" s="149"/>
      <c r="Q344" s="150" t="e">
        <f>IF(DATA[[#This Row],[TYPE]]="Normal", 13 * DATA[[#This Row],[STORAGE DAYS]], 20 * DATA[[#This Row],[STORAGE DAYS]])</f>
        <v>#VALUE!</v>
      </c>
      <c r="R344" s="150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389</v>
      </c>
    </row>
    <row r="345" spans="1:20" s="100" customFormat="1" ht="16.5" customHeight="1" x14ac:dyDescent="0.25">
      <c r="A345" s="142" t="s">
        <v>1849</v>
      </c>
      <c r="B345" s="143" t="s">
        <v>1850</v>
      </c>
      <c r="C345" s="143">
        <v>54</v>
      </c>
      <c r="D345" s="144" t="s">
        <v>4</v>
      </c>
      <c r="E345" s="144" t="s">
        <v>531</v>
      </c>
      <c r="F345" s="163">
        <v>530694499</v>
      </c>
      <c r="G345" s="144" t="s">
        <v>26</v>
      </c>
      <c r="H345" s="146">
        <v>0.6479166666666667</v>
      </c>
      <c r="I345" s="144" t="s">
        <v>12</v>
      </c>
      <c r="J345" s="147">
        <v>46151</v>
      </c>
      <c r="K345" s="147"/>
      <c r="L345" s="143" t="str">
        <f>IF(ISBLANK(DATA[[#This Row],[DISCHARGE DATE]]), "NO DATE", DATA[[#This Row],[DISCHARGE DATE]]-DATA[[#This Row],[ADMISSION DATE]]+1)</f>
        <v>NO DATE</v>
      </c>
      <c r="M345" s="148">
        <v>350</v>
      </c>
      <c r="N345" s="148"/>
      <c r="O345" s="149">
        <v>350</v>
      </c>
      <c r="P345" s="149"/>
      <c r="Q345" s="150" t="e">
        <f>IF(DATA[[#This Row],[TYPE]]="Normal", 13 * DATA[[#This Row],[STORAGE DAYS]], 20 * DATA[[#This Row],[STORAGE DAYS]])</f>
        <v>#VALUE!</v>
      </c>
      <c r="R345" s="150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>COUNTA(A:A)-2</f>
        <v>389</v>
      </c>
    </row>
    <row r="346" spans="1:20" s="100" customFormat="1" ht="16.5" customHeight="1" x14ac:dyDescent="0.25">
      <c r="A346" s="142" t="s">
        <v>1851</v>
      </c>
      <c r="B346" s="143" t="s">
        <v>1852</v>
      </c>
      <c r="C346" s="143">
        <v>84</v>
      </c>
      <c r="D346" s="144" t="s">
        <v>4</v>
      </c>
      <c r="E346" s="144" t="s">
        <v>1853</v>
      </c>
      <c r="F346" s="163">
        <v>591492663</v>
      </c>
      <c r="G346" s="144" t="s">
        <v>25</v>
      </c>
      <c r="H346" s="146">
        <v>0.49513888888888891</v>
      </c>
      <c r="I346" s="144" t="s">
        <v>10</v>
      </c>
      <c r="J346" s="147">
        <v>46155</v>
      </c>
      <c r="K346" s="147">
        <v>46472</v>
      </c>
      <c r="L346" s="143">
        <f>IF(ISBLANK(DATA[[#This Row],[DISCHARGE DATE]]), "NO DATE", DATA[[#This Row],[DISCHARGE DATE]]-DATA[[#This Row],[ADMISSION DATE]]+1)</f>
        <v>318</v>
      </c>
      <c r="M346" s="148">
        <v>350</v>
      </c>
      <c r="N346" s="148">
        <v>3000</v>
      </c>
      <c r="O346" s="149">
        <v>351</v>
      </c>
      <c r="P346" s="149"/>
      <c r="Q346" s="150">
        <f>IF(DATA[[#This Row],[TYPE]]="Normal", 13 * DATA[[#This Row],[STORAGE DAYS]], 20 * DATA[[#This Row],[STORAGE DAYS]])</f>
        <v>4134</v>
      </c>
      <c r="R346" s="150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389</v>
      </c>
    </row>
    <row r="347" spans="1:20" s="100" customFormat="1" ht="16.5" customHeight="1" x14ac:dyDescent="0.25">
      <c r="A347" s="142" t="s">
        <v>1854</v>
      </c>
      <c r="B347" s="143" t="s">
        <v>1855</v>
      </c>
      <c r="C347" s="143">
        <v>70</v>
      </c>
      <c r="D347" s="144" t="s">
        <v>5</v>
      </c>
      <c r="E347" s="144" t="s">
        <v>1856</v>
      </c>
      <c r="F347" s="163">
        <v>533486141</v>
      </c>
      <c r="G347" s="144" t="s">
        <v>26</v>
      </c>
      <c r="H347" s="146">
        <v>0.79166666666666663</v>
      </c>
      <c r="I347" s="144" t="s">
        <v>10</v>
      </c>
      <c r="J347" s="147">
        <v>46155</v>
      </c>
      <c r="K347" s="147"/>
      <c r="L347" s="143" t="str">
        <f>IF(ISBLANK(DATA[[#This Row],[DISCHARGE DATE]]), "NO DATE", DATA[[#This Row],[DISCHARGE DATE]]-DATA[[#This Row],[ADMISSION DATE]]+1)</f>
        <v>NO DATE</v>
      </c>
      <c r="M347" s="148">
        <v>350</v>
      </c>
      <c r="N347" s="148"/>
      <c r="O347" s="149">
        <v>352</v>
      </c>
      <c r="P347" s="149"/>
      <c r="Q347" s="150" t="e">
        <f>IF(DATA[[#This Row],[TYPE]]="Normal", 13 * DATA[[#This Row],[STORAGE DAYS]], 20 * DATA[[#This Row],[STORAGE DAYS]])</f>
        <v>#VALUE!</v>
      </c>
      <c r="R347" s="150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>COUNTA(A:A)-2</f>
        <v>389</v>
      </c>
    </row>
    <row r="348" spans="1:20" s="100" customFormat="1" ht="16.5" customHeight="1" x14ac:dyDescent="0.25">
      <c r="A348" s="142" t="s">
        <v>1857</v>
      </c>
      <c r="B348" s="143" t="s">
        <v>1858</v>
      </c>
      <c r="C348" s="143">
        <v>57</v>
      </c>
      <c r="D348" s="144" t="s">
        <v>4</v>
      </c>
      <c r="E348" s="144" t="s">
        <v>1785</v>
      </c>
      <c r="F348" s="163">
        <v>242019918</v>
      </c>
      <c r="G348" s="144" t="s">
        <v>24</v>
      </c>
      <c r="H348" s="146">
        <v>0.4375</v>
      </c>
      <c r="I348" s="144" t="s">
        <v>10</v>
      </c>
      <c r="J348" s="147">
        <v>46160</v>
      </c>
      <c r="K348" s="147"/>
      <c r="L348" s="143" t="str">
        <f>IF(ISBLANK(DATA[[#This Row],[DISCHARGE DATE]]), "NO DATE", DATA[[#This Row],[DISCHARGE DATE]]-DATA[[#This Row],[ADMISSION DATE]]+1)</f>
        <v>NO DATE</v>
      </c>
      <c r="M348" s="148">
        <v>350</v>
      </c>
      <c r="N348" s="148"/>
      <c r="O348" s="149">
        <v>353</v>
      </c>
      <c r="P348" s="149"/>
      <c r="Q348" s="150" t="e">
        <f>IF(DATA[[#This Row],[TYPE]]="Normal", 13 * DATA[[#This Row],[STORAGE DAYS]], 20 * DATA[[#This Row],[STORAGE DAYS]])</f>
        <v>#VALUE!</v>
      </c>
      <c r="R348" s="150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389</v>
      </c>
    </row>
    <row r="349" spans="1:20" s="100" customFormat="1" ht="16.5" customHeight="1" x14ac:dyDescent="0.25">
      <c r="A349" s="142" t="s">
        <v>1859</v>
      </c>
      <c r="B349" s="143" t="s">
        <v>1860</v>
      </c>
      <c r="C349" s="143">
        <v>75</v>
      </c>
      <c r="D349" s="144" t="s">
        <v>5</v>
      </c>
      <c r="E349" s="144" t="s">
        <v>1861</v>
      </c>
      <c r="F349" s="163">
        <v>248112601</v>
      </c>
      <c r="G349" s="144" t="s">
        <v>27</v>
      </c>
      <c r="H349" s="146">
        <v>0.83333333333333337</v>
      </c>
      <c r="I349" s="144" t="s">
        <v>10</v>
      </c>
      <c r="J349" s="147">
        <v>46160</v>
      </c>
      <c r="K349" s="147"/>
      <c r="L349" s="143" t="str">
        <f>IF(ISBLANK(DATA[[#This Row],[DISCHARGE DATE]]), "NO DATE", DATA[[#This Row],[DISCHARGE DATE]]-DATA[[#This Row],[ADMISSION DATE]]+1)</f>
        <v>NO DATE</v>
      </c>
      <c r="M349" s="148">
        <v>350</v>
      </c>
      <c r="N349" s="148"/>
      <c r="O349" s="149">
        <v>354</v>
      </c>
      <c r="P349" s="149"/>
      <c r="Q349" s="150" t="e">
        <f>IF(DATA[[#This Row],[TYPE]]="Normal", 13 * DATA[[#This Row],[STORAGE DAYS]], 20 * DATA[[#This Row],[STORAGE DAYS]])</f>
        <v>#VALUE!</v>
      </c>
      <c r="R349" s="150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389</v>
      </c>
    </row>
    <row r="350" spans="1:20" s="100" customFormat="1" ht="16.5" customHeight="1" x14ac:dyDescent="0.25">
      <c r="A350" s="142" t="s">
        <v>1862</v>
      </c>
      <c r="B350" s="143" t="s">
        <v>1863</v>
      </c>
      <c r="C350" s="143">
        <v>38</v>
      </c>
      <c r="D350" s="144" t="s">
        <v>5</v>
      </c>
      <c r="E350" s="144" t="s">
        <v>1864</v>
      </c>
      <c r="F350" s="163">
        <v>243089765</v>
      </c>
      <c r="G350" s="144" t="s">
        <v>25</v>
      </c>
      <c r="H350" s="146">
        <v>0.91666666666666663</v>
      </c>
      <c r="I350" s="144" t="s">
        <v>10</v>
      </c>
      <c r="J350" s="147">
        <v>46162</v>
      </c>
      <c r="K350" s="147"/>
      <c r="L350" s="143" t="str">
        <f>IF(ISBLANK(DATA[[#This Row],[DISCHARGE DATE]]), "NO DATE", DATA[[#This Row],[DISCHARGE DATE]]-DATA[[#This Row],[ADMISSION DATE]]+1)</f>
        <v>NO DATE</v>
      </c>
      <c r="M350" s="148">
        <v>350</v>
      </c>
      <c r="N350" s="148"/>
      <c r="O350" s="149">
        <v>355</v>
      </c>
      <c r="P350" s="149"/>
      <c r="Q350" s="150" t="e">
        <f>IF(DATA[[#This Row],[TYPE]]="Normal", 13 * DATA[[#This Row],[STORAGE DAYS]], 20 * DATA[[#This Row],[STORAGE DAYS]])</f>
        <v>#VALUE!</v>
      </c>
      <c r="R350" s="150" t="e">
        <f>DATA[[#This Row],[COLDROOM FEE]]-DATA[[#This Row],[STORAGE FEE]]</f>
        <v>#VALUE!</v>
      </c>
      <c r="S350" s="98" t="str">
        <f>IF(ISBLANK(DATA[[#This Row],[COLDROOM RECEIPT]]),"IN CUSTODY","DISCHARGED")</f>
        <v>IN CUSTODY</v>
      </c>
      <c r="T350" s="25">
        <f>COUNTA(A:A)-2</f>
        <v>389</v>
      </c>
    </row>
    <row r="351" spans="1:20" s="26" customFormat="1" ht="16.5" customHeight="1" x14ac:dyDescent="0.25">
      <c r="A351" s="144" t="s">
        <v>1867</v>
      </c>
      <c r="B351" s="143" t="s">
        <v>1868</v>
      </c>
      <c r="C351" s="143">
        <v>54</v>
      </c>
      <c r="D351" s="144" t="s">
        <v>4</v>
      </c>
      <c r="E351" s="144" t="s">
        <v>1869</v>
      </c>
      <c r="F351" s="163" t="s">
        <v>1870</v>
      </c>
      <c r="G351" s="144" t="s">
        <v>25</v>
      </c>
      <c r="H351" s="146">
        <v>0.91666666666666663</v>
      </c>
      <c r="I351" s="144" t="s">
        <v>10</v>
      </c>
      <c r="J351" s="147">
        <v>46163</v>
      </c>
      <c r="K351" s="147">
        <v>46206</v>
      </c>
      <c r="L351" s="143">
        <f>IF(ISBLANK(DATA[[#This Row],[DISCHARGE DATE]]), "NO DATE", DATA[[#This Row],[DISCHARGE DATE]]-DATA[[#This Row],[ADMISSION DATE]]+1)</f>
        <v>44</v>
      </c>
      <c r="M351" s="148">
        <v>350</v>
      </c>
      <c r="N351" s="148">
        <v>572</v>
      </c>
      <c r="O351" s="149">
        <v>356</v>
      </c>
      <c r="P351" s="149">
        <v>328</v>
      </c>
      <c r="Q351" s="150">
        <f>IF(DATA[[#This Row],[TYPE]]="Normal", 13 * DATA[[#This Row],[STORAGE DAYS]], 20 * DATA[[#This Row],[STORAGE DAYS]])</f>
        <v>572</v>
      </c>
      <c r="R351" s="150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25">
      <c r="A352" s="144" t="s">
        <v>1871</v>
      </c>
      <c r="B352" s="143" t="s">
        <v>1872</v>
      </c>
      <c r="C352" s="143">
        <v>81</v>
      </c>
      <c r="D352" s="144" t="s">
        <v>5</v>
      </c>
      <c r="E352" s="144" t="s">
        <v>1873</v>
      </c>
      <c r="F352" s="163">
        <v>249314111</v>
      </c>
      <c r="G352" s="144" t="s">
        <v>27</v>
      </c>
      <c r="H352" s="146">
        <v>0.57291666666666663</v>
      </c>
      <c r="I352" s="144" t="s">
        <v>12</v>
      </c>
      <c r="J352" s="147">
        <v>46170</v>
      </c>
      <c r="K352" s="147">
        <v>46325</v>
      </c>
      <c r="L352" s="143">
        <f>IF(ISBLANK(DATA[[#This Row],[DISCHARGE DATE]]), "NO DATE", DATA[[#This Row],[DISCHARGE DATE]]-DATA[[#This Row],[ADMISSION DATE]]+1)</f>
        <v>156</v>
      </c>
      <c r="M352" s="148">
        <v>350</v>
      </c>
      <c r="N352" s="148"/>
      <c r="O352" s="149">
        <v>357</v>
      </c>
      <c r="P352" s="149"/>
      <c r="Q352" s="150">
        <f>IF(DATA[[#This Row],[TYPE]]="Normal", 13 * DATA[[#This Row],[STORAGE DAYS]], 20 * DATA[[#This Row],[STORAGE DAYS]])</f>
        <v>3120</v>
      </c>
      <c r="R352" s="150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26" customFormat="1" ht="16.5" customHeight="1" x14ac:dyDescent="0.25">
      <c r="A353" s="144" t="s">
        <v>1874</v>
      </c>
      <c r="B353" s="143" t="s">
        <v>1875</v>
      </c>
      <c r="C353" s="143">
        <v>70</v>
      </c>
      <c r="D353" s="144" t="s">
        <v>4</v>
      </c>
      <c r="E353" s="144" t="s">
        <v>1876</v>
      </c>
      <c r="F353" s="163">
        <v>265931820</v>
      </c>
      <c r="G353" s="144" t="s">
        <v>26</v>
      </c>
      <c r="H353" s="146">
        <v>0.34722222222222221</v>
      </c>
      <c r="I353" s="144" t="s">
        <v>10</v>
      </c>
      <c r="J353" s="147">
        <v>46171</v>
      </c>
      <c r="K353" s="147"/>
      <c r="L353" s="143" t="str">
        <f>IF(ISBLANK(DATA[[#This Row],[DISCHARGE DATE]]), "NO DATE", DATA[[#This Row],[DISCHARGE DATE]]-DATA[[#This Row],[ADMISSION DATE]]+1)</f>
        <v>NO DATE</v>
      </c>
      <c r="M353" s="148">
        <v>350</v>
      </c>
      <c r="N353" s="148"/>
      <c r="O353" s="149">
        <v>358</v>
      </c>
      <c r="P353" s="149"/>
      <c r="Q353" s="150" t="e">
        <f>IF(DATA[[#This Row],[TYPE]]="Normal", 13 * DATA[[#This Row],[STORAGE DAYS]], 20 * DATA[[#This Row],[STORAGE DAYS]])</f>
        <v>#VALUE!</v>
      </c>
      <c r="R353" s="150" t="e">
        <f>DATA[[#This Row],[COLDROOM FEE]]-DATA[[#This Row],[STORAGE FEE]]</f>
        <v>#VALUE!</v>
      </c>
      <c r="S353" s="98" t="str">
        <f>IF(ISBLANK(DATA[[#This Row],[COLDROOM RECEIPT]]),"IN CUSTODY","DISCHARGED")</f>
        <v>IN CUSTODY</v>
      </c>
      <c r="T353" s="24">
        <v>357</v>
      </c>
    </row>
    <row r="354" spans="1:20" s="26" customFormat="1" ht="16.5" customHeight="1" x14ac:dyDescent="0.25">
      <c r="A354" s="144" t="s">
        <v>1877</v>
      </c>
      <c r="B354" s="143" t="s">
        <v>1878</v>
      </c>
      <c r="C354" s="143">
        <v>59</v>
      </c>
      <c r="D354" s="144" t="s">
        <v>5</v>
      </c>
      <c r="E354" s="144" t="s">
        <v>1879</v>
      </c>
      <c r="F354" s="163">
        <v>243940350</v>
      </c>
      <c r="G354" s="144" t="s">
        <v>25</v>
      </c>
      <c r="H354" s="146">
        <v>0.60416666666666663</v>
      </c>
      <c r="I354" s="144" t="s">
        <v>12</v>
      </c>
      <c r="J354" s="147">
        <v>46171</v>
      </c>
      <c r="K354" s="147">
        <v>46262</v>
      </c>
      <c r="L354" s="143">
        <f>IF(ISBLANK(DATA[[#This Row],[DISCHARGE DATE]]), "NO DATE", DATA[[#This Row],[DISCHARGE DATE]]-DATA[[#This Row],[ADMISSION DATE]]+1)</f>
        <v>92</v>
      </c>
      <c r="M354" s="148">
        <v>350</v>
      </c>
      <c r="N354" s="148"/>
      <c r="O354" s="149">
        <v>359</v>
      </c>
      <c r="P354" s="149"/>
      <c r="Q354" s="150">
        <f>IF(DATA[[#This Row],[TYPE]]="Normal", 13 * DATA[[#This Row],[STORAGE DAYS]], 20 * DATA[[#This Row],[STORAGE DAYS]])</f>
        <v>1840</v>
      </c>
      <c r="R354" s="150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24">
        <v>357</v>
      </c>
    </row>
    <row r="355" spans="1:20" s="26" customFormat="1" ht="16.5" customHeight="1" x14ac:dyDescent="0.25">
      <c r="A355" s="144" t="s">
        <v>1880</v>
      </c>
      <c r="B355" s="143" t="s">
        <v>1881</v>
      </c>
      <c r="C355" s="143">
        <v>45</v>
      </c>
      <c r="D355" s="144" t="s">
        <v>4</v>
      </c>
      <c r="E355" s="144" t="s">
        <v>1882</v>
      </c>
      <c r="F355" s="163">
        <v>542362619</v>
      </c>
      <c r="G355" s="144" t="s">
        <v>25</v>
      </c>
      <c r="H355" s="146">
        <v>0.875</v>
      </c>
      <c r="I355" s="144" t="s">
        <v>12</v>
      </c>
      <c r="J355" s="147">
        <v>46172</v>
      </c>
      <c r="K355" s="147">
        <v>46325</v>
      </c>
      <c r="L355" s="143">
        <f>IF(ISBLANK(DATA[[#This Row],[DISCHARGE DATE]]), "NO DATE", DATA[[#This Row],[DISCHARGE DATE]]-DATA[[#This Row],[ADMISSION DATE]]+1)</f>
        <v>154</v>
      </c>
      <c r="M355" s="148">
        <v>350</v>
      </c>
      <c r="N355" s="148"/>
      <c r="O355" s="149">
        <v>360</v>
      </c>
      <c r="P355" s="149"/>
      <c r="Q355" s="150">
        <f>IF(DATA[[#This Row],[TYPE]]="Normal", 13 * DATA[[#This Row],[STORAGE DAYS]], 20 * DATA[[#This Row],[STORAGE DAYS]])</f>
        <v>3080</v>
      </c>
      <c r="R355" s="150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24">
        <v>357</v>
      </c>
    </row>
    <row r="356" spans="1:20" s="26" customFormat="1" ht="16.5" customHeight="1" x14ac:dyDescent="0.25">
      <c r="A356" s="144" t="s">
        <v>1866</v>
      </c>
      <c r="B356" s="143" t="s">
        <v>1883</v>
      </c>
      <c r="C356" s="143">
        <v>75</v>
      </c>
      <c r="D356" s="144" t="s">
        <v>5</v>
      </c>
      <c r="E356" s="144" t="s">
        <v>1884</v>
      </c>
      <c r="F356" s="163" t="s">
        <v>1885</v>
      </c>
      <c r="G356" s="144" t="s">
        <v>26</v>
      </c>
      <c r="H356" s="146">
        <v>0.46875</v>
      </c>
      <c r="I356" s="144" t="s">
        <v>12</v>
      </c>
      <c r="J356" s="147">
        <v>46175</v>
      </c>
      <c r="K356" s="147">
        <v>46353</v>
      </c>
      <c r="L356" s="143">
        <f>IF(ISBLANK(DATA[[#This Row],[DISCHARGE DATE]]), "NO DATE", DATA[[#This Row],[DISCHARGE DATE]]-DATA[[#This Row],[ADMISSION DATE]]+1)</f>
        <v>179</v>
      </c>
      <c r="M356" s="148">
        <v>350</v>
      </c>
      <c r="N356" s="148"/>
      <c r="O356" s="149">
        <v>361</v>
      </c>
      <c r="P356" s="149"/>
      <c r="Q356" s="150">
        <f>IF(DATA[[#This Row],[TYPE]]="Normal", 13 * DATA[[#This Row],[STORAGE DAYS]], 20 * DATA[[#This Row],[STORAGE DAYS]])</f>
        <v>3580</v>
      </c>
      <c r="R356" s="150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24">
        <v>357</v>
      </c>
    </row>
    <row r="357" spans="1:20" s="26" customFormat="1" ht="21" x14ac:dyDescent="0.25">
      <c r="A357" s="144" t="s">
        <v>1886</v>
      </c>
      <c r="B357" s="143" t="s">
        <v>1887</v>
      </c>
      <c r="C357" s="143">
        <v>85</v>
      </c>
      <c r="D357" s="144" t="s">
        <v>4</v>
      </c>
      <c r="E357" s="144" t="s">
        <v>632</v>
      </c>
      <c r="F357" s="163" t="s">
        <v>1888</v>
      </c>
      <c r="G357" s="144" t="s">
        <v>27</v>
      </c>
      <c r="H357" s="146">
        <v>0.29166666666666669</v>
      </c>
      <c r="I357" s="144" t="s">
        <v>10</v>
      </c>
      <c r="J357" s="147">
        <v>46175</v>
      </c>
      <c r="K357" s="147"/>
      <c r="L357" s="143" t="str">
        <f>IF(ISBLANK(DATA[[#This Row],[DISCHARGE DATE]]), "NO DATE", DATA[[#This Row],[DISCHARGE DATE]]-DATA[[#This Row],[ADMISSION DATE]]+1)</f>
        <v>NO DATE</v>
      </c>
      <c r="M357" s="148">
        <v>350</v>
      </c>
      <c r="N357" s="148"/>
      <c r="O357" s="149">
        <v>362</v>
      </c>
      <c r="P357" s="149"/>
      <c r="Q357" s="150" t="e">
        <f>IF(DATA[[#This Row],[TYPE]]="Normal", 13 * DATA[[#This Row],[STORAGE DAYS]], 20 * DATA[[#This Row],[STORAGE DAYS]])</f>
        <v>#VALUE!</v>
      </c>
      <c r="R357" s="150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24">
        <v>357</v>
      </c>
    </row>
    <row r="358" spans="1:20" s="26" customFormat="1" ht="21" x14ac:dyDescent="0.25">
      <c r="A358" s="144" t="s">
        <v>1889</v>
      </c>
      <c r="B358" s="143" t="s">
        <v>1890</v>
      </c>
      <c r="C358" s="143">
        <v>72</v>
      </c>
      <c r="D358" s="144" t="s">
        <v>5</v>
      </c>
      <c r="E358" s="144" t="s">
        <v>1891</v>
      </c>
      <c r="F358" s="163">
        <v>544788924</v>
      </c>
      <c r="G358" s="144" t="s">
        <v>27</v>
      </c>
      <c r="H358" s="146">
        <v>0.3972222222222222</v>
      </c>
      <c r="I358" s="144" t="s">
        <v>12</v>
      </c>
      <c r="J358" s="147">
        <v>46177</v>
      </c>
      <c r="K358" s="147"/>
      <c r="L358" s="143" t="str">
        <f>IF(ISBLANK(DATA[[#This Row],[DISCHARGE DATE]]), "NO DATE", DATA[[#This Row],[DISCHARGE DATE]]-DATA[[#This Row],[ADMISSION DATE]]+1)</f>
        <v>NO DATE</v>
      </c>
      <c r="M358" s="148">
        <v>350</v>
      </c>
      <c r="N358" s="148"/>
      <c r="O358" s="149">
        <v>363</v>
      </c>
      <c r="P358" s="149"/>
      <c r="Q358" s="150" t="e">
        <f>IF(DATA[[#This Row],[TYPE]]="Normal", 13 * DATA[[#This Row],[STORAGE DAYS]], 20 * DATA[[#This Row],[STORAGE DAYS]])</f>
        <v>#VALUE!</v>
      </c>
      <c r="R358" s="150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24">
        <v>357</v>
      </c>
    </row>
    <row r="359" spans="1:20" s="26" customFormat="1" ht="16.5" customHeight="1" x14ac:dyDescent="0.25">
      <c r="A359" s="142" t="s">
        <v>1892</v>
      </c>
      <c r="B359" s="143" t="s">
        <v>1893</v>
      </c>
      <c r="C359" s="143">
        <v>62</v>
      </c>
      <c r="D359" s="144" t="s">
        <v>4</v>
      </c>
      <c r="E359" s="144" t="s">
        <v>1894</v>
      </c>
      <c r="F359" s="145">
        <v>245168041</v>
      </c>
      <c r="G359" s="144" t="s">
        <v>27</v>
      </c>
      <c r="H359" s="146">
        <v>0.72222222222222221</v>
      </c>
      <c r="I359" s="144" t="s">
        <v>10</v>
      </c>
      <c r="J359" s="147">
        <v>46185</v>
      </c>
      <c r="K359" s="147"/>
      <c r="L359" s="143" t="str">
        <f>IF(ISBLANK(DATA[[#This Row],[DISCHARGE DATE]]), "NO DATE", DATA[[#This Row],[DISCHARGE DATE]]-DATA[[#This Row],[ADMISSION DATE]]+1)</f>
        <v>NO DATE</v>
      </c>
      <c r="M359" s="148">
        <v>350</v>
      </c>
      <c r="N359" s="148"/>
      <c r="O359" s="149">
        <v>364</v>
      </c>
      <c r="P359" s="149"/>
      <c r="Q359" s="150" t="e">
        <f>IF(DATA[[#This Row],[TYPE]]="Normal", 13 * DATA[[#This Row],[STORAGE DAYS]], 20 * DATA[[#This Row],[STORAGE DAYS]])</f>
        <v>#VALUE!</v>
      </c>
      <c r="R359" s="150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389</v>
      </c>
    </row>
    <row r="360" spans="1:20" s="26" customFormat="1" ht="16.5" customHeight="1" x14ac:dyDescent="0.25">
      <c r="A360" s="142" t="s">
        <v>1895</v>
      </c>
      <c r="B360" s="143" t="s">
        <v>1896</v>
      </c>
      <c r="C360" s="143">
        <v>54</v>
      </c>
      <c r="D360" s="144" t="s">
        <v>4</v>
      </c>
      <c r="E360" s="144" t="s">
        <v>1897</v>
      </c>
      <c r="F360" s="145">
        <v>244029038</v>
      </c>
      <c r="G360" s="144" t="s">
        <v>958</v>
      </c>
      <c r="H360" s="146">
        <v>0.45</v>
      </c>
      <c r="I360" s="144" t="s">
        <v>10</v>
      </c>
      <c r="J360" s="147">
        <v>46188</v>
      </c>
      <c r="K360" s="147"/>
      <c r="L360" s="143" t="str">
        <f>IF(ISBLANK(DATA[[#This Row],[DISCHARGE DATE]]), "NO DATE", DATA[[#This Row],[DISCHARGE DATE]]-DATA[[#This Row],[ADMISSION DATE]]+1)</f>
        <v>NO DATE</v>
      </c>
      <c r="M360" s="148">
        <v>350</v>
      </c>
      <c r="N360" s="148"/>
      <c r="O360" s="149">
        <v>365</v>
      </c>
      <c r="P360" s="149"/>
      <c r="Q360" s="150" t="e">
        <f>IF(DATA[[#This Row],[TYPE]]="Normal", 13 * DATA[[#This Row],[STORAGE DAYS]], 20 * DATA[[#This Row],[STORAGE DAYS]])</f>
        <v>#VALUE!</v>
      </c>
      <c r="R360" s="150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389</v>
      </c>
    </row>
    <row r="361" spans="1:20" s="26" customFormat="1" ht="16.5" customHeight="1" x14ac:dyDescent="0.25">
      <c r="A361" s="142" t="s">
        <v>1898</v>
      </c>
      <c r="B361" s="143" t="s">
        <v>1899</v>
      </c>
      <c r="C361" s="143">
        <v>53</v>
      </c>
      <c r="D361" s="144" t="s">
        <v>5</v>
      </c>
      <c r="E361" s="144" t="s">
        <v>1900</v>
      </c>
      <c r="F361" s="145">
        <v>542059788</v>
      </c>
      <c r="G361" s="144" t="s">
        <v>25</v>
      </c>
      <c r="H361" s="146">
        <v>0.5</v>
      </c>
      <c r="I361" s="144" t="s">
        <v>10</v>
      </c>
      <c r="J361" s="147">
        <v>46187</v>
      </c>
      <c r="K361" s="147">
        <v>46290</v>
      </c>
      <c r="L361" s="143">
        <f>IF(ISBLANK(DATA[[#This Row],[DISCHARGE DATE]]), "NO DATE", DATA[[#This Row],[DISCHARGE DATE]]-DATA[[#This Row],[ADMISSION DATE]]+1)</f>
        <v>104</v>
      </c>
      <c r="M361" s="148">
        <v>350</v>
      </c>
      <c r="N361" s="148"/>
      <c r="O361" s="149">
        <v>366</v>
      </c>
      <c r="P361" s="149"/>
      <c r="Q361" s="150">
        <f>IF(DATA[[#This Row],[TYPE]]="Normal", 13 * DATA[[#This Row],[STORAGE DAYS]], 20 * DATA[[#This Row],[STORAGE DAYS]])</f>
        <v>1352</v>
      </c>
      <c r="R361" s="150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389</v>
      </c>
    </row>
    <row r="362" spans="1:20" s="26" customFormat="1" ht="16.5" customHeight="1" x14ac:dyDescent="0.25">
      <c r="A362" s="142" t="s">
        <v>1901</v>
      </c>
      <c r="B362" s="143" t="s">
        <v>1902</v>
      </c>
      <c r="C362" s="143">
        <v>58</v>
      </c>
      <c r="D362" s="144" t="s">
        <v>5</v>
      </c>
      <c r="E362" s="144" t="s">
        <v>1903</v>
      </c>
      <c r="F362" s="145">
        <v>249518242</v>
      </c>
      <c r="G362" s="144" t="s">
        <v>26</v>
      </c>
      <c r="H362" s="146">
        <v>0.43333333333333335</v>
      </c>
      <c r="I362" s="144" t="s">
        <v>10</v>
      </c>
      <c r="J362" s="147">
        <v>46189</v>
      </c>
      <c r="K362" s="147">
        <v>46445</v>
      </c>
      <c r="L362" s="143">
        <f>IF(ISBLANK(DATA[[#This Row],[DISCHARGE DATE]]), "NO DATE", DATA[[#This Row],[DISCHARGE DATE]]-DATA[[#This Row],[ADMISSION DATE]]+1)</f>
        <v>257</v>
      </c>
      <c r="M362" s="148">
        <v>350</v>
      </c>
      <c r="N362" s="148"/>
      <c r="O362" s="149">
        <v>367</v>
      </c>
      <c r="P362" s="149"/>
      <c r="Q362" s="150">
        <f>IF(DATA[[#This Row],[TYPE]]="Normal", 13 * DATA[[#This Row],[STORAGE DAYS]], 20 * DATA[[#This Row],[STORAGE DAYS]])</f>
        <v>3341</v>
      </c>
      <c r="R362" s="150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389</v>
      </c>
    </row>
    <row r="363" spans="1:20" s="26" customFormat="1" ht="16.5" customHeight="1" x14ac:dyDescent="0.25">
      <c r="A363" s="142" t="s">
        <v>1904</v>
      </c>
      <c r="B363" s="143" t="s">
        <v>1905</v>
      </c>
      <c r="C363" s="143">
        <v>73</v>
      </c>
      <c r="D363" s="144" t="s">
        <v>5</v>
      </c>
      <c r="E363" s="144" t="s">
        <v>1906</v>
      </c>
      <c r="F363" s="145">
        <v>559447372</v>
      </c>
      <c r="G363" s="144" t="s">
        <v>27</v>
      </c>
      <c r="H363" s="146">
        <v>0.53263888888888888</v>
      </c>
      <c r="I363" s="147" t="s">
        <v>10</v>
      </c>
      <c r="J363" s="147">
        <v>46189</v>
      </c>
      <c r="K363" s="147">
        <v>46269</v>
      </c>
      <c r="L363" s="143">
        <f>IF(ISBLANK(DATA[[#This Row],[DISCHARGE DATE]]), "NO DATE", DATA[[#This Row],[DISCHARGE DATE]]-DATA[[#This Row],[ADMISSION DATE]]+1)</f>
        <v>81</v>
      </c>
      <c r="M363" s="148">
        <v>350</v>
      </c>
      <c r="N363" s="149"/>
      <c r="O363" s="149">
        <v>368</v>
      </c>
      <c r="P363" s="150"/>
      <c r="Q363" s="150">
        <f>IF(DATA[[#This Row],[TYPE]]="Normal", 13 * DATA[[#This Row],[STORAGE DAYS]], 20 * DATA[[#This Row],[STORAGE DAYS]])</f>
        <v>1053</v>
      </c>
      <c r="R363" s="150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389</v>
      </c>
    </row>
    <row r="364" spans="1:20" s="100" customFormat="1" ht="16.5" customHeight="1" x14ac:dyDescent="0.25">
      <c r="A364" s="142" t="s">
        <v>1907</v>
      </c>
      <c r="B364" s="143" t="s">
        <v>1133</v>
      </c>
      <c r="C364" s="143">
        <v>48</v>
      </c>
      <c r="D364" s="144" t="s">
        <v>4</v>
      </c>
      <c r="E364" s="144" t="s">
        <v>1088</v>
      </c>
      <c r="F364" s="145">
        <v>599498650</v>
      </c>
      <c r="G364" s="144" t="s">
        <v>25</v>
      </c>
      <c r="H364" s="146">
        <v>0.375</v>
      </c>
      <c r="I364" s="144" t="s">
        <v>10</v>
      </c>
      <c r="J364" s="147">
        <v>46192</v>
      </c>
      <c r="K364" s="147">
        <v>46297</v>
      </c>
      <c r="L364" s="143">
        <f>IF(ISBLANK(DATA[[#This Row],[DISCHARGE DATE]]), "NO DATE", DATA[[#This Row],[DISCHARGE DATE]]-DATA[[#This Row],[ADMISSION DATE]]+1)</f>
        <v>106</v>
      </c>
      <c r="M364" s="148">
        <v>350</v>
      </c>
      <c r="N364" s="148"/>
      <c r="O364" s="149">
        <v>359</v>
      </c>
      <c r="P364" s="149"/>
      <c r="Q364" s="150">
        <f>IF(DATA[[#This Row],[TYPE]]="Normal", 13 * DATA[[#This Row],[STORAGE DAYS]], 20 * DATA[[#This Row],[STORAGE DAYS]])</f>
        <v>1378</v>
      </c>
      <c r="R364" s="150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99">
        <v>367</v>
      </c>
    </row>
    <row r="365" spans="1:20" s="100" customFormat="1" ht="16.5" customHeight="1" x14ac:dyDescent="0.25">
      <c r="A365" s="142" t="s">
        <v>1908</v>
      </c>
      <c r="B365" s="143" t="s">
        <v>1909</v>
      </c>
      <c r="C365" s="143">
        <v>48</v>
      </c>
      <c r="D365" s="144" t="s">
        <v>5</v>
      </c>
      <c r="E365" s="144" t="s">
        <v>1853</v>
      </c>
      <c r="F365" s="145">
        <v>591492663</v>
      </c>
      <c r="G365" s="144" t="s">
        <v>1910</v>
      </c>
      <c r="H365" s="146">
        <v>0.41111111111111109</v>
      </c>
      <c r="I365" s="144" t="s">
        <v>10</v>
      </c>
      <c r="J365" s="147">
        <v>46195</v>
      </c>
      <c r="K365" s="147"/>
      <c r="L365" s="143" t="str">
        <f>IF(ISBLANK(DATA[[#This Row],[DISCHARGE DATE]]), "NO DATE", DATA[[#This Row],[DISCHARGE DATE]]-DATA[[#This Row],[ADMISSION DATE]]+1)</f>
        <v>NO DATE</v>
      </c>
      <c r="M365" s="148">
        <v>350</v>
      </c>
      <c r="N365" s="148"/>
      <c r="O365" s="149">
        <v>269</v>
      </c>
      <c r="P365" s="149"/>
      <c r="Q365" s="150" t="e">
        <f>IF(DATA[[#This Row],[TYPE]]="Normal", 13 * DATA[[#This Row],[STORAGE DAYS]], 20 * DATA[[#This Row],[STORAGE DAYS]])</f>
        <v>#VALUE!</v>
      </c>
      <c r="R365" s="150" t="e">
        <f>DATA[[#This Row],[COLDROOM FEE]]-DATA[[#This Row],[STORAGE FEE]]</f>
        <v>#VALUE!</v>
      </c>
      <c r="S365" s="98" t="str">
        <f>IF(ISBLANK(DATA[[#This Row],[COLDROOM RECEIPT]]),"IN CUSTODY","DISCHARGED")</f>
        <v>IN CUSTODY</v>
      </c>
      <c r="T365" s="99">
        <v>367</v>
      </c>
    </row>
    <row r="366" spans="1:20" s="100" customFormat="1" ht="16.5" customHeight="1" x14ac:dyDescent="0.25">
      <c r="A366" s="142" t="s">
        <v>1911</v>
      </c>
      <c r="B366" s="143" t="s">
        <v>1912</v>
      </c>
      <c r="C366" s="143">
        <v>69</v>
      </c>
      <c r="D366" s="144" t="s">
        <v>4</v>
      </c>
      <c r="E366" s="144" t="s">
        <v>375</v>
      </c>
      <c r="F366" s="145">
        <v>249088103</v>
      </c>
      <c r="G366" s="144" t="s">
        <v>25</v>
      </c>
      <c r="H366" s="146">
        <v>0.4152777777777778</v>
      </c>
      <c r="I366" s="144" t="s">
        <v>12</v>
      </c>
      <c r="J366" s="147">
        <v>46195</v>
      </c>
      <c r="K366" s="147"/>
      <c r="L366" s="143" t="str">
        <f>IF(ISBLANK(DATA[[#This Row],[DISCHARGE DATE]]), "NO DATE", DATA[[#This Row],[DISCHARGE DATE]]-DATA[[#This Row],[ADMISSION DATE]]+1)</f>
        <v>NO DATE</v>
      </c>
      <c r="M366" s="148">
        <v>350</v>
      </c>
      <c r="N366" s="148"/>
      <c r="O366" s="149">
        <v>360</v>
      </c>
      <c r="P366" s="149"/>
      <c r="Q366" s="150" t="e">
        <f>IF(DATA[[#This Row],[TYPE]]="Normal", 13 * DATA[[#This Row],[STORAGE DAYS]], 20 * DATA[[#This Row],[STORAGE DAYS]])</f>
        <v>#VALUE!</v>
      </c>
      <c r="R366" s="150" t="e">
        <f>DATA[[#This Row],[COLDROOM FEE]]-DATA[[#This Row],[STORAGE FEE]]</f>
        <v>#VALUE!</v>
      </c>
      <c r="S366" s="98" t="str">
        <f>IF(ISBLANK(DATA[[#This Row],[COLDROOM RECEIPT]]),"IN CUSTODY","DISCHARGED")</f>
        <v>IN CUSTODY</v>
      </c>
      <c r="T366" s="99">
        <v>367</v>
      </c>
    </row>
    <row r="367" spans="1:20" s="100" customFormat="1" ht="16.5" customHeight="1" x14ac:dyDescent="0.25">
      <c r="A367" s="142" t="s">
        <v>1913</v>
      </c>
      <c r="B367" s="143" t="s">
        <v>1914</v>
      </c>
      <c r="C367" s="143">
        <v>95</v>
      </c>
      <c r="D367" s="144" t="s">
        <v>4</v>
      </c>
      <c r="E367" s="144" t="s">
        <v>1915</v>
      </c>
      <c r="F367" s="145">
        <v>541881395</v>
      </c>
      <c r="G367" s="144" t="s">
        <v>27</v>
      </c>
      <c r="H367" s="146">
        <v>0.4201388888888889</v>
      </c>
      <c r="I367" s="144" t="s">
        <v>10</v>
      </c>
      <c r="J367" s="147">
        <v>46193</v>
      </c>
      <c r="K367" s="147"/>
      <c r="L367" s="143" t="str">
        <f>IF(ISBLANK(DATA[[#This Row],[DISCHARGE DATE]]), "NO DATE", DATA[[#This Row],[DISCHARGE DATE]]-DATA[[#This Row],[ADMISSION DATE]]+1)</f>
        <v>NO DATE</v>
      </c>
      <c r="M367" s="148">
        <v>350</v>
      </c>
      <c r="N367" s="148"/>
      <c r="O367" s="149">
        <v>371</v>
      </c>
      <c r="P367" s="149"/>
      <c r="Q367" s="150" t="e">
        <f>IF(DATA[[#This Row],[TYPE]]="Normal", 13 * DATA[[#This Row],[STORAGE DAYS]], 20 * DATA[[#This Row],[STORAGE DAYS]])</f>
        <v>#VALUE!</v>
      </c>
      <c r="R367" s="150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99">
        <v>367</v>
      </c>
    </row>
    <row r="368" spans="1:20" s="100" customFormat="1" ht="16.5" customHeight="1" x14ac:dyDescent="0.25">
      <c r="A368" s="142" t="s">
        <v>1916</v>
      </c>
      <c r="B368" s="143" t="s">
        <v>1917</v>
      </c>
      <c r="C368" s="143">
        <v>55</v>
      </c>
      <c r="D368" s="144" t="s">
        <v>4</v>
      </c>
      <c r="E368" s="144" t="s">
        <v>60</v>
      </c>
      <c r="F368" s="145">
        <v>241185137</v>
      </c>
      <c r="G368" s="144" t="s">
        <v>1918</v>
      </c>
      <c r="H368" s="146">
        <v>0.42222222222222222</v>
      </c>
      <c r="I368" s="144" t="s">
        <v>12</v>
      </c>
      <c r="J368" s="147">
        <v>46195</v>
      </c>
      <c r="K368" s="147"/>
      <c r="L368" s="143" t="str">
        <f>IF(ISBLANK(DATA[[#This Row],[DISCHARGE DATE]]), "NO DATE", DATA[[#This Row],[DISCHARGE DATE]]-DATA[[#This Row],[ADMISSION DATE]]+1)</f>
        <v>NO DATE</v>
      </c>
      <c r="M368" s="148">
        <v>350</v>
      </c>
      <c r="N368" s="148"/>
      <c r="O368" s="149">
        <v>372</v>
      </c>
      <c r="P368" s="149"/>
      <c r="Q368" s="150" t="e">
        <f>IF(DATA[[#This Row],[TYPE]]="Normal", 13 * DATA[[#This Row],[STORAGE DAYS]], 20 * DATA[[#This Row],[STORAGE DAYS]])</f>
        <v>#VALUE!</v>
      </c>
      <c r="R368" s="150" t="e">
        <f>DATA[[#This Row],[COLDROOM FEE]]-DATA[[#This Row],[STORAGE FEE]]</f>
        <v>#VALUE!</v>
      </c>
      <c r="S368" s="98" t="str">
        <f>IF(ISBLANK(DATA[[#This Row],[COLDROOM RECEIPT]]),"IN CUSTODY","DISCHARGED")</f>
        <v>IN CUSTODY</v>
      </c>
      <c r="T368" s="99">
        <v>367</v>
      </c>
    </row>
    <row r="369" spans="1:20" s="100" customFormat="1" ht="16.5" customHeight="1" x14ac:dyDescent="0.25">
      <c r="A369" s="142" t="s">
        <v>1925</v>
      </c>
      <c r="B369" s="143" t="s">
        <v>1926</v>
      </c>
      <c r="C369" s="143">
        <v>66</v>
      </c>
      <c r="D369" s="144" t="s">
        <v>5</v>
      </c>
      <c r="E369" s="144" t="s">
        <v>1927</v>
      </c>
      <c r="F369" s="145">
        <v>533468634</v>
      </c>
      <c r="G369" s="144" t="s">
        <v>25</v>
      </c>
      <c r="H369" s="146">
        <v>0.95833333333333337</v>
      </c>
      <c r="I369" s="144" t="s">
        <v>12</v>
      </c>
      <c r="J369" s="147">
        <v>46200</v>
      </c>
      <c r="K369" s="147"/>
      <c r="L369" s="143" t="str">
        <f>IF(ISBLANK(DATA[[#This Row],[DISCHARGE DATE]]), "NO DATE", DATA[[#This Row],[DISCHARGE DATE]]-DATA[[#This Row],[ADMISSION DATE]]+1)</f>
        <v>NO DATE</v>
      </c>
      <c r="M369" s="148">
        <v>350</v>
      </c>
      <c r="N369" s="148"/>
      <c r="O369" s="149">
        <v>374</v>
      </c>
      <c r="P369" s="149"/>
      <c r="Q369" s="150" t="e">
        <f>IF(DATA[[#This Row],[TYPE]]="Normal", 13 * DATA[[#This Row],[STORAGE DAYS]], 20 * DATA[[#This Row],[STORAGE DAYS]])</f>
        <v>#VALUE!</v>
      </c>
      <c r="R369" s="150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25">
        <f>COUNTA(A:A)-2</f>
        <v>389</v>
      </c>
    </row>
    <row r="370" spans="1:20" s="100" customFormat="1" ht="16.5" customHeight="1" x14ac:dyDescent="0.25">
      <c r="A370" s="142" t="s">
        <v>1922</v>
      </c>
      <c r="B370" s="143" t="s">
        <v>1923</v>
      </c>
      <c r="C370" s="143">
        <v>30</v>
      </c>
      <c r="D370" s="144" t="s">
        <v>4</v>
      </c>
      <c r="E370" s="144" t="s">
        <v>1924</v>
      </c>
      <c r="F370" s="145">
        <v>248085327</v>
      </c>
      <c r="G370" s="144" t="s">
        <v>27</v>
      </c>
      <c r="H370" s="146">
        <v>0.60416666666666663</v>
      </c>
      <c r="I370" s="144" t="s">
        <v>12</v>
      </c>
      <c r="J370" s="147">
        <v>46201</v>
      </c>
      <c r="K370" s="147">
        <v>46269</v>
      </c>
      <c r="L370" s="143">
        <f>IF(ISBLANK(DATA[[#This Row],[DISCHARGE DATE]]), "NO DATE", DATA[[#This Row],[DISCHARGE DATE]]-DATA[[#This Row],[ADMISSION DATE]]+1)</f>
        <v>69</v>
      </c>
      <c r="M370" s="148">
        <v>350</v>
      </c>
      <c r="N370" s="148">
        <v>1380</v>
      </c>
      <c r="O370" s="149">
        <v>375</v>
      </c>
      <c r="P370" s="149">
        <v>335</v>
      </c>
      <c r="Q370" s="150">
        <f>IF(DATA[[#This Row],[TYPE]]="Normal", 13 * DATA[[#This Row],[STORAGE DAYS]], 20 * DATA[[#This Row],[STORAGE DAYS]])</f>
        <v>1380</v>
      </c>
      <c r="R370" s="150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25">
        <f>COUNTA(A:A)-2</f>
        <v>389</v>
      </c>
    </row>
    <row r="371" spans="1:20" s="100" customFormat="1" ht="16.5" customHeight="1" x14ac:dyDescent="0.25">
      <c r="A371" s="142" t="s">
        <v>1928</v>
      </c>
      <c r="B371" s="143" t="s">
        <v>1929</v>
      </c>
      <c r="C371" s="143">
        <v>63</v>
      </c>
      <c r="D371" s="144" t="s">
        <v>5</v>
      </c>
      <c r="E371" s="144" t="s">
        <v>1930</v>
      </c>
      <c r="F371" s="145">
        <v>545025693</v>
      </c>
      <c r="G371" s="144" t="s">
        <v>27</v>
      </c>
      <c r="H371" s="146">
        <v>0.72916666666666663</v>
      </c>
      <c r="I371" s="144" t="s">
        <v>10</v>
      </c>
      <c r="J371" s="147">
        <v>46202</v>
      </c>
      <c r="K371" s="147">
        <v>46269</v>
      </c>
      <c r="L371" s="143">
        <f>IF(ISBLANK(DATA[[#This Row],[DISCHARGE DATE]]), "NO DATE", DATA[[#This Row],[DISCHARGE DATE]]-DATA[[#This Row],[ADMISSION DATE]]+1)</f>
        <v>68</v>
      </c>
      <c r="M371" s="148">
        <v>350</v>
      </c>
      <c r="N371" s="148">
        <v>884</v>
      </c>
      <c r="O371" s="149">
        <v>376</v>
      </c>
      <c r="P371" s="149">
        <v>331</v>
      </c>
      <c r="Q371" s="150">
        <f>IF(DATA[[#This Row],[TYPE]]="Normal", 13 * DATA[[#This Row],[STORAGE DAYS]], 20 * DATA[[#This Row],[STORAGE DAYS]])</f>
        <v>884</v>
      </c>
      <c r="R371" s="150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25">
        <f>COUNTA(A:A)-2</f>
        <v>389</v>
      </c>
    </row>
    <row r="372" spans="1:20" s="100" customFormat="1" ht="16.5" customHeight="1" x14ac:dyDescent="0.25">
      <c r="A372" s="142" t="s">
        <v>1931</v>
      </c>
      <c r="B372" s="143" t="s">
        <v>1932</v>
      </c>
      <c r="C372" s="143">
        <v>49</v>
      </c>
      <c r="D372" s="144" t="s">
        <v>4</v>
      </c>
      <c r="E372" s="144" t="s">
        <v>1933</v>
      </c>
      <c r="F372" s="145">
        <v>247040899</v>
      </c>
      <c r="G372" s="144" t="s">
        <v>27</v>
      </c>
      <c r="H372" s="146">
        <v>0.625</v>
      </c>
      <c r="I372" s="144" t="s">
        <v>12</v>
      </c>
      <c r="J372" s="147">
        <v>46204</v>
      </c>
      <c r="K372" s="147"/>
      <c r="L372" s="143" t="str">
        <f>IF(ISBLANK(DATA[[#This Row],[DISCHARGE DATE]]), "NO DATE", DATA[[#This Row],[DISCHARGE DATE]]-DATA[[#This Row],[ADMISSION DATE]]+1)</f>
        <v>NO DATE</v>
      </c>
      <c r="M372" s="148">
        <v>350</v>
      </c>
      <c r="N372" s="148"/>
      <c r="O372" s="149">
        <v>377</v>
      </c>
      <c r="P372" s="149"/>
      <c r="Q372" s="150" t="e">
        <f>IF(DATA[[#This Row],[TYPE]]="Normal", 13 * DATA[[#This Row],[STORAGE DAYS]], 20 * DATA[[#This Row],[STORAGE DAYS]])</f>
        <v>#VALUE!</v>
      </c>
      <c r="R372" s="150" t="e">
        <f>DATA[[#This Row],[COLDROOM FEE]]-DATA[[#This Row],[STORAGE FEE]]</f>
        <v>#VALUE!</v>
      </c>
      <c r="S372" s="98" t="str">
        <f>IF(ISBLANK(DATA[[#This Row],[COLDROOM RECEIPT]]),"IN CUSTODY","DISCHARGED")</f>
        <v>IN CUSTODY</v>
      </c>
      <c r="T372" s="25">
        <f>COUNTA(A:A)-2</f>
        <v>389</v>
      </c>
    </row>
    <row r="373" spans="1:20" s="100" customFormat="1" ht="16.5" customHeight="1" x14ac:dyDescent="0.25">
      <c r="A373" s="142" t="s">
        <v>1934</v>
      </c>
      <c r="B373" s="143" t="s">
        <v>1935</v>
      </c>
      <c r="C373" s="143">
        <v>67</v>
      </c>
      <c r="D373" s="144" t="s">
        <v>5</v>
      </c>
      <c r="E373" s="144" t="s">
        <v>1472</v>
      </c>
      <c r="F373" s="145">
        <v>541712845</v>
      </c>
      <c r="G373" s="144" t="s">
        <v>18</v>
      </c>
      <c r="H373" s="146">
        <v>0.52083333333333337</v>
      </c>
      <c r="I373" s="144" t="s">
        <v>12</v>
      </c>
      <c r="J373" s="147">
        <v>46205</v>
      </c>
      <c r="K373" s="147"/>
      <c r="L373" s="143" t="str">
        <f>IF(ISBLANK(DATA[[#This Row],[DISCHARGE DATE]]), "NO DATE", DATA[[#This Row],[DISCHARGE DATE]]-DATA[[#This Row],[ADMISSION DATE]]+1)</f>
        <v>NO DATE</v>
      </c>
      <c r="M373" s="148">
        <v>350</v>
      </c>
      <c r="N373" s="148"/>
      <c r="O373" s="149">
        <v>378</v>
      </c>
      <c r="P373" s="149"/>
      <c r="Q373" s="150" t="e">
        <f>IF(DATA[[#This Row],[TYPE]]="Normal", 13 * DATA[[#This Row],[STORAGE DAYS]], 20 * DATA[[#This Row],[STORAGE DAYS]])</f>
        <v>#VALUE!</v>
      </c>
      <c r="R373" s="150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25">
        <f>COUNTA(A:A)-2</f>
        <v>389</v>
      </c>
    </row>
    <row r="374" spans="1:20" s="100" customFormat="1" ht="16.5" customHeight="1" x14ac:dyDescent="0.25">
      <c r="A374" s="142" t="s">
        <v>1936</v>
      </c>
      <c r="B374" s="143" t="s">
        <v>1937</v>
      </c>
      <c r="C374" s="143">
        <v>34</v>
      </c>
      <c r="D374" s="144" t="s">
        <v>5</v>
      </c>
      <c r="E374" s="144" t="s">
        <v>1938</v>
      </c>
      <c r="F374" s="145">
        <v>538388483</v>
      </c>
      <c r="G374" s="144" t="s">
        <v>19</v>
      </c>
      <c r="H374" s="146">
        <v>0.54166666666666663</v>
      </c>
      <c r="I374" s="144" t="s">
        <v>12</v>
      </c>
      <c r="J374" s="147">
        <v>46205</v>
      </c>
      <c r="K374" s="147">
        <v>46210</v>
      </c>
      <c r="L374" s="143">
        <f>IF(ISBLANK(DATA[[#This Row],[DISCHARGE DATE]]), "NO DATE", DATA[[#This Row],[DISCHARGE DATE]]-DATA[[#This Row],[ADMISSION DATE]]+1)</f>
        <v>6</v>
      </c>
      <c r="M374" s="148">
        <v>350</v>
      </c>
      <c r="N374" s="148">
        <v>120</v>
      </c>
      <c r="O374" s="149">
        <v>379</v>
      </c>
      <c r="P374" s="149">
        <v>332</v>
      </c>
      <c r="Q374" s="150">
        <f>IF(DATA[[#This Row],[TYPE]]="Normal", 13 * DATA[[#This Row],[STORAGE DAYS]], 20 * DATA[[#This Row],[STORAGE DAYS]])</f>
        <v>120</v>
      </c>
      <c r="R374" s="150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25">
        <f>COUNTA(A:A)-2</f>
        <v>389</v>
      </c>
    </row>
    <row r="375" spans="1:20" s="100" customFormat="1" ht="16.5" customHeight="1" x14ac:dyDescent="0.25">
      <c r="A375" s="142" t="s">
        <v>1939</v>
      </c>
      <c r="B375" s="143" t="s">
        <v>1940</v>
      </c>
      <c r="C375" s="143">
        <v>53</v>
      </c>
      <c r="D375" s="144" t="s">
        <v>4</v>
      </c>
      <c r="E375" s="144" t="s">
        <v>1941</v>
      </c>
      <c r="F375" s="145">
        <v>543262468</v>
      </c>
      <c r="G375" s="144" t="s">
        <v>26</v>
      </c>
      <c r="H375" s="146">
        <v>0.69444444444444442</v>
      </c>
      <c r="I375" s="144" t="s">
        <v>10</v>
      </c>
      <c r="J375" s="147">
        <v>46210</v>
      </c>
      <c r="K375" s="147"/>
      <c r="L375" s="143" t="str">
        <f>IF(ISBLANK(DATA[[#This Row],[DISCHARGE DATE]]), "NO DATE", DATA[[#This Row],[DISCHARGE DATE]]-DATA[[#This Row],[ADMISSION DATE]]+1)</f>
        <v>NO DATE</v>
      </c>
      <c r="M375" s="148">
        <v>350</v>
      </c>
      <c r="N375" s="148"/>
      <c r="O375" s="149">
        <v>380</v>
      </c>
      <c r="P375" s="149"/>
      <c r="Q375" s="150" t="e">
        <f>IF(DATA[[#This Row],[TYPE]]="Normal", 13 * DATA[[#This Row],[STORAGE DAYS]], 20 * DATA[[#This Row],[STORAGE DAYS]])</f>
        <v>#VALUE!</v>
      </c>
      <c r="R375" s="150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25">
        <f>COUNTA(A:A)-2</f>
        <v>389</v>
      </c>
    </row>
    <row r="376" spans="1:20" s="100" customFormat="1" ht="16.5" customHeight="1" x14ac:dyDescent="0.25">
      <c r="A376" s="142" t="s">
        <v>1942</v>
      </c>
      <c r="B376" s="143" t="s">
        <v>1943</v>
      </c>
      <c r="C376" s="143">
        <v>34</v>
      </c>
      <c r="D376" s="144" t="s">
        <v>5</v>
      </c>
      <c r="E376" s="144" t="s">
        <v>1944</v>
      </c>
      <c r="F376" s="145">
        <v>241866637</v>
      </c>
      <c r="G376" s="144" t="s">
        <v>27</v>
      </c>
      <c r="H376" s="146">
        <v>0.6875</v>
      </c>
      <c r="I376" s="144" t="s">
        <v>12</v>
      </c>
      <c r="J376" s="147">
        <v>46212</v>
      </c>
      <c r="K376" s="147">
        <v>46241</v>
      </c>
      <c r="L376" s="143">
        <f>IF(ISBLANK(DATA[[#This Row],[DISCHARGE DATE]]), "NO DATE", DATA[[#This Row],[DISCHARGE DATE]]-DATA[[#This Row],[ADMISSION DATE]]+1)</f>
        <v>30</v>
      </c>
      <c r="M376" s="148">
        <v>350</v>
      </c>
      <c r="N376" s="148"/>
      <c r="O376" s="149">
        <v>381</v>
      </c>
      <c r="P376" s="149"/>
      <c r="Q376" s="150">
        <f>IF(DATA[[#This Row],[TYPE]]="Normal", 13 * DATA[[#This Row],[STORAGE DAYS]], 20 * DATA[[#This Row],[STORAGE DAYS]])</f>
        <v>600</v>
      </c>
      <c r="R376" s="150">
        <f>DATA[[#This Row],[COLDROOM FEE]]-DATA[[#This Row],[STORAGE FEE]]</f>
        <v>-600</v>
      </c>
      <c r="S376" s="98" t="str">
        <f>IF(ISBLANK(DATA[[#This Row],[COLDROOM RECEIPT]]),"IN CUSTODY","DISCHARGED")</f>
        <v>IN CUSTODY</v>
      </c>
      <c r="T376" s="25">
        <f>COUNTA(A:A)-2</f>
        <v>389</v>
      </c>
    </row>
    <row r="377" spans="1:20" s="100" customFormat="1" ht="16.5" customHeight="1" x14ac:dyDescent="0.25">
      <c r="A377" s="142" t="s">
        <v>1946</v>
      </c>
      <c r="B377" s="143" t="s">
        <v>1947</v>
      </c>
      <c r="C377" s="143">
        <v>62</v>
      </c>
      <c r="D377" s="144" t="s">
        <v>5</v>
      </c>
      <c r="E377" s="144" t="s">
        <v>1948</v>
      </c>
      <c r="F377" s="145">
        <v>593919641</v>
      </c>
      <c r="G377" s="144" t="s">
        <v>26</v>
      </c>
      <c r="H377" s="146">
        <v>0.64583333333333337</v>
      </c>
      <c r="I377" s="144" t="s">
        <v>10</v>
      </c>
      <c r="J377" s="147">
        <v>46213</v>
      </c>
      <c r="K377" s="147"/>
      <c r="L377" s="143" t="str">
        <f>IF(ISBLANK(DATA[[#This Row],[DISCHARGE DATE]]), "NO DATE", DATA[[#This Row],[DISCHARGE DATE]]-DATA[[#This Row],[ADMISSION DATE]]+1)</f>
        <v>NO DATE</v>
      </c>
      <c r="M377" s="148">
        <v>350</v>
      </c>
      <c r="N377" s="148"/>
      <c r="O377" s="149">
        <v>382</v>
      </c>
      <c r="P377" s="149"/>
      <c r="Q377" s="150" t="e">
        <f>IF(DATA[[#This Row],[TYPE]]="Normal", 13 * DATA[[#This Row],[STORAGE DAYS]], 20 * DATA[[#This Row],[STORAGE DAYS]])</f>
        <v>#VALUE!</v>
      </c>
      <c r="R377" s="150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25">
        <f>COUNTA(A:A)-2</f>
        <v>389</v>
      </c>
    </row>
    <row r="378" spans="1:20" s="100" customFormat="1" ht="16.5" customHeight="1" x14ac:dyDescent="0.25">
      <c r="A378" s="142" t="s">
        <v>1949</v>
      </c>
      <c r="B378" s="143" t="s">
        <v>1950</v>
      </c>
      <c r="C378" s="143">
        <v>65</v>
      </c>
      <c r="D378" s="144" t="s">
        <v>5</v>
      </c>
      <c r="E378" s="144" t="s">
        <v>1951</v>
      </c>
      <c r="F378" s="145">
        <v>245262585</v>
      </c>
      <c r="G378" s="144" t="s">
        <v>24</v>
      </c>
      <c r="H378" s="146">
        <v>0.57638888888888884</v>
      </c>
      <c r="I378" s="144" t="s">
        <v>10</v>
      </c>
      <c r="J378" s="147">
        <v>46216</v>
      </c>
      <c r="K378" s="147"/>
      <c r="L378" s="143" t="str">
        <f>IF(ISBLANK(DATA[[#This Row],[DISCHARGE DATE]]), "NO DATE", DATA[[#This Row],[DISCHARGE DATE]]-DATA[[#This Row],[ADMISSION DATE]]+1)</f>
        <v>NO DATE</v>
      </c>
      <c r="M378" s="148">
        <v>350</v>
      </c>
      <c r="N378" s="148"/>
      <c r="O378" s="149">
        <v>383</v>
      </c>
      <c r="P378" s="149"/>
      <c r="Q378" s="150" t="e">
        <f>IF(DATA[[#This Row],[TYPE]]="Normal", 13 * DATA[[#This Row],[STORAGE DAYS]], 20 * DATA[[#This Row],[STORAGE DAYS]])</f>
        <v>#VALUE!</v>
      </c>
      <c r="R378" s="150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25">
        <f>COUNTA(A:A)-2</f>
        <v>389</v>
      </c>
    </row>
    <row r="379" spans="1:20" s="100" customFormat="1" ht="16.5" customHeight="1" x14ac:dyDescent="0.25">
      <c r="A379" s="142" t="s">
        <v>1952</v>
      </c>
      <c r="B379" s="143" t="s">
        <v>1953</v>
      </c>
      <c r="C379" s="143">
        <v>87</v>
      </c>
      <c r="D379" s="144" t="s">
        <v>4</v>
      </c>
      <c r="E379" s="144" t="s">
        <v>1954</v>
      </c>
      <c r="F379" s="145">
        <v>241868763</v>
      </c>
      <c r="G379" s="144" t="s">
        <v>27</v>
      </c>
      <c r="H379" s="146">
        <v>0.66666666666666663</v>
      </c>
      <c r="I379" s="144" t="s">
        <v>10</v>
      </c>
      <c r="J379" s="147">
        <v>46217</v>
      </c>
      <c r="K379" s="147"/>
      <c r="L379" s="143" t="str">
        <f>IF(ISBLANK(DATA[[#This Row],[DISCHARGE DATE]]), "NO DATE", DATA[[#This Row],[DISCHARGE DATE]]-DATA[[#This Row],[ADMISSION DATE]]+1)</f>
        <v>NO DATE</v>
      </c>
      <c r="M379" s="148">
        <v>350</v>
      </c>
      <c r="N379" s="148"/>
      <c r="O379" s="149">
        <v>384</v>
      </c>
      <c r="P379" s="149"/>
      <c r="Q379" s="150" t="e">
        <f>IF(DATA[[#This Row],[TYPE]]="Normal", 13 * DATA[[#This Row],[STORAGE DAYS]], 20 * DATA[[#This Row],[STORAGE DAYS]])</f>
        <v>#VALUE!</v>
      </c>
      <c r="R379" s="150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25">
        <f>COUNTA(A:A)-2</f>
        <v>389</v>
      </c>
    </row>
    <row r="380" spans="1:20" s="100" customFormat="1" ht="16.5" customHeight="1" x14ac:dyDescent="0.25">
      <c r="A380" s="142" t="s">
        <v>1966</v>
      </c>
      <c r="B380" s="143" t="s">
        <v>1967</v>
      </c>
      <c r="C380" s="143">
        <v>53</v>
      </c>
      <c r="D380" s="144" t="s">
        <v>5</v>
      </c>
      <c r="E380" s="144" t="s">
        <v>1968</v>
      </c>
      <c r="F380" s="145">
        <v>246575341</v>
      </c>
      <c r="G380" s="144" t="s">
        <v>27</v>
      </c>
      <c r="H380" s="146">
        <v>0.97916666666666663</v>
      </c>
      <c r="I380" s="144" t="s">
        <v>10</v>
      </c>
      <c r="J380" s="147">
        <v>46222</v>
      </c>
      <c r="K380" s="147"/>
      <c r="L380" s="143" t="str">
        <f>IF(ISBLANK(DATA[[#This Row],[DISCHARGE DATE]]), "NO DATE", DATA[[#This Row],[DISCHARGE DATE]]-DATA[[#This Row],[ADMISSION DATE]]+1)</f>
        <v>NO DATE</v>
      </c>
      <c r="M380" s="148">
        <v>350</v>
      </c>
      <c r="N380" s="148"/>
      <c r="O380" s="149">
        <v>385</v>
      </c>
      <c r="P380" s="149"/>
      <c r="Q380" s="150" t="e">
        <f>IF(DATA[[#This Row],[TYPE]]="Normal", 13 * DATA[[#This Row],[STORAGE DAYS]], 20 * DATA[[#This Row],[STORAGE DAYS]])</f>
        <v>#VALUE!</v>
      </c>
      <c r="R380" s="150" t="e">
        <f>DATA[[#This Row],[COLDROOM FEE]]-DATA[[#This Row],[STORAGE FEE]]</f>
        <v>#VALUE!</v>
      </c>
      <c r="S380" s="98" t="str">
        <f>IF(ISBLANK(DATA[[#This Row],[COLDROOM RECEIPT]]),"IN CUSTODY","DISCHARGED")</f>
        <v>IN CUSTODY</v>
      </c>
      <c r="T380" s="25">
        <f>COUNTA(A:A)-2</f>
        <v>389</v>
      </c>
    </row>
    <row r="381" spans="1:20" s="100" customFormat="1" ht="16.5" customHeight="1" x14ac:dyDescent="0.25">
      <c r="A381" s="142" t="s">
        <v>1969</v>
      </c>
      <c r="B381" s="143" t="s">
        <v>1970</v>
      </c>
      <c r="C381" s="143">
        <v>90</v>
      </c>
      <c r="D381" s="144" t="s">
        <v>4</v>
      </c>
      <c r="E381" s="144" t="s">
        <v>1971</v>
      </c>
      <c r="F381" s="145">
        <v>248279286</v>
      </c>
      <c r="G381" s="144" t="s">
        <v>25</v>
      </c>
      <c r="H381" s="146">
        <v>0.375</v>
      </c>
      <c r="I381" s="144" t="s">
        <v>12</v>
      </c>
      <c r="J381" s="147">
        <v>46224</v>
      </c>
      <c r="K381" s="147"/>
      <c r="L381" s="143" t="str">
        <f>IF(ISBLANK(DATA[[#This Row],[DISCHARGE DATE]]), "NO DATE", DATA[[#This Row],[DISCHARGE DATE]]-DATA[[#This Row],[ADMISSION DATE]]+1)</f>
        <v>NO DATE</v>
      </c>
      <c r="M381" s="148">
        <v>350</v>
      </c>
      <c r="N381" s="148"/>
      <c r="O381" s="149">
        <v>386</v>
      </c>
      <c r="P381" s="149"/>
      <c r="Q381" s="150" t="e">
        <f>IF(DATA[[#This Row],[TYPE]]="Normal", 13 * DATA[[#This Row],[STORAGE DAYS]], 20 * DATA[[#This Row],[STORAGE DAYS]])</f>
        <v>#VALUE!</v>
      </c>
      <c r="R381" s="150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25">
        <f>COUNTA(A:A)-2</f>
        <v>389</v>
      </c>
    </row>
    <row r="382" spans="1:20" s="100" customFormat="1" ht="16.5" customHeight="1" x14ac:dyDescent="0.25">
      <c r="A382" s="142" t="s">
        <v>1972</v>
      </c>
      <c r="B382" s="143" t="s">
        <v>1973</v>
      </c>
      <c r="C382" s="143">
        <v>101</v>
      </c>
      <c r="D382" s="144" t="s">
        <v>4</v>
      </c>
      <c r="E382" s="144" t="s">
        <v>1974</v>
      </c>
      <c r="F382" s="145">
        <v>542518512</v>
      </c>
      <c r="G382" s="144" t="s">
        <v>27</v>
      </c>
      <c r="H382" s="146">
        <v>0.16666666666666666</v>
      </c>
      <c r="I382" s="144" t="s">
        <v>12</v>
      </c>
      <c r="J382" s="147">
        <v>46224</v>
      </c>
      <c r="K382" s="147"/>
      <c r="L382" s="143" t="str">
        <f>IF(ISBLANK(DATA[[#This Row],[DISCHARGE DATE]]), "NO DATE", DATA[[#This Row],[DISCHARGE DATE]]-DATA[[#This Row],[ADMISSION DATE]]+1)</f>
        <v>NO DATE</v>
      </c>
      <c r="M382" s="148">
        <v>350</v>
      </c>
      <c r="N382" s="148"/>
      <c r="O382" s="149">
        <v>387</v>
      </c>
      <c r="P382" s="149"/>
      <c r="Q382" s="150" t="e">
        <f>IF(DATA[[#This Row],[TYPE]]="Normal", 13 * DATA[[#This Row],[STORAGE DAYS]], 20 * DATA[[#This Row],[STORAGE DAYS]])</f>
        <v>#VALUE!</v>
      </c>
      <c r="R382" s="150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25">
        <f>COUNTA(A:A)-2</f>
        <v>389</v>
      </c>
    </row>
    <row r="383" spans="1:20" s="100" customFormat="1" ht="16.5" customHeight="1" x14ac:dyDescent="0.25">
      <c r="A383" s="142" t="s">
        <v>1975</v>
      </c>
      <c r="B383" s="143" t="s">
        <v>1976</v>
      </c>
      <c r="C383" s="143">
        <v>75</v>
      </c>
      <c r="D383" s="144" t="s">
        <v>5</v>
      </c>
      <c r="E383" s="144" t="s">
        <v>1977</v>
      </c>
      <c r="F383" s="145">
        <v>539843182</v>
      </c>
      <c r="G383" s="144" t="s">
        <v>27</v>
      </c>
      <c r="H383" s="146">
        <v>0.4375</v>
      </c>
      <c r="I383" s="144" t="s">
        <v>12</v>
      </c>
      <c r="J383" s="147">
        <v>46224</v>
      </c>
      <c r="K383" s="147"/>
      <c r="L383" s="143" t="str">
        <f>IF(ISBLANK(DATA[[#This Row],[DISCHARGE DATE]]), "NO DATE", DATA[[#This Row],[DISCHARGE DATE]]-DATA[[#This Row],[ADMISSION DATE]]+1)</f>
        <v>NO DATE</v>
      </c>
      <c r="M383" s="148">
        <v>350</v>
      </c>
      <c r="N383" s="148"/>
      <c r="O383" s="149">
        <v>388</v>
      </c>
      <c r="P383" s="149"/>
      <c r="Q383" s="150" t="e">
        <f>IF(DATA[[#This Row],[TYPE]]="Normal", 13 * DATA[[#This Row],[STORAGE DAYS]], 20 * DATA[[#This Row],[STORAGE DAYS]])</f>
        <v>#VALUE!</v>
      </c>
      <c r="R383" s="150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25">
        <f>COUNTA(A:A)-2</f>
        <v>389</v>
      </c>
    </row>
    <row r="384" spans="1:20" s="100" customFormat="1" ht="16.5" customHeight="1" x14ac:dyDescent="0.25">
      <c r="A384" s="142" t="s">
        <v>1978</v>
      </c>
      <c r="B384" s="143" t="s">
        <v>1979</v>
      </c>
      <c r="C384" s="143">
        <v>61</v>
      </c>
      <c r="D384" s="144" t="s">
        <v>5</v>
      </c>
      <c r="E384" s="144" t="s">
        <v>374</v>
      </c>
      <c r="F384" s="145">
        <v>246408159</v>
      </c>
      <c r="G384" s="144" t="s">
        <v>19</v>
      </c>
      <c r="H384" s="146">
        <v>0.45833333333333331</v>
      </c>
      <c r="I384" s="144" t="s">
        <v>10</v>
      </c>
      <c r="J384" s="147">
        <v>46227</v>
      </c>
      <c r="K384" s="147"/>
      <c r="L384" s="143" t="str">
        <f>IF(ISBLANK(DATA[[#This Row],[DISCHARGE DATE]]), "NO DATE", DATA[[#This Row],[DISCHARGE DATE]]-DATA[[#This Row],[ADMISSION DATE]]+1)</f>
        <v>NO DATE</v>
      </c>
      <c r="M384" s="148">
        <v>350</v>
      </c>
      <c r="N384" s="148"/>
      <c r="O384" s="149">
        <v>389</v>
      </c>
      <c r="P384" s="149"/>
      <c r="Q384" s="150" t="e">
        <f>IF(DATA[[#This Row],[TYPE]]="Normal", 13 * DATA[[#This Row],[STORAGE DAYS]], 20 * DATA[[#This Row],[STORAGE DAYS]])</f>
        <v>#VALUE!</v>
      </c>
      <c r="R384" s="150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25">
        <f>COUNTA(A:A)-2</f>
        <v>389</v>
      </c>
    </row>
    <row r="385" spans="1:20" s="100" customFormat="1" ht="16.5" customHeight="1" x14ac:dyDescent="0.25">
      <c r="A385" s="142" t="s">
        <v>1980</v>
      </c>
      <c r="B385" s="143" t="s">
        <v>1981</v>
      </c>
      <c r="C385" s="143">
        <v>70</v>
      </c>
      <c r="D385" s="144" t="s">
        <v>5</v>
      </c>
      <c r="E385" s="144" t="s">
        <v>1982</v>
      </c>
      <c r="F385" s="145">
        <v>543425788</v>
      </c>
      <c r="G385" s="144" t="s">
        <v>27</v>
      </c>
      <c r="H385" s="146">
        <v>0.77083333333333337</v>
      </c>
      <c r="I385" s="144" t="s">
        <v>12</v>
      </c>
      <c r="J385" s="147">
        <v>46228</v>
      </c>
      <c r="K385" s="147"/>
      <c r="L385" s="143" t="str">
        <f>IF(ISBLANK(DATA[[#This Row],[DISCHARGE DATE]]), "NO DATE", DATA[[#This Row],[DISCHARGE DATE]]-DATA[[#This Row],[ADMISSION DATE]]+1)</f>
        <v>NO DATE</v>
      </c>
      <c r="M385" s="148">
        <v>350</v>
      </c>
      <c r="N385" s="148"/>
      <c r="O385" s="149">
        <v>390</v>
      </c>
      <c r="P385" s="149"/>
      <c r="Q385" s="150" t="e">
        <f>IF(DATA[[#This Row],[TYPE]]="Normal", 13 * DATA[[#This Row],[STORAGE DAYS]], 20 * DATA[[#This Row],[STORAGE DAYS]])</f>
        <v>#VALUE!</v>
      </c>
      <c r="R385" s="150" t="e">
        <f>DATA[[#This Row],[COLDROOM FEE]]-DATA[[#This Row],[STORAGE FEE]]</f>
        <v>#VALUE!</v>
      </c>
      <c r="S385" s="98" t="str">
        <f>IF(ISBLANK(DATA[[#This Row],[COLDROOM RECEIPT]]),"IN CUSTODY","DISCHARGED")</f>
        <v>IN CUSTODY</v>
      </c>
      <c r="T385" s="25">
        <f>COUNTA(A:A)-2</f>
        <v>389</v>
      </c>
    </row>
    <row r="386" spans="1:20" s="100" customFormat="1" ht="16.5" customHeight="1" x14ac:dyDescent="0.25">
      <c r="A386" s="142" t="s">
        <v>1983</v>
      </c>
      <c r="B386" s="143" t="s">
        <v>1984</v>
      </c>
      <c r="C386" s="143">
        <v>70</v>
      </c>
      <c r="D386" s="144" t="s">
        <v>4</v>
      </c>
      <c r="E386" s="144" t="s">
        <v>1985</v>
      </c>
      <c r="F386" s="145">
        <v>548328433</v>
      </c>
      <c r="G386" s="144" t="s">
        <v>27</v>
      </c>
      <c r="H386" s="146">
        <v>0.6875</v>
      </c>
      <c r="I386" s="144" t="s">
        <v>10</v>
      </c>
      <c r="J386" s="147">
        <v>46231</v>
      </c>
      <c r="K386" s="147"/>
      <c r="L386" s="143" t="str">
        <f>IF(ISBLANK(DATA[[#This Row],[DISCHARGE DATE]]), "NO DATE", DATA[[#This Row],[DISCHARGE DATE]]-DATA[[#This Row],[ADMISSION DATE]]+1)</f>
        <v>NO DATE</v>
      </c>
      <c r="M386" s="148">
        <v>350</v>
      </c>
      <c r="N386" s="148"/>
      <c r="O386" s="149">
        <v>391</v>
      </c>
      <c r="P386" s="149"/>
      <c r="Q386" s="150" t="e">
        <f>IF(DATA[[#This Row],[TYPE]]="Normal", 13 * DATA[[#This Row],[STORAGE DAYS]], 20 * DATA[[#This Row],[STORAGE DAYS]])</f>
        <v>#VALUE!</v>
      </c>
      <c r="R386" s="150" t="e">
        <f>DATA[[#This Row],[COLDROOM FEE]]-DATA[[#This Row],[STORAGE FEE]]</f>
        <v>#VALUE!</v>
      </c>
      <c r="S386" s="98" t="str">
        <f>IF(ISBLANK(DATA[[#This Row],[COLDROOM RECEIPT]]),"IN CUSTODY","DISCHARGED")</f>
        <v>IN CUSTODY</v>
      </c>
      <c r="T386" s="25">
        <f>COUNTA(A:A)-2</f>
        <v>389</v>
      </c>
    </row>
    <row r="387" spans="1:20" s="100" customFormat="1" ht="16.5" customHeight="1" x14ac:dyDescent="0.25">
      <c r="A387" s="142" t="s">
        <v>1990</v>
      </c>
      <c r="B387" s="143" t="s">
        <v>1991</v>
      </c>
      <c r="C387" s="143">
        <v>100</v>
      </c>
      <c r="D387" s="144" t="s">
        <v>4</v>
      </c>
      <c r="E387" s="144" t="s">
        <v>1992</v>
      </c>
      <c r="F387" s="145">
        <v>547063649</v>
      </c>
      <c r="G387" s="144" t="s">
        <v>25</v>
      </c>
      <c r="H387" s="146">
        <v>0.20833333333333334</v>
      </c>
      <c r="I387" s="144" t="s">
        <v>10</v>
      </c>
      <c r="J387" s="147">
        <v>46233</v>
      </c>
      <c r="K387" s="147"/>
      <c r="L387" s="143" t="str">
        <f>IF(ISBLANK(DATA[[#This Row],[DISCHARGE DATE]]), "NO DATE", DATA[[#This Row],[DISCHARGE DATE]]-DATA[[#This Row],[ADMISSION DATE]]+1)</f>
        <v>NO DATE</v>
      </c>
      <c r="M387" s="148">
        <v>350</v>
      </c>
      <c r="N387" s="148"/>
      <c r="O387" s="149">
        <v>392</v>
      </c>
      <c r="P387" s="149"/>
      <c r="Q387" s="150" t="e">
        <f>IF(DATA[[#This Row],[TYPE]]="Normal", 13 * DATA[[#This Row],[STORAGE DAYS]], 20 * DATA[[#This Row],[STORAGE DAYS]])</f>
        <v>#VALUE!</v>
      </c>
      <c r="R387" s="150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25">
        <f>COUNTA(A:A)-2</f>
        <v>389</v>
      </c>
    </row>
    <row r="388" spans="1:20" s="100" customFormat="1" ht="16.5" customHeight="1" x14ac:dyDescent="0.25">
      <c r="A388" s="142" t="s">
        <v>1986</v>
      </c>
      <c r="B388" s="143" t="s">
        <v>1987</v>
      </c>
      <c r="C388" s="143">
        <v>98</v>
      </c>
      <c r="D388" s="144" t="s">
        <v>5</v>
      </c>
      <c r="E388" s="144" t="s">
        <v>1988</v>
      </c>
      <c r="F388" s="145">
        <v>540807523</v>
      </c>
      <c r="G388" s="144" t="s">
        <v>1989</v>
      </c>
      <c r="H388" s="146">
        <v>0.66666666666666663</v>
      </c>
      <c r="I388" s="144" t="s">
        <v>12</v>
      </c>
      <c r="J388" s="147">
        <v>46236</v>
      </c>
      <c r="K388" s="147"/>
      <c r="L388" s="143" t="str">
        <f>IF(ISBLANK(DATA[[#This Row],[DISCHARGE DATE]]), "NO DATE", DATA[[#This Row],[DISCHARGE DATE]]-DATA[[#This Row],[ADMISSION DATE]]+1)</f>
        <v>NO DATE</v>
      </c>
      <c r="M388" s="148">
        <v>350</v>
      </c>
      <c r="N388" s="148"/>
      <c r="O388" s="149">
        <v>393</v>
      </c>
      <c r="P388" s="149"/>
      <c r="Q388" s="150" t="e">
        <f>IF(DATA[[#This Row],[TYPE]]="Normal", 13 * DATA[[#This Row],[STORAGE DAYS]], 20 * DATA[[#This Row],[STORAGE DAYS]])</f>
        <v>#VALUE!</v>
      </c>
      <c r="R388" s="150" t="e">
        <f>DATA[[#This Row],[COLDROOM FEE]]-DATA[[#This Row],[STORAGE FEE]]</f>
        <v>#VALUE!</v>
      </c>
      <c r="S388" s="98" t="str">
        <f>IF(ISBLANK(DATA[[#This Row],[COLDROOM RECEIPT]]),"IN CUSTODY","DISCHARGED")</f>
        <v>IN CUSTODY</v>
      </c>
      <c r="T388" s="25">
        <f>COUNTA(A:A)-2</f>
        <v>389</v>
      </c>
    </row>
    <row r="389" spans="1:20" s="100" customFormat="1" ht="16.5" customHeight="1" x14ac:dyDescent="0.25">
      <c r="A389" s="142" t="s">
        <v>1986</v>
      </c>
      <c r="B389" s="143" t="s">
        <v>1987</v>
      </c>
      <c r="C389" s="143">
        <v>98</v>
      </c>
      <c r="D389" s="144" t="s">
        <v>5</v>
      </c>
      <c r="E389" s="144" t="s">
        <v>1988</v>
      </c>
      <c r="F389" s="145">
        <v>540807523</v>
      </c>
      <c r="G389" s="144" t="s">
        <v>1989</v>
      </c>
      <c r="H389" s="146">
        <v>0.66666666666666663</v>
      </c>
      <c r="I389" s="144" t="s">
        <v>12</v>
      </c>
      <c r="J389" s="147">
        <v>46236</v>
      </c>
      <c r="K389" s="147"/>
      <c r="L389" s="143" t="str">
        <f>IF(ISBLANK(DATA[[#This Row],[DISCHARGE DATE]]), "NO DATE", DATA[[#This Row],[DISCHARGE DATE]]-DATA[[#This Row],[ADMISSION DATE]]+1)</f>
        <v>NO DATE</v>
      </c>
      <c r="M389" s="148">
        <v>350</v>
      </c>
      <c r="N389" s="148"/>
      <c r="O389" s="149">
        <v>394</v>
      </c>
      <c r="P389" s="149"/>
      <c r="Q389" s="150" t="e">
        <f>IF(DATA[[#This Row],[TYPE]]="Normal", 13 * DATA[[#This Row],[STORAGE DAYS]], 20 * DATA[[#This Row],[STORAGE DAYS]])</f>
        <v>#VALUE!</v>
      </c>
      <c r="R389" s="150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25">
        <f>COUNTA(A:A)-2</f>
        <v>389</v>
      </c>
    </row>
    <row r="390" spans="1:20" s="100" customFormat="1" ht="16.5" customHeight="1" x14ac:dyDescent="0.25">
      <c r="A390" s="142" t="s">
        <v>1994</v>
      </c>
      <c r="B390" s="143" t="s">
        <v>1995</v>
      </c>
      <c r="C390" s="143">
        <v>41</v>
      </c>
      <c r="D390" s="144" t="s">
        <v>4</v>
      </c>
      <c r="E390" s="144" t="s">
        <v>1784</v>
      </c>
      <c r="F390" s="145">
        <v>545721910</v>
      </c>
      <c r="G390" s="144" t="s">
        <v>24</v>
      </c>
      <c r="H390" s="146">
        <v>0.29166666666666669</v>
      </c>
      <c r="I390" s="144" t="s">
        <v>12</v>
      </c>
      <c r="J390" s="147">
        <v>46239</v>
      </c>
      <c r="K390" s="147"/>
      <c r="L390" s="143" t="str">
        <f>IF(ISBLANK(DATA[[#This Row],[DISCHARGE DATE]]), "NO DATE", DATA[[#This Row],[DISCHARGE DATE]]-DATA[[#This Row],[ADMISSION DATE]]+1)</f>
        <v>NO DATE</v>
      </c>
      <c r="M390" s="148">
        <v>350</v>
      </c>
      <c r="N390" s="148"/>
      <c r="O390" s="149">
        <v>395</v>
      </c>
      <c r="P390" s="149"/>
      <c r="Q390" s="150" t="e">
        <f>IF(DATA[[#This Row],[TYPE]]="Normal", 13 * DATA[[#This Row],[STORAGE DAYS]], 20 * DATA[[#This Row],[STORAGE DAYS]])</f>
        <v>#VALUE!</v>
      </c>
      <c r="R390" s="150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25">
        <f>COUNTA(A:A)-2</f>
        <v>389</v>
      </c>
    </row>
    <row r="391" spans="1:20" s="26" customFormat="1" ht="15" x14ac:dyDescent="0.25">
      <c r="A391" s="171" t="s">
        <v>826</v>
      </c>
      <c r="B391" s="165" t="s">
        <v>1993</v>
      </c>
      <c r="C391" s="166"/>
      <c r="D391" s="167"/>
      <c r="E391" s="168"/>
      <c r="F391" s="168"/>
      <c r="G391" s="168"/>
      <c r="H391" s="169"/>
      <c r="I391" s="168"/>
      <c r="J391" s="170"/>
      <c r="K391" s="170"/>
      <c r="L391" s="172"/>
      <c r="M391" s="148">
        <f>SUBTOTAL(109,DATA[EMBALMING FEE])</f>
        <v>136150</v>
      </c>
      <c r="N391" s="148">
        <f>SUBTOTAL(109,DATA[COLDROOM FEE])</f>
        <v>553131</v>
      </c>
      <c r="O391" s="173"/>
      <c r="P391" s="173"/>
      <c r="Q391" s="174" t="e">
        <f>SUBTOTAL(109,DATA[STORAGE FEE])</f>
        <v>#VALUE!</v>
      </c>
      <c r="R391" s="175" t="e">
        <f>SUBTOTAL(109,DATA[DIFFERENCE])</f>
        <v>#VALUE!</v>
      </c>
      <c r="S391" s="22"/>
      <c r="T391" s="22"/>
    </row>
    <row r="392" spans="1:20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Q392" s="23"/>
      <c r="R392" s="33"/>
      <c r="S392" s="28"/>
    </row>
    <row r="393" spans="1:20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3"/>
      <c r="O393" s="35"/>
      <c r="P393" s="35"/>
      <c r="Q393" s="23"/>
      <c r="R393" s="33"/>
      <c r="S393" s="28"/>
    </row>
    <row r="394" spans="1:20" s="26" customFormat="1" ht="14.25" x14ac:dyDescent="0.25">
      <c r="K394" s="32"/>
      <c r="N394" s="35"/>
    </row>
    <row r="395" spans="1:20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O395" s="36"/>
      <c r="P395" s="36"/>
      <c r="Q395" s="23"/>
      <c r="R395" s="33"/>
      <c r="S395" s="28"/>
    </row>
    <row r="396" spans="1:20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20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20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20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20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4.25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4.25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4.25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4.25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4.25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4.25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4.25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4.25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25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25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25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25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25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s="26" customFormat="1" x14ac:dyDescent="0.25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20" s="26" customFormat="1" x14ac:dyDescent="0.25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20" s="26" customFormat="1" x14ac:dyDescent="0.25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20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20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20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20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20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20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20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25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25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25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25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25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25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25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25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3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3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3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3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3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3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3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3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</sheetData>
  <phoneticPr fontId="2" type="noConversion"/>
  <conditionalFormatting sqref="D2:D264 D395:D1048576 D392:D393">
    <cfRule type="containsText" dxfId="76" priority="117" operator="containsText" text="Female">
      <formula>NOT(ISERROR(SEARCH("Female",D2)))</formula>
    </cfRule>
    <cfRule type="containsText" dxfId="75" priority="118" operator="containsText" text="Male">
      <formula>NOT(ISERROR(SEARCH("Male",D2)))</formula>
    </cfRule>
  </conditionalFormatting>
  <conditionalFormatting sqref="J140 I141:J141 J142:J145 K140:K145 J147:K149 J395:K1048576 I1:I362 I364:I386">
    <cfRule type="containsText" dxfId="74" priority="119" operator="containsText" text="VIP">
      <formula>NOT(ISERROR(SEARCH("VIP",I1)))</formula>
    </cfRule>
    <cfRule type="containsText" dxfId="73" priority="120" operator="containsText" text="Normal">
      <formula>NOT(ISERROR(SEARCH("Normal",I1)))</formula>
    </cfRule>
  </conditionalFormatting>
  <conditionalFormatting sqref="R392:R1048576 R2:R389">
    <cfRule type="cellIs" dxfId="72" priority="115" operator="greaterThan">
      <formula>0</formula>
    </cfRule>
    <cfRule type="cellIs" dxfId="71" priority="116" operator="lessThan">
      <formula>0</formula>
    </cfRule>
  </conditionalFormatting>
  <conditionalFormatting sqref="D265:D266">
    <cfRule type="containsText" dxfId="70" priority="93" operator="containsText" text="Female">
      <formula>NOT(ISERROR(SEARCH("Female",D265)))</formula>
    </cfRule>
    <cfRule type="containsText" dxfId="69" priority="94" operator="containsText" text="Male">
      <formula>NOT(ISERROR(SEARCH("Male",D265)))</formula>
    </cfRule>
  </conditionalFormatting>
  <conditionalFormatting sqref="D267:D288">
    <cfRule type="containsText" dxfId="68" priority="87" operator="containsText" text="Female">
      <formula>NOT(ISERROR(SEARCH("Female",D267)))</formula>
    </cfRule>
    <cfRule type="containsText" dxfId="67" priority="88" operator="containsText" text="Male">
      <formula>NOT(ISERROR(SEARCH("Male",D267)))</formula>
    </cfRule>
  </conditionalFormatting>
  <conditionalFormatting sqref="D289:D299">
    <cfRule type="containsText" dxfId="66" priority="83" operator="containsText" text="Female">
      <formula>NOT(ISERROR(SEARCH("Female",D289)))</formula>
    </cfRule>
    <cfRule type="containsText" dxfId="65" priority="84" operator="containsText" text="Male">
      <formula>NOT(ISERROR(SEARCH("Male",D289)))</formula>
    </cfRule>
  </conditionalFormatting>
  <conditionalFormatting sqref="D300:D310">
    <cfRule type="containsText" dxfId="64" priority="79" operator="containsText" text="Female">
      <formula>NOT(ISERROR(SEARCH("Female",D300)))</formula>
    </cfRule>
    <cfRule type="containsText" dxfId="63" priority="80" operator="containsText" text="Male">
      <formula>NOT(ISERROR(SEARCH("Male",D300)))</formula>
    </cfRule>
  </conditionalFormatting>
  <conditionalFormatting sqref="D311:D314">
    <cfRule type="containsText" dxfId="62" priority="75" operator="containsText" text="Female">
      <formula>NOT(ISERROR(SEARCH("Female",D311)))</formula>
    </cfRule>
    <cfRule type="containsText" dxfId="61" priority="76" operator="containsText" text="Male">
      <formula>NOT(ISERROR(SEARCH("Male",D311)))</formula>
    </cfRule>
  </conditionalFormatting>
  <conditionalFormatting sqref="D315:D335">
    <cfRule type="containsText" dxfId="60" priority="69" operator="containsText" text="Female">
      <formula>NOT(ISERROR(SEARCH("Female",D315)))</formula>
    </cfRule>
    <cfRule type="containsText" dxfId="59" priority="70" operator="containsText" text="Male">
      <formula>NOT(ISERROR(SEARCH("Male",D315)))</formula>
    </cfRule>
  </conditionalFormatting>
  <conditionalFormatting sqref="D336:D358">
    <cfRule type="containsText" dxfId="58" priority="65" operator="containsText" text="Female">
      <formula>NOT(ISERROR(SEARCH("Female",D336)))</formula>
    </cfRule>
    <cfRule type="containsText" dxfId="57" priority="66" operator="containsText" text="Male">
      <formula>NOT(ISERROR(SEARCH("Male",D336)))</formula>
    </cfRule>
  </conditionalFormatting>
  <conditionalFormatting sqref="D359:D363">
    <cfRule type="containsText" dxfId="44" priority="59" operator="containsText" text="Female">
      <formula>NOT(ISERROR(SEARCH("Female",D359)))</formula>
    </cfRule>
    <cfRule type="containsText" dxfId="43" priority="60" operator="containsText" text="Male">
      <formula>NOT(ISERROR(SEARCH("Male",D359)))</formula>
    </cfRule>
  </conditionalFormatting>
  <conditionalFormatting sqref="D364:D368">
    <cfRule type="containsText" dxfId="56" priority="55" operator="containsText" text="Female">
      <formula>NOT(ISERROR(SEARCH("Female",D364)))</formula>
    </cfRule>
    <cfRule type="containsText" dxfId="55" priority="56" operator="containsText" text="Male">
      <formula>NOT(ISERROR(SEARCH("Male",D364)))</formula>
    </cfRule>
  </conditionalFormatting>
  <conditionalFormatting sqref="D369:D386">
    <cfRule type="cellIs" dxfId="54" priority="47" operator="equal">
      <formula>"Female"</formula>
    </cfRule>
    <cfRule type="cellIs" dxfId="53" priority="48" operator="equal">
      <formula>"Male"</formula>
    </cfRule>
  </conditionalFormatting>
  <conditionalFormatting sqref="I387:I388">
    <cfRule type="containsText" dxfId="52" priority="9" operator="containsText" text="VIP">
      <formula>NOT(ISERROR(SEARCH("VIP",I387)))</formula>
    </cfRule>
    <cfRule type="containsText" dxfId="51" priority="10" operator="containsText" text="Normal">
      <formula>NOT(ISERROR(SEARCH("Normal",I387)))</formula>
    </cfRule>
  </conditionalFormatting>
  <conditionalFormatting sqref="D387:D388">
    <cfRule type="cellIs" dxfId="50" priority="7" operator="equal">
      <formula>"Female"</formula>
    </cfRule>
    <cfRule type="cellIs" dxfId="49" priority="8" operator="equal">
      <formula>"Male"</formula>
    </cfRule>
  </conditionalFormatting>
  <conditionalFormatting sqref="I389:I390">
    <cfRule type="containsText" dxfId="40" priority="3" operator="containsText" text="VIP">
      <formula>NOT(ISERROR(SEARCH("VIP",I389)))</formula>
    </cfRule>
    <cfRule type="containsText" dxfId="39" priority="4" operator="containsText" text="Normal">
      <formula>NOT(ISERROR(SEARCH("Normal",I389)))</formula>
    </cfRule>
  </conditionalFormatting>
  <conditionalFormatting sqref="D389:D390">
    <cfRule type="cellIs" dxfId="38" priority="1" operator="equal">
      <formula>"Female"</formula>
    </cfRule>
    <cfRule type="cellIs" dxfId="37" priority="2" operator="equal">
      <formula>"Male"</formula>
    </cfRule>
  </conditionalFormatting>
  <dataValidations count="3">
    <dataValidation type="list" allowBlank="1" showInputMessage="1" showErrorMessage="1" sqref="D2:D361 D375 D395:D1048576 D392:D393" xr:uid="{2CB7FB52-2D15-4B19-92E6-4A17D0DFE476}">
      <formula1>"Male,Female"</formula1>
    </dataValidation>
    <dataValidation type="list" allowBlank="1" showInputMessage="1" showErrorMessage="1" sqref="I2:I361 I377 I387:I390" xr:uid="{48E17F93-1B2E-42A9-8756-A848F0DCC339}">
      <formula1>"Normal,VIP"</formula1>
    </dataValidation>
    <dataValidation type="list" allowBlank="1" showInputMessage="1" showErrorMessage="1" sqref="S2:S390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88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1828</v>
      </c>
      <c r="B1">
        <f>COUNTIF(DATA!S:S,"IN CUSTODY")</f>
        <v>64</v>
      </c>
      <c r="E1" t="str" cm="1">
        <f t="array" ref="E1:E29">_xlfn.UNIQUE(DATA[PLACE])</f>
        <v>Asuom</v>
      </c>
      <c r="F1" s="49" t="str" cm="1">
        <f t="array" ref="F1:F389">DATA[NAME OF DECEASED]</f>
        <v>Kwame Agbanyi</v>
      </c>
      <c r="H1" s="12"/>
      <c r="J1" s="20"/>
    </row>
    <row r="2" spans="1:13" x14ac:dyDescent="0.25">
      <c r="A2" t="s">
        <v>1829</v>
      </c>
      <c r="B2">
        <f>COUNTIF(DATA!S:S, "DISCHARGED")</f>
        <v>325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E29" t="str">
        <v>Afunya</v>
      </c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Alice Asaah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Alex Antwi Darko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Adwoa Owusua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Samuel Kikisi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Esther Boaduaa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Janet Aboagyewaa</v>
      </c>
    </row>
    <row r="236" spans="6:6" x14ac:dyDescent="0.25">
      <c r="F236" s="49" t="str">
        <v>Ernestina Asieduaa</v>
      </c>
    </row>
    <row r="237" spans="6:6" x14ac:dyDescent="0.25">
      <c r="F237" s="49" t="str">
        <v>Goyen Appam</v>
      </c>
    </row>
    <row r="238" spans="6:6" x14ac:dyDescent="0.25">
      <c r="F238" s="49" t="str">
        <v>Kwadwo Addo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Richmond Asamoah</v>
      </c>
    </row>
    <row r="248" spans="6:6" x14ac:dyDescent="0.25">
      <c r="F248" s="49" t="str">
        <v>Naomi Nuadeke</v>
      </c>
    </row>
    <row r="249" spans="6:6" x14ac:dyDescent="0.25">
      <c r="F249" s="49" t="str">
        <v>Samuel Akwasi Acheampong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Comfort Odentaa</v>
      </c>
    </row>
    <row r="257" spans="6:6" x14ac:dyDescent="0.25">
      <c r="F257" s="49" t="str">
        <v>Veronica Aku Amedi</v>
      </c>
    </row>
    <row r="258" spans="6:6" x14ac:dyDescent="0.25">
      <c r="F258" s="49" t="str">
        <v>Emmanuel Asante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379" spans="6:6" x14ac:dyDescent="0.25">
      <c r="F379" s="49" t="str">
        <v>John Eshun</v>
      </c>
    </row>
    <row r="380" spans="6:6" x14ac:dyDescent="0.25">
      <c r="F380" s="49" t="str">
        <v>Abena Badu</v>
      </c>
    </row>
    <row r="381" spans="6:6" x14ac:dyDescent="0.25">
      <c r="F381" s="49" t="str">
        <v>Janet Oforiwaa</v>
      </c>
    </row>
    <row r="382" spans="6:6" x14ac:dyDescent="0.25">
      <c r="F382" s="49" t="str">
        <v>William Ebo Amoako</v>
      </c>
    </row>
    <row r="383" spans="6:6" x14ac:dyDescent="0.25">
      <c r="F383" s="49" t="str">
        <v>Michael Yaw Asare</v>
      </c>
    </row>
    <row r="384" spans="6:6" x14ac:dyDescent="0.25">
      <c r="F384" s="49" t="str">
        <v>Paul Asare</v>
      </c>
    </row>
    <row r="385" spans="6:6" x14ac:dyDescent="0.25">
      <c r="F385" s="49" t="str">
        <v>Alice Ampofowaa</v>
      </c>
    </row>
    <row r="386" spans="6:6" x14ac:dyDescent="0.25">
      <c r="F386" s="49" t="str">
        <v>Mercy  Pomaah</v>
      </c>
    </row>
    <row r="387" spans="6:6" x14ac:dyDescent="0.25">
      <c r="F387" s="49" t="str">
        <v>Emmanuel Kofi Batsa</v>
      </c>
    </row>
    <row r="388" spans="6:6" x14ac:dyDescent="0.25">
      <c r="F388" s="49" t="str">
        <v>Emmanuel Kofi Batsa</v>
      </c>
    </row>
    <row r="389" spans="6:6" x14ac:dyDescent="0.25">
      <c r="F389" s="49" t="str">
        <v>Comfort Lashatey Doku</v>
      </c>
    </row>
    <row r="50000" spans="6:6" x14ac:dyDescent="0.25">
      <c r="F50000" s="49" t="str" cm="1">
        <f t="array" ref="F50000:F50388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159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174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220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225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228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235</v>
      </c>
    </row>
    <row r="50235" spans="6:6" x14ac:dyDescent="0.25">
      <c r="F50235" s="49" t="str">
        <v>236</v>
      </c>
    </row>
    <row r="50236" spans="6:6" x14ac:dyDescent="0.25">
      <c r="F50236" s="49" t="str">
        <v>237</v>
      </c>
    </row>
    <row r="50237" spans="6:6" x14ac:dyDescent="0.25">
      <c r="F50237" s="49" t="str">
        <v>238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247</v>
      </c>
    </row>
    <row r="50247" spans="6:6" x14ac:dyDescent="0.25">
      <c r="F50247" s="49" t="str">
        <v>248</v>
      </c>
    </row>
    <row r="50248" spans="6:6" x14ac:dyDescent="0.25">
      <c r="F50248" s="49" t="str">
        <v>249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256</v>
      </c>
    </row>
    <row r="50256" spans="6:6" x14ac:dyDescent="0.25">
      <c r="F50256" s="49" t="str">
        <v>257</v>
      </c>
    </row>
    <row r="50257" spans="6:6" x14ac:dyDescent="0.25">
      <c r="F50257" s="49" t="str">
        <v>258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  <row r="50378" spans="6:6" x14ac:dyDescent="0.25">
      <c r="F50378" s="49" t="str">
        <v>379</v>
      </c>
    </row>
    <row r="50379" spans="6:6" x14ac:dyDescent="0.25">
      <c r="F50379" s="49" t="str">
        <v>380</v>
      </c>
    </row>
    <row r="50380" spans="6:6" x14ac:dyDescent="0.25">
      <c r="F50380" s="49" t="str">
        <v>381</v>
      </c>
    </row>
    <row r="50381" spans="6:6" x14ac:dyDescent="0.25">
      <c r="F50381" s="49" t="str">
        <v>382</v>
      </c>
    </row>
    <row r="50382" spans="6:6" x14ac:dyDescent="0.25">
      <c r="F50382" s="49" t="str">
        <v>383</v>
      </c>
    </row>
    <row r="50383" spans="6:6" x14ac:dyDescent="0.25">
      <c r="F50383" s="49" t="str">
        <v>384</v>
      </c>
    </row>
    <row r="50384" spans="6:6" x14ac:dyDescent="0.25">
      <c r="F50384" s="49" t="str">
        <v>385</v>
      </c>
    </row>
    <row r="50385" spans="6:6" x14ac:dyDescent="0.25">
      <c r="F50385" s="49" t="str">
        <v>386</v>
      </c>
    </row>
    <row r="50386" spans="6:6" x14ac:dyDescent="0.25">
      <c r="F50386" s="49" t="str">
        <v>387</v>
      </c>
    </row>
    <row r="50387" spans="6:6" x14ac:dyDescent="0.25">
      <c r="F50387" s="49" t="str">
        <v>387</v>
      </c>
    </row>
    <row r="50388" spans="6:6" x14ac:dyDescent="0.25">
      <c r="F50388" s="49" t="str">
        <v>388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25" t="s">
        <v>1340</v>
      </c>
      <c r="C2" s="126"/>
      <c r="D2" s="126"/>
      <c r="E2" s="127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  <col min="33" max="33" width="17.42578125" bestFit="1" customWidth="1"/>
    <col min="34" max="34" width="10.28515625" bestFit="1" customWidth="1"/>
    <col min="35" max="35" width="11" customWidth="1"/>
  </cols>
  <sheetData>
    <row r="1" spans="1:35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25">
      <c r="AC18" s="50">
        <v>381</v>
      </c>
      <c r="AD18" s="66"/>
      <c r="AE18" s="67">
        <v>1</v>
      </c>
    </row>
    <row r="19" spans="7:31" x14ac:dyDescent="0.25">
      <c r="G19" s="10"/>
      <c r="AC19" s="50">
        <v>382</v>
      </c>
      <c r="AD19" s="66"/>
      <c r="AE19" s="67">
        <v>1</v>
      </c>
    </row>
    <row r="20" spans="7:31" x14ac:dyDescent="0.25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4"/>
  <sheetViews>
    <sheetView topLeftCell="A24" zoomScale="80" zoomScaleNormal="80" workbookViewId="0">
      <selection activeCell="K40" sqref="K40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1919</v>
      </c>
      <c r="J2" t="s">
        <v>1527</v>
      </c>
      <c r="K2" t="s">
        <v>1526</v>
      </c>
    </row>
    <row r="3" spans="1:16383" s="10" customFormat="1" ht="15.75" thickBot="1" x14ac:dyDescent="0.3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1920</v>
      </c>
      <c r="J3" s="89">
        <f>AVERAGEIF(Table9[DIFF],"&gt;0",Table9[DIFF])</f>
        <v>963.92592592592598</v>
      </c>
      <c r="K3" s="96">
        <f>Table24[[#This Row],[AVG]]*Table9[[#Totals],[ADMISSION DATE]]</f>
        <v>41448.814814814818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.75" thickBot="1" x14ac:dyDescent="0.3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1920</v>
      </c>
    </row>
    <row r="5" spans="1:16383" ht="15.75" thickBot="1" x14ac:dyDescent="0.3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1920</v>
      </c>
      <c r="J5" s="49" t="s">
        <v>1531</v>
      </c>
      <c r="K5" t="s">
        <v>1342</v>
      </c>
    </row>
    <row r="6" spans="1:16383" ht="15.75" thickBot="1" x14ac:dyDescent="0.3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1920</v>
      </c>
      <c r="J6" s="89">
        <f>SUMIF(Table9[CLEARED],"YES",Table9[DIFF])</f>
        <v>20272</v>
      </c>
      <c r="K6" s="96" cm="1">
        <f t="array" ref="K6">Table23[EXPECTED]-Table26[[#This Row],[RECEIVED]]</f>
        <v>21176.814814814818</v>
      </c>
    </row>
    <row r="7" spans="1:16383" ht="15.75" thickBot="1" x14ac:dyDescent="0.3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1920</v>
      </c>
    </row>
    <row r="8" spans="1:16383" ht="15.75" thickBot="1" x14ac:dyDescent="0.3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1920</v>
      </c>
    </row>
    <row r="9" spans="1:16383" ht="15.75" thickBot="1" x14ac:dyDescent="0.3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1920</v>
      </c>
      <c r="K9" s="95"/>
      <c r="L9" s="71"/>
    </row>
    <row r="10" spans="1:16383" ht="15.75" thickBot="1" x14ac:dyDescent="0.3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1920</v>
      </c>
      <c r="K10" s="95"/>
      <c r="L10" s="71"/>
    </row>
    <row r="11" spans="1:16383" ht="15.75" thickBot="1" x14ac:dyDescent="0.3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1920</v>
      </c>
      <c r="K11" s="95"/>
      <c r="L11" s="71"/>
    </row>
    <row r="12" spans="1:16383" ht="15.75" thickBot="1" x14ac:dyDescent="0.3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1920</v>
      </c>
    </row>
    <row r="13" spans="1:16383" ht="15.75" thickBot="1" x14ac:dyDescent="0.3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1920</v>
      </c>
      <c r="J13" s="20"/>
      <c r="K13" s="95"/>
      <c r="L13" s="71"/>
    </row>
    <row r="14" spans="1:16383" ht="15.75" thickBot="1" x14ac:dyDescent="0.3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1920</v>
      </c>
      <c r="K14" s="95"/>
      <c r="L14" s="71"/>
    </row>
    <row r="15" spans="1:16383" ht="15.75" thickBot="1" x14ac:dyDescent="0.3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1920</v>
      </c>
      <c r="K15" s="95"/>
      <c r="L15" s="71"/>
    </row>
    <row r="16" spans="1:16383" x14ac:dyDescent="0.25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1920</v>
      </c>
    </row>
    <row r="17" spans="1:16382" ht="15.75" thickBot="1" x14ac:dyDescent="0.3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1920</v>
      </c>
    </row>
    <row r="18" spans="1:16382" ht="15.75" thickBot="1" x14ac:dyDescent="0.3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1920</v>
      </c>
    </row>
    <row r="19" spans="1:16382" s="24" customFormat="1" x14ac:dyDescent="0.25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1920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1920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.75" thickBot="1" x14ac:dyDescent="0.3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1920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.75" thickBot="1" x14ac:dyDescent="0.3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1920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x14ac:dyDescent="0.2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1920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x14ac:dyDescent="0.25">
      <c r="A24" s="85" t="s">
        <v>1450</v>
      </c>
      <c r="B24" s="80" t="s">
        <v>1451</v>
      </c>
      <c r="C24" s="81">
        <v>46074</v>
      </c>
      <c r="D24" s="77">
        <v>46269</v>
      </c>
      <c r="E24" s="76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90">
        <f>Table9[[#This Row],[DAYS]]*20</f>
        <v>3920</v>
      </c>
      <c r="G24" s="90">
        <f>Table9[[#This Row],[DAYS]]*13</f>
        <v>2548</v>
      </c>
      <c r="H24" s="90">
        <f>Table9[[#This Row],[ACTUAL]]-Table9[[#This Row],[REAL]]</f>
        <v>1372</v>
      </c>
      <c r="I24" s="62" t="s">
        <v>1921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t="15.75" thickBot="1" x14ac:dyDescent="0.3">
      <c r="A25" s="85" t="s">
        <v>1467</v>
      </c>
      <c r="B25" s="80" t="s">
        <v>1468</v>
      </c>
      <c r="C25" s="81">
        <v>46077</v>
      </c>
      <c r="D25" s="77"/>
      <c r="E25" s="76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02">
        <f>Table9[[#This Row],[DAYS]]*20</f>
        <v>0</v>
      </c>
      <c r="G25" s="90">
        <f>Table9[[#This Row],[DAYS]]*13</f>
        <v>0</v>
      </c>
      <c r="H25" s="90">
        <f>Table9[[#This Row],[ACTUAL]]-Table9[[#This Row],[REAL]]</f>
        <v>0</v>
      </c>
      <c r="I25" s="62" t="s">
        <v>1921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1921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1921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1921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25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1921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25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1921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25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1921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25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1921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25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1921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25">
      <c r="A34" s="85" t="s">
        <v>1871</v>
      </c>
      <c r="B34" s="80" t="s">
        <v>1945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1921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25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1921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25">
      <c r="A36" s="85" t="s">
        <v>1866</v>
      </c>
      <c r="B36" s="80" t="s">
        <v>1883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1921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25">
      <c r="A37" s="85" t="s">
        <v>1889</v>
      </c>
      <c r="B37" s="80" t="s">
        <v>1890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1921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25">
      <c r="A38" s="85" t="s">
        <v>1916</v>
      </c>
      <c r="B38" s="80" t="s">
        <v>1917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1921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25">
      <c r="A39" s="85" t="s">
        <v>1931</v>
      </c>
      <c r="B39" s="80" t="s">
        <v>1932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1921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25">
      <c r="A40" s="85" t="s">
        <v>1934</v>
      </c>
      <c r="B40" s="80" t="s">
        <v>1935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1921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25">
      <c r="A41" s="85" t="s">
        <v>1969</v>
      </c>
      <c r="B41" s="80" t="s">
        <v>1970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1921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25">
      <c r="A42" s="85" t="s">
        <v>1980</v>
      </c>
      <c r="B42" s="80" t="s">
        <v>1981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1921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25">
      <c r="A43" s="83" t="s">
        <v>1972</v>
      </c>
      <c r="B43" s="76" t="s">
        <v>1973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1921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25">
      <c r="A44" s="113" t="s">
        <v>1986</v>
      </c>
      <c r="B44" s="114" t="s">
        <v>1987</v>
      </c>
      <c r="C44" s="128">
        <v>46236</v>
      </c>
      <c r="D44" s="77"/>
      <c r="E44" s="129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1921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25">
      <c r="A45" s="113" t="s">
        <v>1994</v>
      </c>
      <c r="B45" s="114" t="s">
        <v>1995</v>
      </c>
      <c r="C45" s="128">
        <v>46239</v>
      </c>
      <c r="D45" s="77"/>
      <c r="E45" s="129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1921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25">
      <c r="A46" s="83" t="s">
        <v>826</v>
      </c>
      <c r="B46" s="76"/>
      <c r="C46">
        <f>SUBTOTAL(103,Table9[ADMISSION DATE])</f>
        <v>43</v>
      </c>
      <c r="E46" s="93"/>
      <c r="F46" s="94">
        <f>SUBTOTAL(109,Table9[ACTUAL])</f>
        <v>74360</v>
      </c>
      <c r="G46" s="94">
        <f>SUBTOTAL(109,Table9[REAL])</f>
        <v>48334</v>
      </c>
      <c r="H46" s="94">
        <f>SUBTOTAL(109,Table9[DIFF])</f>
        <v>26026</v>
      </c>
      <c r="I46" s="24"/>
    </row>
    <row r="48" spans="1:16382" x14ac:dyDescent="0.25">
      <c r="H48" s="20"/>
    </row>
    <row r="50" spans="8:8" x14ac:dyDescent="0.25">
      <c r="H50" s="20"/>
    </row>
    <row r="52" spans="8:8" x14ac:dyDescent="0.25">
      <c r="H52" s="20"/>
    </row>
    <row r="54" spans="8:8" x14ac:dyDescent="0.25">
      <c r="H54" s="20"/>
    </row>
  </sheetData>
  <dataValidations count="1">
    <dataValidation type="list" allowBlank="1" showInputMessage="1" showErrorMessage="1" sqref="I3:I45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dimension ref="A1:I8"/>
  <sheetViews>
    <sheetView zoomScale="110" zoomScaleNormal="110"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23.140625" bestFit="1" customWidth="1"/>
    <col min="3" max="3" width="19" bestFit="1" customWidth="1"/>
    <col min="4" max="4" width="19.7109375" bestFit="1" customWidth="1"/>
    <col min="5" max="5" width="8.140625" bestFit="1" customWidth="1"/>
    <col min="6" max="6" width="8.85546875" bestFit="1" customWidth="1"/>
    <col min="7" max="7" width="13.140625" style="115" bestFit="1" customWidth="1"/>
    <col min="8" max="8" width="15.42578125" bestFit="1" customWidth="1"/>
    <col min="9" max="9" width="12" style="117" bestFit="1" customWidth="1"/>
  </cols>
  <sheetData>
    <row r="1" spans="1:9" x14ac:dyDescent="0.25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25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25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25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25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25">
      <c r="A6" s="113" t="s">
        <v>1772</v>
      </c>
      <c r="B6" s="114" t="s">
        <v>1923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25">
      <c r="A7" s="113" t="s">
        <v>1780</v>
      </c>
      <c r="B7" s="114" t="s">
        <v>1929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25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6" priority="1" operator="containsText" text="VIP">
      <formula>NOT(ISERROR(SEARCH("VIP",F2)))</formula>
    </cfRule>
    <cfRule type="containsText" dxfId="45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B58AB0E-42A4-4C38-AABE-0E87E51F5F0B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E17214F4-CA8C-4E27-A274-69B551BA7FAC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CFF08706-408E-47C1-B349-40FDE2073D1B}">
  <ds:schemaRefs/>
</ds:datastoreItem>
</file>

<file path=customXml/itemProps6.xml><?xml version="1.0" encoding="utf-8"?>
<ds:datastoreItem xmlns:ds="http://schemas.openxmlformats.org/officeDocument/2006/customXml" ds:itemID="{C5DFB910-8DD2-492B-AA5B-E53712970DC7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76A858BF-8FFD-431E-9F3C-0748E763935A}">
  <ds:schemaRefs/>
</ds:datastoreItem>
</file>

<file path=customXml/itemProps9.xml><?xml version="1.0" encoding="utf-8"?>
<ds:datastoreItem xmlns:ds="http://schemas.openxmlformats.org/officeDocument/2006/customXml" ds:itemID="{183FA34E-C40A-4E9F-9B88-1B57FC59D6C8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143B4000-E06A-440C-8563-3AC226846412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A66033D8-9E09-48A9-8F58-15C22883B810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2026-08-05T11:21:13Z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