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AA870C4D502C7B1/Documents/"/>
    </mc:Choice>
  </mc:AlternateContent>
  <xr:revisionPtr revIDLastSave="0" documentId="8_{CA27165E-DA73-4F74-8F5C-8BC92933E818}" xr6:coauthVersionLast="47" xr6:coauthVersionMax="47" xr10:uidLastSave="{00000000-0000-0000-0000-000000000000}"/>
  <bookViews>
    <workbookView xWindow="-110" yWindow="-110" windowWidth="19420" windowHeight="10300" firstSheet="7" activeTab="7" xr2:uid="{00000000-000D-0000-FFFF-FFFF00000000}"/>
  </bookViews>
  <sheets>
    <sheet name="DASHBOARD" sheetId="2" r:id="rId1"/>
    <sheet name="REPORT" sheetId="30" r:id="rId2"/>
    <sheet name="COMPLAINTS" sheetId="44" r:id="rId3"/>
    <sheet name="PIVOT" sheetId="31" r:id="rId4"/>
    <sheet name="INVENTORY" sheetId="21" r:id="rId5"/>
    <sheet name="INFO" sheetId="4" r:id="rId6"/>
    <sheet name="FEE" sheetId="5" state="hidden" r:id="rId7"/>
    <sheet name="DATA" sheetId="1" r:id="rId8"/>
    <sheet name="FORMALIN" sheetId="43" r:id="rId9"/>
    <sheet name="MONTHLY INCOME" sheetId="11" r:id="rId10"/>
    <sheet name="VISITNG FEES" sheetId="42" r:id="rId11"/>
    <sheet name="REMOVAL LOG" sheetId="38" r:id="rId12"/>
    <sheet name="VISITORS LOG" sheetId="37" r:id="rId13"/>
    <sheet name="RECYCLE_BIN" sheetId="29" r:id="rId14"/>
    <sheet name="CLEANING MATERIALS" sheetId="40" r:id="rId15"/>
    <sheet name="EMPLOYEE DATA" sheetId="27" r:id="rId16"/>
    <sheet name="EXPENSES" sheetId="39" r:id="rId17"/>
    <sheet name="DEPOSITS" sheetId="22" r:id="rId18"/>
    <sheet name="DISCHARGES" sheetId="23" r:id="rId19"/>
    <sheet name="SEARCH" sheetId="25" r:id="rId20"/>
    <sheet name="MINCOME CALCULATOR" sheetId="28" r:id="rId21"/>
    <sheet name="AMBULANCE_DRIVERS" sheetId="34" r:id="rId22"/>
    <sheet name="ERROR RECEIPT" sheetId="35" r:id="rId23"/>
    <sheet name="DISCHARGE_ITEMS" sheetId="36" r:id="rId24"/>
  </sheets>
  <externalReferences>
    <externalReference r:id="rId25"/>
  </externalReferences>
  <definedNames>
    <definedName name="_xlnm._FilterDatabase" localSheetId="0" hidden="1">DASHBOARD!$H$5:$I$5</definedName>
    <definedName name="_xlnm._FilterDatabase" localSheetId="17" hidden="1">DEPOSITS!$A$3:$J$13</definedName>
    <definedName name="_xlnm._FilterDatabase" localSheetId="18" hidden="1">DISCHARGES!$A$3:$X$6</definedName>
    <definedName name="_xlcn.WorksheetConnection_APMASUOM.xlsmTable1" hidden="1">DATA[]</definedName>
    <definedName name="_xleta.LEN" hidden="1" xlm="1">#NAME?</definedName>
    <definedName name="_xleta.SUM" hidden="1" xlm="1">#NAME?</definedName>
    <definedName name="NAMEDATA" localSheetId="8">_xlfn.ANCHORARRAY([1]SEARCH!$F$1)</definedName>
    <definedName name="NAMEDATA">_xlfn.ANCHORARRAY(SEARCH!#REF!)</definedName>
    <definedName name="TAGDATA" localSheetId="8">_xlfn.ANCHORARRAY([1]SEARCH!$G$2)</definedName>
    <definedName name="TAGDATA">_xlfn.ANCHORARRAY(SEARCH!#REF!)</definedName>
  </definedNames>
  <calcPr calcId="191028"/>
  <pivotCaches>
    <pivotCache cacheId="140" r:id="rId2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3" i="39" l="1"/>
  <c r="F84" i="39"/>
  <c r="F85" i="39"/>
  <c r="F86" i="39"/>
  <c r="F87" i="39"/>
  <c r="L418" i="1"/>
  <c r="R418" i="1"/>
  <c r="Q418" i="1"/>
  <c r="S418" i="1"/>
  <c r="T418" i="1"/>
  <c r="U418" i="1"/>
  <c r="V418" i="1"/>
  <c r="W418" i="1"/>
  <c r="X418" i="1"/>
  <c r="L419" i="1"/>
  <c r="R419" i="1"/>
  <c r="Q419" i="1"/>
  <c r="S419" i="1"/>
  <c r="T419" i="1"/>
  <c r="U419" i="1"/>
  <c r="V419" i="1"/>
  <c r="W419" i="1"/>
  <c r="X419" i="1"/>
  <c r="L420" i="1"/>
  <c r="R420" i="1"/>
  <c r="Q420" i="1"/>
  <c r="S420" i="1"/>
  <c r="T420" i="1"/>
  <c r="U420" i="1"/>
  <c r="V420" i="1"/>
  <c r="W420" i="1"/>
  <c r="X420" i="1"/>
  <c r="F78" i="39"/>
  <c r="F77" i="39"/>
  <c r="F61" i="39"/>
  <c r="F62" i="39"/>
  <c r="F64" i="39"/>
  <c r="F65" i="39"/>
  <c r="F63" i="39"/>
  <c r="F66" i="39"/>
  <c r="F67" i="39"/>
  <c r="F68" i="39"/>
  <c r="F69" i="39"/>
  <c r="F70" i="39"/>
  <c r="F71" i="39"/>
  <c r="F72" i="39"/>
  <c r="F73" i="39"/>
  <c r="F74" i="39"/>
  <c r="F75" i="39"/>
  <c r="F76" i="39"/>
  <c r="F79" i="39"/>
  <c r="L417" i="1"/>
  <c r="R417" i="1"/>
  <c r="Q417" i="1"/>
  <c r="S417" i="1"/>
  <c r="T417" i="1"/>
  <c r="U417" i="1"/>
  <c r="V417" i="1"/>
  <c r="W417" i="1"/>
  <c r="X417" i="1"/>
  <c r="L416" i="1"/>
  <c r="R416" i="1"/>
  <c r="Q416" i="1"/>
  <c r="S416" i="1"/>
  <c r="T416" i="1"/>
  <c r="U416" i="1"/>
  <c r="V416" i="1"/>
  <c r="W416" i="1"/>
  <c r="X416" i="1"/>
  <c r="L415" i="1"/>
  <c r="R415" i="1"/>
  <c r="Q415" i="1"/>
  <c r="S415" i="1"/>
  <c r="T415" i="1"/>
  <c r="U415" i="1"/>
  <c r="V415" i="1"/>
  <c r="W415" i="1"/>
  <c r="X415" i="1"/>
  <c r="M13" i="39"/>
  <c r="L414" i="1"/>
  <c r="R414" i="1"/>
  <c r="Q414" i="1"/>
  <c r="S414" i="1"/>
  <c r="T414" i="1"/>
  <c r="U414" i="1"/>
  <c r="V414" i="1"/>
  <c r="W414" i="1"/>
  <c r="X414" i="1"/>
  <c r="L413" i="1"/>
  <c r="R413" i="1"/>
  <c r="Q413" i="1"/>
  <c r="S413" i="1"/>
  <c r="T413" i="1"/>
  <c r="U413" i="1"/>
  <c r="V413" i="1"/>
  <c r="W413" i="1"/>
  <c r="X413" i="1"/>
  <c r="L412" i="1"/>
  <c r="R412" i="1"/>
  <c r="Q412" i="1"/>
  <c r="S412" i="1"/>
  <c r="T412" i="1"/>
  <c r="U412" i="1"/>
  <c r="V412" i="1"/>
  <c r="W412" i="1"/>
  <c r="X412" i="1"/>
  <c r="L411" i="1"/>
  <c r="R411" i="1"/>
  <c r="Q411" i="1"/>
  <c r="S411" i="1"/>
  <c r="T411" i="1"/>
  <c r="U411" i="1"/>
  <c r="V411" i="1"/>
  <c r="W411" i="1"/>
  <c r="X411" i="1"/>
  <c r="M15" i="39"/>
  <c r="L410" i="1"/>
  <c r="R410" i="1"/>
  <c r="Q410" i="1"/>
  <c r="S410" i="1"/>
  <c r="T410" i="1"/>
  <c r="U410" i="1"/>
  <c r="V410" i="1"/>
  <c r="W410" i="1"/>
  <c r="X410" i="1"/>
  <c r="L409" i="1"/>
  <c r="R409" i="1"/>
  <c r="Q409" i="1"/>
  <c r="S409" i="1"/>
  <c r="T409" i="1"/>
  <c r="U409" i="1"/>
  <c r="V409" i="1"/>
  <c r="W409" i="1"/>
  <c r="X409" i="1"/>
  <c r="L408" i="1"/>
  <c r="R408" i="1"/>
  <c r="Q408" i="1"/>
  <c r="S408" i="1"/>
  <c r="T408" i="1"/>
  <c r="U408" i="1"/>
  <c r="V408" i="1"/>
  <c r="W408" i="1"/>
  <c r="X408" i="1"/>
  <c r="M14" i="39"/>
  <c r="L406" i="1"/>
  <c r="R406" i="1"/>
  <c r="Q406" i="1"/>
  <c r="S406" i="1"/>
  <c r="T406" i="1"/>
  <c r="U406" i="1"/>
  <c r="V406" i="1"/>
  <c r="W406" i="1"/>
  <c r="X406" i="1"/>
  <c r="L407" i="1"/>
  <c r="R407" i="1"/>
  <c r="Q407" i="1"/>
  <c r="S407" i="1"/>
  <c r="T407" i="1"/>
  <c r="U407" i="1"/>
  <c r="V407" i="1"/>
  <c r="W407" i="1"/>
  <c r="X407" i="1"/>
  <c r="L405" i="1"/>
  <c r="R405" i="1"/>
  <c r="Q405" i="1"/>
  <c r="S405" i="1"/>
  <c r="T405" i="1"/>
  <c r="U405" i="1"/>
  <c r="V405" i="1"/>
  <c r="W405" i="1"/>
  <c r="X405" i="1"/>
  <c r="L404" i="1"/>
  <c r="R404" i="1"/>
  <c r="Q404" i="1"/>
  <c r="S404" i="1"/>
  <c r="T404" i="1"/>
  <c r="U404" i="1"/>
  <c r="V404" i="1"/>
  <c r="W404" i="1"/>
  <c r="X404" i="1"/>
  <c r="L402" i="1"/>
  <c r="R402" i="1"/>
  <c r="Q402" i="1"/>
  <c r="S402" i="1"/>
  <c r="T402" i="1"/>
  <c r="U402" i="1"/>
  <c r="V402" i="1"/>
  <c r="W402" i="1"/>
  <c r="X402" i="1"/>
  <c r="L403" i="1"/>
  <c r="R403" i="1"/>
  <c r="Q403" i="1"/>
  <c r="S403" i="1"/>
  <c r="T403" i="1"/>
  <c r="U403" i="1"/>
  <c r="V403" i="1"/>
  <c r="W403" i="1"/>
  <c r="X403" i="1"/>
  <c r="Q17" i="36"/>
  <c r="Q14" i="36"/>
  <c r="Q10" i="36"/>
  <c r="Q2" i="36"/>
  <c r="Q3" i="36"/>
  <c r="Q4" i="36"/>
  <c r="Q5" i="36"/>
  <c r="Q6" i="36"/>
  <c r="Q7" i="36"/>
  <c r="Q8" i="36"/>
  <c r="Q9" i="36"/>
  <c r="Q11" i="36"/>
  <c r="Q12" i="36"/>
  <c r="Q13" i="36"/>
  <c r="Q15" i="36"/>
  <c r="Q16" i="36"/>
  <c r="K18" i="36"/>
  <c r="P18" i="36"/>
  <c r="O18" i="36"/>
  <c r="N18" i="36"/>
  <c r="L18" i="36"/>
  <c r="M18" i="36"/>
  <c r="Q18" i="36"/>
  <c r="F143" i="37"/>
  <c r="G793" i="25" a="1"/>
  <c r="G794" i="25" a="1"/>
  <c r="G795" i="25" a="1"/>
  <c r="G796" i="25" a="1"/>
  <c r="G797" i="25" a="1"/>
  <c r="G798" i="25" a="1"/>
  <c r="G799" i="25" a="1"/>
  <c r="G800" i="25" a="1"/>
  <c r="L401" i="1"/>
  <c r="R401" i="1"/>
  <c r="Q401" i="1"/>
  <c r="S401" i="1"/>
  <c r="T401" i="1"/>
  <c r="U401" i="1"/>
  <c r="V401" i="1"/>
  <c r="W401" i="1"/>
  <c r="X401" i="1"/>
  <c r="L400" i="1"/>
  <c r="R400" i="1"/>
  <c r="Q400" i="1"/>
  <c r="S400" i="1"/>
  <c r="T400" i="1"/>
  <c r="U400" i="1"/>
  <c r="V400" i="1"/>
  <c r="W400" i="1"/>
  <c r="X400" i="1"/>
  <c r="L64" i="39"/>
  <c r="L65" i="39"/>
  <c r="R7" i="23"/>
  <c r="N7" i="23"/>
  <c r="M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M12" i="39"/>
  <c r="L399" i="1"/>
  <c r="R399" i="1"/>
  <c r="Q399" i="1"/>
  <c r="S399" i="1"/>
  <c r="T399" i="1"/>
  <c r="U399" i="1"/>
  <c r="V399" i="1"/>
  <c r="W399" i="1"/>
  <c r="X399" i="1"/>
  <c r="L398" i="1"/>
  <c r="R398" i="1"/>
  <c r="Q398" i="1"/>
  <c r="S398" i="1"/>
  <c r="T398" i="1"/>
  <c r="U398" i="1"/>
  <c r="V398" i="1"/>
  <c r="W398" i="1"/>
  <c r="X398" i="1"/>
  <c r="G785" i="25" a="1"/>
  <c r="G786" i="25" a="1"/>
  <c r="G787" i="25" a="1"/>
  <c r="G788" i="25" a="1"/>
  <c r="G789" i="25" a="1"/>
  <c r="G790" i="25" a="1"/>
  <c r="G791" i="25" a="1"/>
  <c r="G792" i="25" a="1"/>
  <c r="F55" i="39"/>
  <c r="P14" i="22"/>
  <c r="F54" i="39"/>
  <c r="L55" i="39"/>
  <c r="L397" i="1"/>
  <c r="R397" i="1"/>
  <c r="Q397" i="1"/>
  <c r="S397" i="1"/>
  <c r="T397" i="1"/>
  <c r="U397" i="1"/>
  <c r="V397" i="1"/>
  <c r="W397" i="1"/>
  <c r="X397" i="1"/>
  <c r="L396" i="1"/>
  <c r="R396" i="1"/>
  <c r="Q396" i="1"/>
  <c r="S396" i="1"/>
  <c r="T396" i="1"/>
  <c r="U396" i="1"/>
  <c r="V396" i="1"/>
  <c r="W396" i="1"/>
  <c r="X396" i="1"/>
  <c r="F53" i="39"/>
  <c r="L395" i="1"/>
  <c r="R395" i="1"/>
  <c r="Q395" i="1"/>
  <c r="S395" i="1"/>
  <c r="T395" i="1"/>
  <c r="U395" i="1"/>
  <c r="V395" i="1"/>
  <c r="W395" i="1"/>
  <c r="X395" i="1"/>
  <c r="L393" i="1"/>
  <c r="R393" i="1"/>
  <c r="Q393" i="1"/>
  <c r="S393" i="1"/>
  <c r="T393" i="1"/>
  <c r="U393" i="1"/>
  <c r="V393" i="1"/>
  <c r="W393" i="1"/>
  <c r="X393" i="1"/>
  <c r="X7" i="23"/>
  <c r="G757" i="25" a="1"/>
  <c r="G758" i="25" a="1"/>
  <c r="G759" i="25" a="1"/>
  <c r="G760" i="25" a="1"/>
  <c r="G761" i="25" a="1"/>
  <c r="G762" i="25" a="1"/>
  <c r="G763" i="25" a="1"/>
  <c r="G764" i="25" a="1"/>
  <c r="G765" i="25" a="1"/>
  <c r="G766" i="25" a="1"/>
  <c r="G767" i="25" a="1"/>
  <c r="G768" i="25" a="1"/>
  <c r="G769" i="25" a="1"/>
  <c r="G770" i="25" a="1"/>
  <c r="G771" i="25" a="1"/>
  <c r="G772" i="25" a="1"/>
  <c r="G773" i="25" a="1"/>
  <c r="G774" i="25" a="1"/>
  <c r="G775" i="25" a="1"/>
  <c r="G776" i="25" a="1"/>
  <c r="G777" i="25" a="1"/>
  <c r="G778" i="25" a="1"/>
  <c r="G779" i="25" a="1"/>
  <c r="G780" i="25" a="1"/>
  <c r="G781" i="25" a="1"/>
  <c r="G782" i="25" a="1"/>
  <c r="G783" i="25" a="1"/>
  <c r="G784" i="25" a="1"/>
  <c r="L394" i="1"/>
  <c r="R394" i="1"/>
  <c r="Q394" i="1"/>
  <c r="S394" i="1"/>
  <c r="T394" i="1"/>
  <c r="U394" i="1"/>
  <c r="V394" i="1"/>
  <c r="W394" i="1"/>
  <c r="X394" i="1"/>
  <c r="F52" i="39"/>
  <c r="L392" i="1"/>
  <c r="R392" i="1"/>
  <c r="Q392" i="1"/>
  <c r="S392" i="1"/>
  <c r="T392" i="1"/>
  <c r="U392" i="1"/>
  <c r="V392" i="1"/>
  <c r="W392" i="1"/>
  <c r="X392" i="1"/>
  <c r="F51" i="39"/>
  <c r="L54" i="39"/>
  <c r="L390" i="1"/>
  <c r="R390" i="1"/>
  <c r="Q390" i="1"/>
  <c r="S390" i="1"/>
  <c r="T390" i="1"/>
  <c r="U390" i="1"/>
  <c r="V390" i="1"/>
  <c r="W390" i="1"/>
  <c r="X390" i="1"/>
  <c r="L391" i="1"/>
  <c r="R391" i="1"/>
  <c r="Q391" i="1"/>
  <c r="S391" i="1"/>
  <c r="T391" i="1"/>
  <c r="U391" i="1"/>
  <c r="V391" i="1"/>
  <c r="W391" i="1"/>
  <c r="X391" i="1"/>
  <c r="L53" i="39"/>
  <c r="F50" i="39"/>
  <c r="L52" i="39"/>
  <c r="L37" i="39"/>
  <c r="L38" i="39"/>
  <c r="L39" i="39"/>
  <c r="L41" i="39"/>
  <c r="L40" i="39"/>
  <c r="F43" i="39"/>
  <c r="F42" i="39"/>
  <c r="L389" i="1"/>
  <c r="R389" i="1"/>
  <c r="Q389" i="1"/>
  <c r="S389" i="1"/>
  <c r="T389" i="1"/>
  <c r="U389" i="1"/>
  <c r="V389" i="1"/>
  <c r="W389" i="1"/>
  <c r="X389" i="1"/>
  <c r="F49" i="39"/>
  <c r="L388" i="1"/>
  <c r="R388" i="1"/>
  <c r="Q388" i="1"/>
  <c r="S388" i="1"/>
  <c r="T388" i="1"/>
  <c r="U388" i="1"/>
  <c r="V388" i="1"/>
  <c r="W388" i="1"/>
  <c r="X388" i="1"/>
  <c r="F40" i="39"/>
  <c r="L36" i="39"/>
  <c r="F41" i="39"/>
  <c r="L35" i="39"/>
  <c r="L5" i="40"/>
  <c r="K5" i="40"/>
  <c r="L56" i="39"/>
  <c r="F56" i="39"/>
  <c r="L387" i="1"/>
  <c r="R387" i="1"/>
  <c r="Q387" i="1"/>
  <c r="S387" i="1"/>
  <c r="T387" i="1"/>
  <c r="U387" i="1"/>
  <c r="V387" i="1"/>
  <c r="W387" i="1"/>
  <c r="X387" i="1"/>
  <c r="L3" i="39"/>
  <c r="L4" i="39"/>
  <c r="L5" i="39"/>
  <c r="L6" i="39"/>
  <c r="F3" i="39"/>
  <c r="F4" i="39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L34" i="39"/>
  <c r="L386" i="1"/>
  <c r="R386" i="1"/>
  <c r="Q386" i="1"/>
  <c r="S386" i="1"/>
  <c r="T386" i="1"/>
  <c r="U386" i="1"/>
  <c r="V386" i="1"/>
  <c r="W386" i="1"/>
  <c r="X386" i="1"/>
  <c r="F39" i="39"/>
  <c r="L7" i="39"/>
  <c r="F22" i="39"/>
  <c r="L385" i="1"/>
  <c r="R385" i="1"/>
  <c r="Q385" i="1"/>
  <c r="S385" i="1"/>
  <c r="T385" i="1"/>
  <c r="U385" i="1"/>
  <c r="V385" i="1"/>
  <c r="W385" i="1"/>
  <c r="X385" i="1"/>
  <c r="F38" i="39"/>
  <c r="L384" i="1"/>
  <c r="R384" i="1"/>
  <c r="Q384" i="1"/>
  <c r="S384" i="1"/>
  <c r="T384" i="1"/>
  <c r="U384" i="1"/>
  <c r="V384" i="1"/>
  <c r="W384" i="1"/>
  <c r="X384" i="1"/>
  <c r="L30" i="39"/>
  <c r="L31" i="39"/>
  <c r="L32" i="39"/>
  <c r="L33" i="39"/>
  <c r="F37" i="39"/>
  <c r="F36" i="39"/>
  <c r="L383" i="1"/>
  <c r="R383" i="1"/>
  <c r="Q383" i="1"/>
  <c r="S383" i="1"/>
  <c r="T383" i="1"/>
  <c r="U383" i="1"/>
  <c r="V383" i="1"/>
  <c r="W383" i="1"/>
  <c r="X383" i="1"/>
  <c r="L382" i="1"/>
  <c r="R382" i="1"/>
  <c r="Q382" i="1"/>
  <c r="S382" i="1"/>
  <c r="T382" i="1"/>
  <c r="U382" i="1"/>
  <c r="V382" i="1"/>
  <c r="W382" i="1"/>
  <c r="X382" i="1"/>
  <c r="L381" i="1"/>
  <c r="R381" i="1"/>
  <c r="Q381" i="1"/>
  <c r="S381" i="1"/>
  <c r="T381" i="1"/>
  <c r="U381" i="1"/>
  <c r="V381" i="1"/>
  <c r="W381" i="1"/>
  <c r="X381" i="1"/>
  <c r="L380" i="1"/>
  <c r="R380" i="1"/>
  <c r="Q380" i="1"/>
  <c r="S380" i="1"/>
  <c r="T380" i="1"/>
  <c r="U380" i="1"/>
  <c r="V380" i="1"/>
  <c r="W380" i="1"/>
  <c r="X380" i="1"/>
  <c r="F35" i="39"/>
  <c r="G749" i="25" a="1"/>
  <c r="G750" i="25" a="1"/>
  <c r="G751" i="25" a="1"/>
  <c r="G752" i="25" a="1"/>
  <c r="G753" i="25" a="1"/>
  <c r="G754" i="25" a="1"/>
  <c r="G755" i="25" a="1"/>
  <c r="G756" i="25" a="1"/>
  <c r="L379" i="1"/>
  <c r="R379" i="1"/>
  <c r="Q379" i="1"/>
  <c r="S379" i="1"/>
  <c r="T379" i="1"/>
  <c r="U379" i="1"/>
  <c r="V379" i="1"/>
  <c r="W379" i="1"/>
  <c r="X379" i="1"/>
  <c r="F34" i="39"/>
  <c r="F33" i="39"/>
  <c r="L378" i="1"/>
  <c r="R378" i="1"/>
  <c r="Q378" i="1"/>
  <c r="S378" i="1"/>
  <c r="T378" i="1"/>
  <c r="U378" i="1"/>
  <c r="V378" i="1"/>
  <c r="W378" i="1"/>
  <c r="X378" i="1"/>
  <c r="L377" i="1"/>
  <c r="R377" i="1"/>
  <c r="Q377" i="1"/>
  <c r="S377" i="1"/>
  <c r="T377" i="1"/>
  <c r="U377" i="1"/>
  <c r="V377" i="1"/>
  <c r="W377" i="1"/>
  <c r="X377" i="1"/>
  <c r="L376" i="1"/>
  <c r="R376" i="1"/>
  <c r="Q376" i="1"/>
  <c r="S376" i="1"/>
  <c r="T376" i="1"/>
  <c r="U376" i="1"/>
  <c r="V376" i="1"/>
  <c r="W376" i="1"/>
  <c r="X376" i="1"/>
  <c r="G747" i="25" a="1"/>
  <c r="G748" i="25" a="1"/>
  <c r="F32" i="39"/>
  <c r="F31" i="39"/>
  <c r="L375" i="1"/>
  <c r="R375" i="1"/>
  <c r="Q375" i="1"/>
  <c r="S375" i="1"/>
  <c r="T375" i="1"/>
  <c r="U375" i="1"/>
  <c r="V375" i="1"/>
  <c r="W375" i="1"/>
  <c r="X375" i="1"/>
  <c r="L374" i="1"/>
  <c r="F30" i="39"/>
  <c r="L42" i="39"/>
  <c r="F29" i="39"/>
  <c r="F28" i="39"/>
  <c r="F27" i="39"/>
  <c r="F44" i="39"/>
  <c r="G725" i="25" a="1"/>
  <c r="G726" i="25" a="1"/>
  <c r="G727" i="25" a="1"/>
  <c r="G728" i="25" a="1"/>
  <c r="G729" i="25" a="1"/>
  <c r="G730" i="25" a="1"/>
  <c r="G731" i="25" a="1"/>
  <c r="G732" i="25" a="1"/>
  <c r="G733" i="25" a="1"/>
  <c r="G734" i="25" a="1"/>
  <c r="G735" i="25" a="1"/>
  <c r="G736" i="25" a="1"/>
  <c r="G737" i="25" a="1"/>
  <c r="G738" i="25" a="1"/>
  <c r="G739" i="25" a="1"/>
  <c r="G740" i="25" a="1"/>
  <c r="G741" i="25" a="1"/>
  <c r="G742" i="25" a="1"/>
  <c r="G743" i="25" a="1"/>
  <c r="G744" i="25" a="1"/>
  <c r="G745" i="25" a="1"/>
  <c r="G746" i="25" a="1"/>
  <c r="R374" i="1"/>
  <c r="Q374" i="1"/>
  <c r="S374" i="1"/>
  <c r="T374" i="1"/>
  <c r="U374" i="1"/>
  <c r="V374" i="1"/>
  <c r="W374" i="1"/>
  <c r="X374" i="1"/>
  <c r="L373" i="1"/>
  <c r="R373" i="1"/>
  <c r="Q373" i="1"/>
  <c r="S373" i="1"/>
  <c r="T373" i="1"/>
  <c r="U373" i="1"/>
  <c r="V373" i="1"/>
  <c r="W373" i="1"/>
  <c r="X373" i="1"/>
  <c r="L364" i="1"/>
  <c r="R364" i="1"/>
  <c r="Q364" i="1"/>
  <c r="S364" i="1"/>
  <c r="T364" i="1"/>
  <c r="U364" i="1"/>
  <c r="V364" i="1"/>
  <c r="W364" i="1"/>
  <c r="X364" i="1"/>
  <c r="L16" i="39"/>
  <c r="M11" i="39"/>
  <c r="M16" i="39"/>
  <c r="K16" i="39"/>
  <c r="L363" i="1"/>
  <c r="R363" i="1"/>
  <c r="Q363" i="1"/>
  <c r="S363" i="1"/>
  <c r="T363" i="1"/>
  <c r="U363" i="1"/>
  <c r="V363" i="1"/>
  <c r="W363" i="1"/>
  <c r="X363" i="1"/>
  <c r="AA17" i="43"/>
  <c r="K17" i="43"/>
  <c r="W16" i="43"/>
  <c r="G16" i="43"/>
  <c r="S15" i="43"/>
  <c r="O15" i="43"/>
  <c r="C15" i="43"/>
  <c r="AE11" i="43"/>
  <c r="G12" i="40"/>
  <c r="H12" i="40"/>
  <c r="L354" i="1"/>
  <c r="R354" i="1"/>
  <c r="Q354" i="1"/>
  <c r="S354" i="1"/>
  <c r="T354" i="1"/>
  <c r="U354" i="1"/>
  <c r="V354" i="1"/>
  <c r="W354" i="1"/>
  <c r="X354" i="1"/>
  <c r="L369" i="1"/>
  <c r="R369" i="1"/>
  <c r="Q369" i="1"/>
  <c r="S369" i="1"/>
  <c r="T369" i="1"/>
  <c r="U369" i="1"/>
  <c r="V369" i="1"/>
  <c r="W369" i="1"/>
  <c r="X369" i="1"/>
  <c r="R312" i="1"/>
  <c r="Q312" i="1"/>
  <c r="L370" i="1"/>
  <c r="R370" i="1"/>
  <c r="Q370" i="1"/>
  <c r="R321" i="1"/>
  <c r="Q321" i="1"/>
  <c r="R325" i="1"/>
  <c r="Q325" i="1"/>
  <c r="R329" i="1"/>
  <c r="Q329" i="1"/>
  <c r="R337" i="1"/>
  <c r="Q337" i="1"/>
  <c r="L371" i="1"/>
  <c r="R371" i="1"/>
  <c r="Q371" i="1"/>
  <c r="R348" i="1"/>
  <c r="Q348" i="1"/>
  <c r="R349" i="1"/>
  <c r="Q349" i="1"/>
  <c r="R355" i="1"/>
  <c r="Q355" i="1"/>
  <c r="R356" i="1"/>
  <c r="Q356" i="1"/>
  <c r="R357" i="1"/>
  <c r="Q357" i="1"/>
  <c r="R358" i="1"/>
  <c r="Q358" i="1"/>
  <c r="R359" i="1"/>
  <c r="Q359" i="1"/>
  <c r="R362" i="1"/>
  <c r="Q362" i="1"/>
  <c r="L372" i="1"/>
  <c r="R372" i="1"/>
  <c r="Q372" i="1"/>
  <c r="L366" i="1"/>
  <c r="R366" i="1"/>
  <c r="Q366" i="1"/>
  <c r="R367" i="1"/>
  <c r="Q367" i="1"/>
  <c r="R368" i="1"/>
  <c r="Q368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48" i="1"/>
  <c r="X250" i="1"/>
  <c r="X238" i="1"/>
  <c r="X257" i="1"/>
  <c r="X240" i="1"/>
  <c r="X241" i="1"/>
  <c r="X242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9" i="1"/>
  <c r="X271" i="1"/>
  <c r="X259" i="1"/>
  <c r="X260" i="1"/>
  <c r="X261" i="1"/>
  <c r="X262" i="1"/>
  <c r="X277" i="1"/>
  <c r="X264" i="1"/>
  <c r="X265" i="1"/>
  <c r="X278" i="1"/>
  <c r="X287" i="1"/>
  <c r="X268" i="1"/>
  <c r="X300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2" i="1"/>
  <c r="X266" i="1"/>
  <c r="X280" i="1"/>
  <c r="X288" i="1"/>
  <c r="X296" i="1"/>
  <c r="X289" i="1"/>
  <c r="X290" i="1"/>
  <c r="X291" i="1"/>
  <c r="X293" i="1"/>
  <c r="X301" i="1"/>
  <c r="X302" i="1"/>
  <c r="X303" i="1"/>
  <c r="X304" i="1"/>
  <c r="X305" i="1"/>
  <c r="X294" i="1"/>
  <c r="X307" i="1"/>
  <c r="X308" i="1"/>
  <c r="X309" i="1"/>
  <c r="X295" i="1"/>
  <c r="X311" i="1"/>
  <c r="X312" i="1"/>
  <c r="X313" i="1"/>
  <c r="X314" i="1"/>
  <c r="X315" i="1"/>
  <c r="X298" i="1"/>
  <c r="X317" i="1"/>
  <c r="X318" i="1"/>
  <c r="X370" i="1"/>
  <c r="X299" i="1"/>
  <c r="X321" i="1"/>
  <c r="X322" i="1"/>
  <c r="X306" i="1"/>
  <c r="X310" i="1"/>
  <c r="X325" i="1"/>
  <c r="X319" i="1"/>
  <c r="X323" i="1"/>
  <c r="X328" i="1"/>
  <c r="X329" i="1"/>
  <c r="X330" i="1"/>
  <c r="X331" i="1"/>
  <c r="X326" i="1"/>
  <c r="X333" i="1"/>
  <c r="X334" i="1"/>
  <c r="X335" i="1"/>
  <c r="X332" i="1"/>
  <c r="X337" i="1"/>
  <c r="X336" i="1"/>
  <c r="X338" i="1"/>
  <c r="X340" i="1"/>
  <c r="X365" i="1"/>
  <c r="X342" i="1"/>
  <c r="X343" i="1"/>
  <c r="X339" i="1"/>
  <c r="X341" i="1"/>
  <c r="X346" i="1"/>
  <c r="X371" i="1"/>
  <c r="X348" i="1"/>
  <c r="X349" i="1"/>
  <c r="X350" i="1"/>
  <c r="X351" i="1"/>
  <c r="X352" i="1"/>
  <c r="X344" i="1"/>
  <c r="X345" i="1"/>
  <c r="X355" i="1"/>
  <c r="X356" i="1"/>
  <c r="X357" i="1"/>
  <c r="X358" i="1"/>
  <c r="X359" i="1"/>
  <c r="X360" i="1"/>
  <c r="X361" i="1"/>
  <c r="X362" i="1"/>
  <c r="X347" i="1"/>
  <c r="X372" i="1"/>
  <c r="X353" i="1"/>
  <c r="X366" i="1"/>
  <c r="X367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48" i="1"/>
  <c r="W250" i="1"/>
  <c r="W238" i="1"/>
  <c r="W257" i="1"/>
  <c r="W240" i="1"/>
  <c r="W241" i="1"/>
  <c r="W242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9" i="1"/>
  <c r="W271" i="1"/>
  <c r="W259" i="1"/>
  <c r="W260" i="1"/>
  <c r="W261" i="1"/>
  <c r="W262" i="1"/>
  <c r="W277" i="1"/>
  <c r="W264" i="1"/>
  <c r="W265" i="1"/>
  <c r="W278" i="1"/>
  <c r="W287" i="1"/>
  <c r="W268" i="1"/>
  <c r="W300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2" i="1"/>
  <c r="W266" i="1"/>
  <c r="W280" i="1"/>
  <c r="W288" i="1"/>
  <c r="W296" i="1"/>
  <c r="W289" i="1"/>
  <c r="W290" i="1"/>
  <c r="W291" i="1"/>
  <c r="W293" i="1"/>
  <c r="W301" i="1"/>
  <c r="W302" i="1"/>
  <c r="W303" i="1"/>
  <c r="W304" i="1"/>
  <c r="W305" i="1"/>
  <c r="W294" i="1"/>
  <c r="W307" i="1"/>
  <c r="W308" i="1"/>
  <c r="W309" i="1"/>
  <c r="W295" i="1"/>
  <c r="W311" i="1"/>
  <c r="W312" i="1"/>
  <c r="W313" i="1"/>
  <c r="W314" i="1"/>
  <c r="W315" i="1"/>
  <c r="W298" i="1"/>
  <c r="W317" i="1"/>
  <c r="W318" i="1"/>
  <c r="W370" i="1"/>
  <c r="W299" i="1"/>
  <c r="W321" i="1"/>
  <c r="W322" i="1"/>
  <c r="W306" i="1"/>
  <c r="W310" i="1"/>
  <c r="W325" i="1"/>
  <c r="W319" i="1"/>
  <c r="W323" i="1"/>
  <c r="W328" i="1"/>
  <c r="W329" i="1"/>
  <c r="W330" i="1"/>
  <c r="W331" i="1"/>
  <c r="W326" i="1"/>
  <c r="W333" i="1"/>
  <c r="W334" i="1"/>
  <c r="W335" i="1"/>
  <c r="W332" i="1"/>
  <c r="W337" i="1"/>
  <c r="W336" i="1"/>
  <c r="W338" i="1"/>
  <c r="W340" i="1"/>
  <c r="W365" i="1"/>
  <c r="W342" i="1"/>
  <c r="W343" i="1"/>
  <c r="W339" i="1"/>
  <c r="W341" i="1"/>
  <c r="W346" i="1"/>
  <c r="W371" i="1"/>
  <c r="W348" i="1"/>
  <c r="W349" i="1"/>
  <c r="W350" i="1"/>
  <c r="W351" i="1"/>
  <c r="W352" i="1"/>
  <c r="W344" i="1"/>
  <c r="W345" i="1"/>
  <c r="W355" i="1"/>
  <c r="W356" i="1"/>
  <c r="W357" i="1"/>
  <c r="W358" i="1"/>
  <c r="W359" i="1"/>
  <c r="W360" i="1"/>
  <c r="W361" i="1"/>
  <c r="W362" i="1"/>
  <c r="W347" i="1"/>
  <c r="W372" i="1"/>
  <c r="W353" i="1"/>
  <c r="W366" i="1"/>
  <c r="W367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48" i="1"/>
  <c r="V250" i="1"/>
  <c r="V238" i="1"/>
  <c r="V257" i="1"/>
  <c r="V240" i="1"/>
  <c r="V241" i="1"/>
  <c r="V242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9" i="1"/>
  <c r="V271" i="1"/>
  <c r="V259" i="1"/>
  <c r="V260" i="1"/>
  <c r="V261" i="1"/>
  <c r="V262" i="1"/>
  <c r="V277" i="1"/>
  <c r="V264" i="1"/>
  <c r="V265" i="1"/>
  <c r="V278" i="1"/>
  <c r="V287" i="1"/>
  <c r="V268" i="1"/>
  <c r="V300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2" i="1"/>
  <c r="V266" i="1"/>
  <c r="V280" i="1"/>
  <c r="V288" i="1"/>
  <c r="V296" i="1"/>
  <c r="V289" i="1"/>
  <c r="V290" i="1"/>
  <c r="V291" i="1"/>
  <c r="V293" i="1"/>
  <c r="V301" i="1"/>
  <c r="V302" i="1"/>
  <c r="V303" i="1"/>
  <c r="V304" i="1"/>
  <c r="V305" i="1"/>
  <c r="V294" i="1"/>
  <c r="V307" i="1"/>
  <c r="V308" i="1"/>
  <c r="V309" i="1"/>
  <c r="V295" i="1"/>
  <c r="V311" i="1"/>
  <c r="V312" i="1"/>
  <c r="V313" i="1"/>
  <c r="V314" i="1"/>
  <c r="V315" i="1"/>
  <c r="V298" i="1"/>
  <c r="V317" i="1"/>
  <c r="V318" i="1"/>
  <c r="V370" i="1"/>
  <c r="V299" i="1"/>
  <c r="V321" i="1"/>
  <c r="V322" i="1"/>
  <c r="V306" i="1"/>
  <c r="V310" i="1"/>
  <c r="V325" i="1"/>
  <c r="V319" i="1"/>
  <c r="V323" i="1"/>
  <c r="V328" i="1"/>
  <c r="V329" i="1"/>
  <c r="V330" i="1"/>
  <c r="V331" i="1"/>
  <c r="V326" i="1"/>
  <c r="V333" i="1"/>
  <c r="V334" i="1"/>
  <c r="V335" i="1"/>
  <c r="V332" i="1"/>
  <c r="V337" i="1"/>
  <c r="V336" i="1"/>
  <c r="V338" i="1"/>
  <c r="V340" i="1"/>
  <c r="V365" i="1"/>
  <c r="V342" i="1"/>
  <c r="V343" i="1"/>
  <c r="V339" i="1"/>
  <c r="V341" i="1"/>
  <c r="V346" i="1"/>
  <c r="V371" i="1"/>
  <c r="V348" i="1"/>
  <c r="V349" i="1"/>
  <c r="V350" i="1"/>
  <c r="V351" i="1"/>
  <c r="V352" i="1"/>
  <c r="V344" i="1"/>
  <c r="V345" i="1"/>
  <c r="V355" i="1"/>
  <c r="V356" i="1"/>
  <c r="V357" i="1"/>
  <c r="V358" i="1"/>
  <c r="V359" i="1"/>
  <c r="V360" i="1"/>
  <c r="V361" i="1"/>
  <c r="V362" i="1"/>
  <c r="V347" i="1"/>
  <c r="V372" i="1"/>
  <c r="V353" i="1"/>
  <c r="V366" i="1"/>
  <c r="V367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48" i="1"/>
  <c r="U250" i="1"/>
  <c r="U238" i="1"/>
  <c r="U257" i="1"/>
  <c r="U240" i="1"/>
  <c r="U241" i="1"/>
  <c r="U242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9" i="1"/>
  <c r="U271" i="1"/>
  <c r="U259" i="1"/>
  <c r="U260" i="1"/>
  <c r="U261" i="1"/>
  <c r="U262" i="1"/>
  <c r="U277" i="1"/>
  <c r="U264" i="1"/>
  <c r="U265" i="1"/>
  <c r="U278" i="1"/>
  <c r="U287" i="1"/>
  <c r="U268" i="1"/>
  <c r="U300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2" i="1"/>
  <c r="U266" i="1"/>
  <c r="U280" i="1"/>
  <c r="U288" i="1"/>
  <c r="U296" i="1"/>
  <c r="U289" i="1"/>
  <c r="U290" i="1"/>
  <c r="U291" i="1"/>
  <c r="U293" i="1"/>
  <c r="U301" i="1"/>
  <c r="U302" i="1"/>
  <c r="U303" i="1"/>
  <c r="U304" i="1"/>
  <c r="U305" i="1"/>
  <c r="U294" i="1"/>
  <c r="U307" i="1"/>
  <c r="U308" i="1"/>
  <c r="U309" i="1"/>
  <c r="U295" i="1"/>
  <c r="U311" i="1"/>
  <c r="U312" i="1"/>
  <c r="U313" i="1"/>
  <c r="U314" i="1"/>
  <c r="U315" i="1"/>
  <c r="U298" i="1"/>
  <c r="U317" i="1"/>
  <c r="U318" i="1"/>
  <c r="U370" i="1"/>
  <c r="U299" i="1"/>
  <c r="U321" i="1"/>
  <c r="U322" i="1"/>
  <c r="U306" i="1"/>
  <c r="U310" i="1"/>
  <c r="U325" i="1"/>
  <c r="U319" i="1"/>
  <c r="U323" i="1"/>
  <c r="U328" i="1"/>
  <c r="U329" i="1"/>
  <c r="U330" i="1"/>
  <c r="U331" i="1"/>
  <c r="U326" i="1"/>
  <c r="U333" i="1"/>
  <c r="U334" i="1"/>
  <c r="U335" i="1"/>
  <c r="U332" i="1"/>
  <c r="U337" i="1"/>
  <c r="U336" i="1"/>
  <c r="U338" i="1"/>
  <c r="U340" i="1"/>
  <c r="U365" i="1"/>
  <c r="U342" i="1"/>
  <c r="U343" i="1"/>
  <c r="U339" i="1"/>
  <c r="U341" i="1"/>
  <c r="U346" i="1"/>
  <c r="U371" i="1"/>
  <c r="U348" i="1"/>
  <c r="U349" i="1"/>
  <c r="U350" i="1"/>
  <c r="U351" i="1"/>
  <c r="U352" i="1"/>
  <c r="U344" i="1"/>
  <c r="U345" i="1"/>
  <c r="U355" i="1"/>
  <c r="U356" i="1"/>
  <c r="U357" i="1"/>
  <c r="U358" i="1"/>
  <c r="U359" i="1"/>
  <c r="U360" i="1"/>
  <c r="U361" i="1"/>
  <c r="U362" i="1"/>
  <c r="U347" i="1"/>
  <c r="U372" i="1"/>
  <c r="U353" i="1"/>
  <c r="U366" i="1"/>
  <c r="U367" i="1"/>
  <c r="U368" i="1"/>
  <c r="L368" i="1"/>
  <c r="S368" i="1"/>
  <c r="T368" i="1"/>
  <c r="L367" i="1"/>
  <c r="S367" i="1"/>
  <c r="T367" i="1"/>
  <c r="S366" i="1"/>
  <c r="T366" i="1"/>
  <c r="L353" i="1"/>
  <c r="R353" i="1"/>
  <c r="Q353" i="1"/>
  <c r="S353" i="1"/>
  <c r="T353" i="1"/>
  <c r="S372" i="1"/>
  <c r="T372" i="1"/>
  <c r="G715" i="25" a="1"/>
  <c r="G716" i="25" a="1"/>
  <c r="G717" i="25" a="1"/>
  <c r="G718" i="25" a="1"/>
  <c r="G719" i="25" a="1"/>
  <c r="G720" i="25" a="1"/>
  <c r="G721" i="25" a="1"/>
  <c r="G722" i="25" a="1"/>
  <c r="G723" i="25" a="1"/>
  <c r="G724" i="25" a="1"/>
  <c r="L347" i="1"/>
  <c r="R347" i="1"/>
  <c r="Q347" i="1"/>
  <c r="S347" i="1"/>
  <c r="T347" i="1"/>
  <c r="L362" i="1"/>
  <c r="S362" i="1"/>
  <c r="T362" i="1"/>
  <c r="L360" i="1"/>
  <c r="R360" i="1"/>
  <c r="Q360" i="1"/>
  <c r="S360" i="1"/>
  <c r="T360" i="1"/>
  <c r="L361" i="1"/>
  <c r="R361" i="1"/>
  <c r="Q361" i="1"/>
  <c r="S361" i="1"/>
  <c r="T361" i="1"/>
  <c r="L359" i="1"/>
  <c r="S359" i="1"/>
  <c r="T359" i="1"/>
  <c r="G713" i="25" a="1"/>
  <c r="L358" i="1"/>
  <c r="S358" i="1"/>
  <c r="T358" i="1"/>
  <c r="B8" i="42"/>
  <c r="D8" i="42"/>
  <c r="C5" i="42"/>
  <c r="E5" i="42"/>
  <c r="C6" i="42"/>
  <c r="E6" i="42"/>
  <c r="C7" i="42"/>
  <c r="E7" i="42"/>
  <c r="G707" i="25" a="1"/>
  <c r="G708" i="25" a="1"/>
  <c r="G709" i="25" a="1"/>
  <c r="G710" i="25" a="1"/>
  <c r="G711" i="25" a="1"/>
  <c r="G712" i="25" a="1"/>
  <c r="C8" i="42"/>
  <c r="E8" i="42"/>
  <c r="L357" i="1"/>
  <c r="S357" i="1"/>
  <c r="T357" i="1"/>
  <c r="L356" i="1"/>
  <c r="S356" i="1"/>
  <c r="T356" i="1"/>
  <c r="L355" i="1"/>
  <c r="S355" i="1"/>
  <c r="T355" i="1"/>
  <c r="G705" i="25" a="1"/>
  <c r="G706" i="25" a="1"/>
  <c r="G701" i="25" a="1"/>
  <c r="G702" i="25" a="1"/>
  <c r="G703" i="25" a="1"/>
  <c r="G704" i="25" a="1"/>
  <c r="L345" i="1"/>
  <c r="R345" i="1"/>
  <c r="Q345" i="1"/>
  <c r="S345" i="1"/>
  <c r="T345" i="1"/>
  <c r="L352" i="1"/>
  <c r="R352" i="1"/>
  <c r="Q352" i="1"/>
  <c r="S352" i="1"/>
  <c r="T352" i="1"/>
  <c r="L351" i="1"/>
  <c r="R351" i="1"/>
  <c r="Q351" i="1"/>
  <c r="S351" i="1"/>
  <c r="T351" i="1"/>
  <c r="G685" i="25" a="1"/>
  <c r="G686" i="25" a="1"/>
  <c r="G687" i="25" a="1"/>
  <c r="G688" i="25" a="1"/>
  <c r="G689" i="25" a="1"/>
  <c r="G690" i="25" a="1"/>
  <c r="G691" i="25" a="1"/>
  <c r="G692" i="25" a="1"/>
  <c r="G693" i="25" a="1"/>
  <c r="G694" i="25" a="1"/>
  <c r="G695" i="25" a="1"/>
  <c r="G696" i="25" a="1"/>
  <c r="G697" i="25" a="1"/>
  <c r="G698" i="25" a="1"/>
  <c r="G699" i="25" a="1"/>
  <c r="G700" i="25" a="1"/>
  <c r="L344" i="1"/>
  <c r="R344" i="1"/>
  <c r="Q344" i="1"/>
  <c r="S344" i="1"/>
  <c r="T344" i="1"/>
  <c r="L350" i="1"/>
  <c r="R350" i="1"/>
  <c r="Q350" i="1"/>
  <c r="S350" i="1"/>
  <c r="T350" i="1"/>
  <c r="L349" i="1"/>
  <c r="S349" i="1"/>
  <c r="T349" i="1"/>
  <c r="L348" i="1"/>
  <c r="S348" i="1"/>
  <c r="T348" i="1"/>
  <c r="S371" i="1"/>
  <c r="T371" i="1"/>
  <c r="L346" i="1"/>
  <c r="R346" i="1"/>
  <c r="Q346" i="1"/>
  <c r="S346" i="1"/>
  <c r="T346" i="1"/>
  <c r="L341" i="1"/>
  <c r="R341" i="1"/>
  <c r="Q341" i="1"/>
  <c r="S341" i="1"/>
  <c r="T341" i="1"/>
  <c r="L339" i="1"/>
  <c r="R339" i="1"/>
  <c r="Q339" i="1"/>
  <c r="S339" i="1"/>
  <c r="T339" i="1"/>
  <c r="G681" i="25" a="1"/>
  <c r="G682" i="25" a="1"/>
  <c r="G683" i="25" a="1"/>
  <c r="G684" i="25" a="1"/>
  <c r="L343" i="1"/>
  <c r="R343" i="1"/>
  <c r="Q343" i="1"/>
  <c r="S343" i="1"/>
  <c r="T343" i="1"/>
  <c r="L342" i="1"/>
  <c r="R342" i="1"/>
  <c r="Q342" i="1"/>
  <c r="S342" i="1"/>
  <c r="T342" i="1"/>
  <c r="G675" i="25" a="1"/>
  <c r="G676" i="25" a="1"/>
  <c r="G677" i="25" a="1"/>
  <c r="G678" i="25" a="1"/>
  <c r="G679" i="25" a="1"/>
  <c r="G680" i="25" a="1"/>
  <c r="L338" i="1"/>
  <c r="R338" i="1"/>
  <c r="Q338" i="1"/>
  <c r="S338" i="1"/>
  <c r="T338" i="1"/>
  <c r="L365" i="1"/>
  <c r="R365" i="1"/>
  <c r="Q365" i="1"/>
  <c r="S365" i="1"/>
  <c r="T365" i="1"/>
  <c r="L340" i="1"/>
  <c r="R340" i="1"/>
  <c r="Q340" i="1"/>
  <c r="S340" i="1"/>
  <c r="T340" i="1"/>
  <c r="M421" i="1"/>
  <c r="N229" i="1"/>
  <c r="N421" i="1"/>
  <c r="G661" i="25" a="1"/>
  <c r="G662" i="25" a="1"/>
  <c r="G663" i="25" a="1"/>
  <c r="G664" i="25" a="1"/>
  <c r="G665" i="25" a="1"/>
  <c r="G666" i="25" a="1"/>
  <c r="G667" i="25" a="1"/>
  <c r="G668" i="25" a="1"/>
  <c r="G669" i="25" a="1"/>
  <c r="G670" i="25" a="1"/>
  <c r="G671" i="25" a="1"/>
  <c r="G672" i="25" a="1"/>
  <c r="G673" i="25" a="1"/>
  <c r="G674" i="25" a="1"/>
  <c r="L336" i="1"/>
  <c r="R336" i="1"/>
  <c r="Q336" i="1"/>
  <c r="S336" i="1"/>
  <c r="T336" i="1"/>
  <c r="L337" i="1"/>
  <c r="S337" i="1"/>
  <c r="T337" i="1"/>
  <c r="L332" i="1"/>
  <c r="R332" i="1"/>
  <c r="Q332" i="1"/>
  <c r="S332" i="1"/>
  <c r="T332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70" i="1"/>
  <c r="S320" i="1"/>
  <c r="S321" i="1"/>
  <c r="S322" i="1"/>
  <c r="S323" i="1"/>
  <c r="S324" i="1"/>
  <c r="S325" i="1"/>
  <c r="S319" i="1"/>
  <c r="S327" i="1"/>
  <c r="S328" i="1"/>
  <c r="S329" i="1"/>
  <c r="S330" i="1"/>
  <c r="S331" i="1"/>
  <c r="S326" i="1"/>
  <c r="S333" i="1"/>
  <c r="S334" i="1"/>
  <c r="S335" i="1"/>
  <c r="L335" i="1"/>
  <c r="R335" i="1"/>
  <c r="Q335" i="1"/>
  <c r="T335" i="1"/>
  <c r="L334" i="1"/>
  <c r="R334" i="1"/>
  <c r="Q334" i="1"/>
  <c r="T334" i="1"/>
  <c r="L333" i="1"/>
  <c r="R333" i="1"/>
  <c r="Q333" i="1"/>
  <c r="T333" i="1"/>
  <c r="L326" i="1"/>
  <c r="R326" i="1"/>
  <c r="Q326" i="1"/>
  <c r="T326" i="1"/>
  <c r="G659" i="25" a="1"/>
  <c r="G660" i="25" a="1"/>
  <c r="L331" i="1"/>
  <c r="R331" i="1"/>
  <c r="Q331" i="1"/>
  <c r="T331" i="1"/>
  <c r="G639" i="25" a="1"/>
  <c r="G640" i="25" a="1"/>
  <c r="G641" i="25" a="1"/>
  <c r="G642" i="25" a="1"/>
  <c r="G643" i="25" a="1"/>
  <c r="G644" i="25" a="1"/>
  <c r="G645" i="25" a="1"/>
  <c r="G646" i="25" a="1"/>
  <c r="G647" i="25" a="1"/>
  <c r="G648" i="25" a="1"/>
  <c r="G649" i="25" a="1"/>
  <c r="G650" i="25" a="1"/>
  <c r="G651" i="25" a="1"/>
  <c r="G652" i="25" a="1"/>
  <c r="G653" i="25" a="1"/>
  <c r="G654" i="25" a="1"/>
  <c r="G655" i="25" a="1"/>
  <c r="G656" i="25" a="1"/>
  <c r="G657" i="25" a="1"/>
  <c r="G658" i="25" a="1"/>
  <c r="L330" i="1"/>
  <c r="R330" i="1"/>
  <c r="Q330" i="1"/>
  <c r="T330" i="1"/>
  <c r="L329" i="1"/>
  <c r="T329" i="1"/>
  <c r="L328" i="1"/>
  <c r="R328" i="1"/>
  <c r="Q328" i="1"/>
  <c r="T328" i="1"/>
  <c r="L327" i="1"/>
  <c r="R327" i="1"/>
  <c r="Q327" i="1"/>
  <c r="T327" i="1"/>
  <c r="L319" i="1"/>
  <c r="R319" i="1"/>
  <c r="Q319" i="1"/>
  <c r="T319" i="1"/>
  <c r="L325" i="1"/>
  <c r="T325" i="1"/>
  <c r="L324" i="1"/>
  <c r="R324" i="1"/>
  <c r="Q324" i="1"/>
  <c r="T324" i="1"/>
  <c r="L323" i="1"/>
  <c r="R323" i="1"/>
  <c r="Q323" i="1"/>
  <c r="T323" i="1"/>
  <c r="L2" i="1"/>
  <c r="R2" i="1"/>
  <c r="Q2" i="1"/>
  <c r="L322" i="1"/>
  <c r="R322" i="1"/>
  <c r="Q322" i="1"/>
  <c r="T322" i="1"/>
  <c r="L321" i="1"/>
  <c r="T321" i="1"/>
  <c r="G635" i="25" a="1"/>
  <c r="G636" i="25" a="1"/>
  <c r="G637" i="25" a="1"/>
  <c r="G638" i="25" a="1"/>
  <c r="L320" i="1"/>
  <c r="R320" i="1"/>
  <c r="Q320" i="1"/>
  <c r="T320" i="1"/>
  <c r="T370" i="1"/>
  <c r="G625" i="25" a="1"/>
  <c r="G626" i="25" a="1"/>
  <c r="G627" i="25" a="1"/>
  <c r="G628" i="25" a="1"/>
  <c r="G629" i="25" a="1"/>
  <c r="G630" i="25" a="1"/>
  <c r="G631" i="25" a="1"/>
  <c r="G632" i="25" a="1"/>
  <c r="G633" i="25" a="1"/>
  <c r="G634" i="25" a="1"/>
  <c r="L318" i="1"/>
  <c r="R318" i="1"/>
  <c r="Q318" i="1"/>
  <c r="T318" i="1"/>
  <c r="L317" i="1"/>
  <c r="R317" i="1"/>
  <c r="Q317" i="1"/>
  <c r="T317" i="1"/>
  <c r="L316" i="1"/>
  <c r="R316" i="1"/>
  <c r="Q316" i="1"/>
  <c r="T316" i="1"/>
  <c r="L315" i="1"/>
  <c r="R315" i="1"/>
  <c r="Q315" i="1"/>
  <c r="T315" i="1"/>
  <c r="L314" i="1"/>
  <c r="R314" i="1"/>
  <c r="Q314" i="1"/>
  <c r="T314" i="1"/>
  <c r="G623" i="25" a="1"/>
  <c r="G624" i="25" a="1"/>
  <c r="L313" i="1"/>
  <c r="R313" i="1"/>
  <c r="Q313" i="1"/>
  <c r="T313" i="1"/>
  <c r="G619" i="25" a="1"/>
  <c r="G620" i="25" a="1"/>
  <c r="G621" i="25" a="1"/>
  <c r="G622" i="25" a="1"/>
  <c r="L312" i="1"/>
  <c r="T312" i="1"/>
  <c r="L311" i="1"/>
  <c r="R311" i="1"/>
  <c r="Q311" i="1"/>
  <c r="T311" i="1"/>
  <c r="G589" i="25" a="1"/>
  <c r="G590" i="25" a="1"/>
  <c r="G591" i="25" a="1"/>
  <c r="G592" i="25" a="1"/>
  <c r="G593" i="25" a="1"/>
  <c r="G594" i="25" a="1"/>
  <c r="G595" i="25" a="1"/>
  <c r="G596" i="25" a="1"/>
  <c r="G597" i="25" a="1"/>
  <c r="G598" i="25" a="1"/>
  <c r="G599" i="25" a="1"/>
  <c r="G600" i="25" a="1"/>
  <c r="G601" i="25" a="1"/>
  <c r="G602" i="25" a="1"/>
  <c r="G603" i="25" a="1"/>
  <c r="G604" i="25" a="1"/>
  <c r="G605" i="25" a="1"/>
  <c r="G606" i="25" a="1"/>
  <c r="G607" i="25" a="1"/>
  <c r="G608" i="25" a="1"/>
  <c r="G609" i="25" a="1"/>
  <c r="G610" i="25" a="1"/>
  <c r="G611" i="25" a="1"/>
  <c r="G612" i="25" a="1"/>
  <c r="G613" i="25" a="1"/>
  <c r="G614" i="25" a="1"/>
  <c r="G615" i="25" a="1"/>
  <c r="G616" i="25" a="1"/>
  <c r="G617" i="25" a="1"/>
  <c r="G618" i="25" a="1"/>
  <c r="L310" i="1"/>
  <c r="R310" i="1"/>
  <c r="Q310" i="1"/>
  <c r="T310" i="1"/>
  <c r="L309" i="1"/>
  <c r="R309" i="1"/>
  <c r="Q309" i="1"/>
  <c r="T309" i="1"/>
  <c r="L308" i="1"/>
  <c r="R308" i="1"/>
  <c r="Q308" i="1"/>
  <c r="T308" i="1"/>
  <c r="L307" i="1"/>
  <c r="R307" i="1"/>
  <c r="Q307" i="1"/>
  <c r="T307" i="1"/>
  <c r="L305" i="1"/>
  <c r="R305" i="1"/>
  <c r="Q305" i="1"/>
  <c r="T305" i="1"/>
  <c r="L306" i="1"/>
  <c r="R306" i="1"/>
  <c r="Q306" i="1"/>
  <c r="T306" i="1"/>
  <c r="L304" i="1"/>
  <c r="R304" i="1"/>
  <c r="Q304" i="1"/>
  <c r="T304" i="1"/>
  <c r="L302" i="1"/>
  <c r="R302" i="1"/>
  <c r="Q302" i="1"/>
  <c r="T302" i="1"/>
  <c r="L300" i="1"/>
  <c r="R300" i="1"/>
  <c r="Q300" i="1"/>
  <c r="T300" i="1"/>
  <c r="L303" i="1"/>
  <c r="R303" i="1"/>
  <c r="Q303" i="1"/>
  <c r="T303" i="1"/>
  <c r="L301" i="1"/>
  <c r="R301" i="1"/>
  <c r="Q301" i="1"/>
  <c r="T301" i="1"/>
  <c r="L299" i="1"/>
  <c r="R299" i="1"/>
  <c r="Q299" i="1"/>
  <c r="T299" i="1"/>
  <c r="L298" i="1"/>
  <c r="R298" i="1"/>
  <c r="Q298" i="1"/>
  <c r="T298" i="1"/>
  <c r="L297" i="1"/>
  <c r="R297" i="1"/>
  <c r="Q297" i="1"/>
  <c r="T297" i="1"/>
  <c r="I14" i="31"/>
  <c r="I13" i="31"/>
  <c r="L296" i="1"/>
  <c r="R296" i="1"/>
  <c r="Q296" i="1"/>
  <c r="T296" i="1"/>
  <c r="G5" i="31"/>
  <c r="D5" i="31"/>
  <c r="D3" i="31"/>
  <c r="G3" i="31"/>
  <c r="G4" i="31"/>
  <c r="D4" i="3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9" i="25" a="1"/>
  <c r="G10" i="25" a="1"/>
  <c r="G11" i="25" a="1"/>
  <c r="G12" i="25" a="1"/>
  <c r="G13" i="25" a="1"/>
  <c r="G14" i="25" a="1"/>
  <c r="G15" i="25" a="1"/>
  <c r="G16" i="25" a="1"/>
  <c r="G17" i="25" a="1"/>
  <c r="G18" i="25" a="1"/>
  <c r="G19" i="25" a="1"/>
  <c r="G20" i="25" a="1"/>
  <c r="G21" i="25" a="1"/>
  <c r="G22" i="25" a="1"/>
  <c r="G23" i="25" a="1"/>
  <c r="G24" i="25" a="1"/>
  <c r="G25" i="25" a="1"/>
  <c r="G26" i="25" a="1"/>
  <c r="G27" i="25" a="1"/>
  <c r="G28" i="25" a="1"/>
  <c r="G29" i="25" a="1"/>
  <c r="G30" i="25" a="1"/>
  <c r="G31" i="25" a="1"/>
  <c r="G32" i="25" a="1"/>
  <c r="G33" i="25" a="1"/>
  <c r="G34" i="25" a="1"/>
  <c r="G35" i="25" a="1"/>
  <c r="G36" i="25" a="1"/>
  <c r="G37" i="25" a="1"/>
  <c r="G38" i="25" a="1"/>
  <c r="G39" i="25" a="1"/>
  <c r="G40" i="25" a="1"/>
  <c r="G41" i="25" a="1"/>
  <c r="G42" i="25" a="1"/>
  <c r="G43" i="25" a="1"/>
  <c r="G44" i="25" a="1"/>
  <c r="G45" i="25" a="1"/>
  <c r="G46" i="25" a="1"/>
  <c r="G47" i="25" a="1"/>
  <c r="G48" i="25" a="1"/>
  <c r="G49" i="25" a="1"/>
  <c r="G50" i="25" a="1"/>
  <c r="G51" i="25" a="1"/>
  <c r="G52" i="25" a="1"/>
  <c r="G53" i="25" a="1"/>
  <c r="G54" i="25" a="1"/>
  <c r="G55" i="25" a="1"/>
  <c r="G56" i="25" a="1"/>
  <c r="G57" i="25" a="1"/>
  <c r="G58" i="25" a="1"/>
  <c r="G59" i="25" a="1"/>
  <c r="G60" i="25" a="1"/>
  <c r="G61" i="25" a="1"/>
  <c r="G62" i="25" a="1"/>
  <c r="G63" i="25" a="1"/>
  <c r="G64" i="25" a="1"/>
  <c r="G65" i="25" a="1"/>
  <c r="G66" i="25" a="1"/>
  <c r="G67" i="25" a="1"/>
  <c r="G68" i="25" a="1"/>
  <c r="G69" i="25" a="1"/>
  <c r="G70" i="25" a="1"/>
  <c r="G71" i="25" a="1"/>
  <c r="G72" i="25" a="1"/>
  <c r="G73" i="25" a="1"/>
  <c r="G74" i="25" a="1"/>
  <c r="G75" i="25" a="1"/>
  <c r="G76" i="25" a="1"/>
  <c r="G77" i="25" a="1"/>
  <c r="G78" i="25" a="1"/>
  <c r="G79" i="25" a="1"/>
  <c r="G80" i="25" a="1"/>
  <c r="G81" i="25" a="1"/>
  <c r="G82" i="25" a="1"/>
  <c r="G83" i="25" a="1"/>
  <c r="G84" i="25" a="1"/>
  <c r="G85" i="25" a="1"/>
  <c r="G86" i="25" a="1"/>
  <c r="G87" i="25" a="1"/>
  <c r="G88" i="25" a="1"/>
  <c r="G89" i="25" a="1"/>
  <c r="G90" i="25" a="1"/>
  <c r="G91" i="25" a="1"/>
  <c r="G92" i="25" a="1"/>
  <c r="G93" i="25" a="1"/>
  <c r="G94" i="25" a="1"/>
  <c r="G95" i="25" a="1"/>
  <c r="G96" i="25" a="1"/>
  <c r="G97" i="25" a="1"/>
  <c r="G98" i="25" a="1"/>
  <c r="G99" i="25" a="1"/>
  <c r="G100" i="25" a="1"/>
  <c r="G101" i="25" a="1"/>
  <c r="G102" i="25" a="1"/>
  <c r="G103" i="25" a="1"/>
  <c r="G104" i="25" a="1"/>
  <c r="G105" i="25" a="1"/>
  <c r="G106" i="25" a="1"/>
  <c r="G107" i="25" a="1"/>
  <c r="G108" i="25" a="1"/>
  <c r="G109" i="25" a="1"/>
  <c r="G110" i="25" a="1"/>
  <c r="G111" i="25" a="1"/>
  <c r="G112" i="25" a="1"/>
  <c r="G113" i="25" a="1"/>
  <c r="G114" i="25" a="1"/>
  <c r="G115" i="25" a="1"/>
  <c r="G116" i="25" a="1"/>
  <c r="G117" i="25" a="1"/>
  <c r="G118" i="25" a="1"/>
  <c r="G119" i="25" a="1"/>
  <c r="G120" i="25" a="1"/>
  <c r="G121" i="25" a="1"/>
  <c r="G122" i="25" a="1"/>
  <c r="G123" i="25" a="1"/>
  <c r="G124" i="25" a="1"/>
  <c r="G125" i="25" a="1"/>
  <c r="G126" i="25" a="1"/>
  <c r="G127" i="25" a="1"/>
  <c r="G128" i="25" a="1"/>
  <c r="G129" i="25" a="1"/>
  <c r="G130" i="25" a="1"/>
  <c r="G131" i="25" a="1"/>
  <c r="G132" i="25" a="1"/>
  <c r="G133" i="25" a="1"/>
  <c r="G134" i="25" a="1"/>
  <c r="G135" i="25" a="1"/>
  <c r="G136" i="25" a="1"/>
  <c r="G137" i="25" a="1"/>
  <c r="G138" i="25" a="1"/>
  <c r="G139" i="25" a="1"/>
  <c r="G140" i="25" a="1"/>
  <c r="G141" i="25" a="1"/>
  <c r="G142" i="25" a="1"/>
  <c r="G143" i="25" a="1"/>
  <c r="G144" i="25" a="1"/>
  <c r="G145" i="25" a="1"/>
  <c r="G146" i="25" a="1"/>
  <c r="G147" i="25" a="1"/>
  <c r="G148" i="25" a="1"/>
  <c r="G149" i="25" a="1"/>
  <c r="G150" i="25" a="1"/>
  <c r="G151" i="25" a="1"/>
  <c r="G152" i="25" a="1"/>
  <c r="G153" i="25" a="1"/>
  <c r="G154" i="25" a="1"/>
  <c r="G155" i="25" a="1"/>
  <c r="G156" i="25" a="1"/>
  <c r="G157" i="25" a="1"/>
  <c r="G158" i="25" a="1"/>
  <c r="G159" i="25" a="1"/>
  <c r="G160" i="25" a="1"/>
  <c r="G161" i="25" a="1"/>
  <c r="G162" i="25" a="1"/>
  <c r="G163" i="25" a="1"/>
  <c r="G164" i="25" a="1"/>
  <c r="G165" i="25" a="1"/>
  <c r="G166" i="25" a="1"/>
  <c r="G167" i="25" a="1"/>
  <c r="G168" i="25" a="1"/>
  <c r="G169" i="25" a="1"/>
  <c r="G170" i="25" a="1"/>
  <c r="G171" i="25" a="1"/>
  <c r="G172" i="25" a="1"/>
  <c r="G173" i="25" a="1"/>
  <c r="G174" i="25" a="1"/>
  <c r="G175" i="25" a="1"/>
  <c r="G176" i="25" a="1"/>
  <c r="G177" i="25" a="1"/>
  <c r="G178" i="25" a="1"/>
  <c r="G179" i="25" a="1"/>
  <c r="G180" i="25" a="1"/>
  <c r="G181" i="25" a="1"/>
  <c r="G182" i="25" a="1"/>
  <c r="G183" i="25" a="1"/>
  <c r="G184" i="25" a="1"/>
  <c r="G185" i="25" a="1"/>
  <c r="G186" i="25" a="1"/>
  <c r="G187" i="25" a="1"/>
  <c r="G188" i="25" a="1"/>
  <c r="G189" i="25" a="1"/>
  <c r="G190" i="25" a="1"/>
  <c r="G191" i="25" a="1"/>
  <c r="G192" i="25" a="1"/>
  <c r="G193" i="25" a="1"/>
  <c r="G194" i="25" a="1"/>
  <c r="G195" i="25" a="1"/>
  <c r="G196" i="25" a="1"/>
  <c r="G197" i="25" a="1"/>
  <c r="G198" i="25" a="1"/>
  <c r="G199" i="25" a="1"/>
  <c r="G200" i="25" a="1"/>
  <c r="G201" i="25" a="1"/>
  <c r="G202" i="25" a="1"/>
  <c r="G203" i="25" a="1"/>
  <c r="G204" i="25" a="1"/>
  <c r="G205" i="25" a="1"/>
  <c r="G206" i="25" a="1"/>
  <c r="G207" i="25" a="1"/>
  <c r="G208" i="25" a="1"/>
  <c r="G209" i="25" a="1"/>
  <c r="G210" i="25" a="1"/>
  <c r="G211" i="25" a="1"/>
  <c r="G212" i="25" a="1"/>
  <c r="G213" i="25" a="1"/>
  <c r="G214" i="25" a="1"/>
  <c r="G215" i="25" a="1"/>
  <c r="G216" i="25" a="1"/>
  <c r="G217" i="25" a="1"/>
  <c r="G218" i="25" a="1"/>
  <c r="G219" i="25" a="1"/>
  <c r="G220" i="25" a="1"/>
  <c r="G221" i="25" a="1"/>
  <c r="G222" i="25" a="1"/>
  <c r="G223" i="25" a="1"/>
  <c r="G224" i="25" a="1"/>
  <c r="G225" i="25" a="1"/>
  <c r="G226" i="25" a="1"/>
  <c r="G227" i="25" a="1"/>
  <c r="G228" i="25" a="1"/>
  <c r="G229" i="25" a="1"/>
  <c r="G230" i="25" a="1"/>
  <c r="G231" i="25" a="1"/>
  <c r="G232" i="25" a="1"/>
  <c r="G233" i="25" a="1"/>
  <c r="G234" i="25" a="1"/>
  <c r="G235" i="25" a="1"/>
  <c r="G236" i="25" a="1"/>
  <c r="G237" i="25" a="1"/>
  <c r="G238" i="25" a="1"/>
  <c r="G239" i="25" a="1"/>
  <c r="G240" i="25" a="1"/>
  <c r="G241" i="25" a="1"/>
  <c r="G242" i="25" a="1"/>
  <c r="G243" i="25" a="1"/>
  <c r="G244" i="25" a="1"/>
  <c r="G245" i="25" a="1"/>
  <c r="G246" i="25" a="1"/>
  <c r="G247" i="25" a="1"/>
  <c r="G248" i="25" a="1"/>
  <c r="G249" i="25" a="1"/>
  <c r="G250" i="25" a="1"/>
  <c r="G251" i="25" a="1"/>
  <c r="G252" i="25" a="1"/>
  <c r="G253" i="25" a="1"/>
  <c r="G254" i="25" a="1"/>
  <c r="G255" i="25" a="1"/>
  <c r="G256" i="25" a="1"/>
  <c r="G257" i="25" a="1"/>
  <c r="G258" i="25" a="1"/>
  <c r="G259" i="25" a="1"/>
  <c r="G260" i="25" a="1"/>
  <c r="G261" i="25" a="1"/>
  <c r="G262" i="25" a="1"/>
  <c r="G263" i="25" a="1"/>
  <c r="G264" i="25" a="1"/>
  <c r="G265" i="25" a="1"/>
  <c r="G266" i="25" a="1"/>
  <c r="G267" i="25" a="1"/>
  <c r="G268" i="25" a="1"/>
  <c r="G269" i="25" a="1"/>
  <c r="G270" i="25" a="1"/>
  <c r="G271" i="25" a="1"/>
  <c r="G272" i="25" a="1"/>
  <c r="G273" i="25" a="1"/>
  <c r="G274" i="25" a="1"/>
  <c r="G275" i="25" a="1"/>
  <c r="G276" i="25" a="1"/>
  <c r="G277" i="25" a="1"/>
  <c r="G278" i="25" a="1"/>
  <c r="G279" i="25" a="1"/>
  <c r="G280" i="25" a="1"/>
  <c r="G281" i="25" a="1"/>
  <c r="G282" i="25" a="1"/>
  <c r="G283" i="25" a="1"/>
  <c r="G284" i="25" a="1"/>
  <c r="G285" i="25" a="1"/>
  <c r="G286" i="25" a="1"/>
  <c r="G287" i="25" a="1"/>
  <c r="G288" i="25" a="1"/>
  <c r="G289" i="25" a="1"/>
  <c r="G290" i="25" a="1"/>
  <c r="G291" i="25" a="1"/>
  <c r="G292" i="25" a="1"/>
  <c r="G293" i="25" a="1"/>
  <c r="G294" i="25" a="1"/>
  <c r="G295" i="25" a="1"/>
  <c r="G296" i="25" a="1"/>
  <c r="G297" i="25" a="1"/>
  <c r="G298" i="25" a="1"/>
  <c r="G299" i="25" a="1"/>
  <c r="G300" i="25" a="1"/>
  <c r="G301" i="25" a="1"/>
  <c r="G302" i="25" a="1"/>
  <c r="G303" i="25" a="1"/>
  <c r="G304" i="25" a="1"/>
  <c r="G305" i="25" a="1"/>
  <c r="G306" i="25" a="1"/>
  <c r="G307" i="25" a="1"/>
  <c r="G308" i="25" a="1"/>
  <c r="G309" i="25" a="1"/>
  <c r="G310" i="25" a="1"/>
  <c r="G311" i="25" a="1"/>
  <c r="G312" i="25" a="1"/>
  <c r="G313" i="25" a="1"/>
  <c r="G314" i="25" a="1"/>
  <c r="G315" i="25" a="1"/>
  <c r="G316" i="25" a="1"/>
  <c r="G317" i="25" a="1"/>
  <c r="G318" i="25" a="1"/>
  <c r="G319" i="25" a="1"/>
  <c r="G320" i="25" a="1"/>
  <c r="G321" i="25" a="1"/>
  <c r="G322" i="25" a="1"/>
  <c r="G323" i="25" a="1"/>
  <c r="G324" i="25" a="1"/>
  <c r="G325" i="25" a="1"/>
  <c r="G326" i="25" a="1"/>
  <c r="G327" i="25" a="1"/>
  <c r="G328" i="25" a="1"/>
  <c r="G329" i="25" a="1"/>
  <c r="G330" i="25" a="1"/>
  <c r="G331" i="25" a="1"/>
  <c r="G332" i="25" a="1"/>
  <c r="G333" i="25" a="1"/>
  <c r="G334" i="25" a="1"/>
  <c r="G335" i="25" a="1"/>
  <c r="G336" i="25" a="1"/>
  <c r="G337" i="25" a="1"/>
  <c r="G338" i="25" a="1"/>
  <c r="G339" i="25" a="1"/>
  <c r="G340" i="25" a="1"/>
  <c r="G341" i="25" a="1"/>
  <c r="G342" i="25" a="1"/>
  <c r="G343" i="25" a="1"/>
  <c r="G344" i="25" a="1"/>
  <c r="G345" i="25" a="1"/>
  <c r="G346" i="25" a="1"/>
  <c r="G347" i="25" a="1"/>
  <c r="G348" i="25" a="1"/>
  <c r="G349" i="25" a="1"/>
  <c r="G350" i="25" a="1"/>
  <c r="G351" i="25" a="1"/>
  <c r="G352" i="25" a="1"/>
  <c r="G353" i="25" a="1"/>
  <c r="G354" i="25" a="1"/>
  <c r="G355" i="25" a="1"/>
  <c r="G356" i="25" a="1"/>
  <c r="G357" i="25" a="1"/>
  <c r="G358" i="25" a="1"/>
  <c r="G359" i="25" a="1"/>
  <c r="G360" i="25" a="1"/>
  <c r="G361" i="25" a="1"/>
  <c r="G362" i="25" a="1"/>
  <c r="G363" i="25" a="1"/>
  <c r="G364" i="25" a="1"/>
  <c r="G365" i="25" a="1"/>
  <c r="G366" i="25" a="1"/>
  <c r="G367" i="25" a="1"/>
  <c r="G368" i="25" a="1"/>
  <c r="G369" i="25" a="1"/>
  <c r="G370" i="25" a="1"/>
  <c r="G371" i="25" a="1"/>
  <c r="G372" i="25" a="1"/>
  <c r="G373" i="25" a="1"/>
  <c r="G374" i="25" a="1"/>
  <c r="G375" i="25" a="1"/>
  <c r="G376" i="25" a="1"/>
  <c r="G377" i="25" a="1"/>
  <c r="G378" i="25" a="1"/>
  <c r="G379" i="25" a="1"/>
  <c r="G380" i="25" a="1"/>
  <c r="G381" i="25" a="1"/>
  <c r="G382" i="25" a="1"/>
  <c r="G383" i="25" a="1"/>
  <c r="G384" i="25" a="1"/>
  <c r="G385" i="25" a="1"/>
  <c r="G386" i="25" a="1"/>
  <c r="G387" i="25" a="1"/>
  <c r="G388" i="25" a="1"/>
  <c r="G389" i="25" a="1"/>
  <c r="G390" i="25" a="1"/>
  <c r="G391" i="25" a="1"/>
  <c r="G392" i="25" a="1"/>
  <c r="G393" i="25" a="1"/>
  <c r="G394" i="25" a="1"/>
  <c r="G395" i="25" a="1"/>
  <c r="G396" i="25" a="1"/>
  <c r="G397" i="25" a="1"/>
  <c r="G398" i="25" a="1"/>
  <c r="G399" i="25" a="1"/>
  <c r="G400" i="25" a="1"/>
  <c r="G401" i="25" a="1"/>
  <c r="G402" i="25" a="1"/>
  <c r="G403" i="25" a="1"/>
  <c r="G404" i="25" a="1"/>
  <c r="G405" i="25" a="1"/>
  <c r="G406" i="25" a="1"/>
  <c r="G407" i="25" a="1"/>
  <c r="G408" i="25" a="1"/>
  <c r="G409" i="25" a="1"/>
  <c r="G410" i="25" a="1"/>
  <c r="G411" i="25" a="1"/>
  <c r="G412" i="25" a="1"/>
  <c r="G413" i="25" a="1"/>
  <c r="G414" i="25" a="1"/>
  <c r="G415" i="25" a="1"/>
  <c r="G416" i="25" a="1"/>
  <c r="G417" i="25" a="1"/>
  <c r="G418" i="25" a="1"/>
  <c r="G419" i="25" a="1"/>
  <c r="G420" i="25" a="1"/>
  <c r="G421" i="25" a="1"/>
  <c r="G422" i="25" a="1"/>
  <c r="G423" i="25" a="1"/>
  <c r="G424" i="25" a="1"/>
  <c r="G425" i="25" a="1"/>
  <c r="G426" i="25" a="1"/>
  <c r="G427" i="25" a="1"/>
  <c r="G428" i="25" a="1"/>
  <c r="G429" i="25" a="1"/>
  <c r="G430" i="25" a="1"/>
  <c r="G431" i="25" a="1"/>
  <c r="G432" i="25" a="1"/>
  <c r="G433" i="25" a="1"/>
  <c r="G434" i="25" a="1"/>
  <c r="G435" i="25" a="1"/>
  <c r="G436" i="25" a="1"/>
  <c r="G437" i="25" a="1"/>
  <c r="G438" i="25" a="1"/>
  <c r="G439" i="25" a="1"/>
  <c r="G440" i="25" a="1"/>
  <c r="G441" i="25" a="1"/>
  <c r="G442" i="25" a="1"/>
  <c r="G443" i="25" a="1"/>
  <c r="G444" i="25" a="1"/>
  <c r="G445" i="25" a="1"/>
  <c r="G446" i="25" a="1"/>
  <c r="G447" i="25" a="1"/>
  <c r="G448" i="25" a="1"/>
  <c r="G449" i="25" a="1"/>
  <c r="G450" i="25" a="1"/>
  <c r="G451" i="25" a="1"/>
  <c r="G452" i="25" a="1"/>
  <c r="G453" i="25" a="1"/>
  <c r="G454" i="25" a="1"/>
  <c r="G455" i="25" a="1"/>
  <c r="G456" i="25" a="1"/>
  <c r="G457" i="25" a="1"/>
  <c r="G458" i="25" a="1"/>
  <c r="G459" i="25" a="1"/>
  <c r="G460" i="25" a="1"/>
  <c r="G461" i="25" a="1"/>
  <c r="G462" i="25" a="1"/>
  <c r="G463" i="25" a="1"/>
  <c r="G464" i="25" a="1"/>
  <c r="G465" i="25" a="1"/>
  <c r="G466" i="25" a="1"/>
  <c r="G467" i="25" a="1"/>
  <c r="G468" i="25" a="1"/>
  <c r="G469" i="25" a="1"/>
  <c r="G470" i="25" a="1"/>
  <c r="G471" i="25" a="1"/>
  <c r="G472" i="25" a="1"/>
  <c r="G473" i="25" a="1"/>
  <c r="G474" i="25" a="1"/>
  <c r="G475" i="25" a="1"/>
  <c r="G476" i="25" a="1"/>
  <c r="G477" i="25" a="1"/>
  <c r="G478" i="25" a="1"/>
  <c r="G479" i="25" a="1"/>
  <c r="G480" i="25" a="1"/>
  <c r="G481" i="25" a="1"/>
  <c r="G482" i="25" a="1"/>
  <c r="G483" i="25" a="1"/>
  <c r="G484" i="25" a="1"/>
  <c r="G485" i="25" a="1"/>
  <c r="G486" i="25" a="1"/>
  <c r="G487" i="25" a="1"/>
  <c r="G488" i="25" a="1"/>
  <c r="G489" i="25" a="1"/>
  <c r="G490" i="25" a="1"/>
  <c r="G491" i="25" a="1"/>
  <c r="G492" i="25" a="1"/>
  <c r="G493" i="25" a="1"/>
  <c r="G494" i="25" a="1"/>
  <c r="G495" i="25" a="1"/>
  <c r="G496" i="25" a="1"/>
  <c r="G497" i="25" a="1"/>
  <c r="G498" i="25" a="1"/>
  <c r="G499" i="25" a="1"/>
  <c r="G500" i="25" a="1"/>
  <c r="G501" i="25" a="1"/>
  <c r="G502" i="25" a="1"/>
  <c r="G503" i="25" a="1"/>
  <c r="G504" i="25" a="1"/>
  <c r="G505" i="25" a="1"/>
  <c r="G506" i="25" a="1"/>
  <c r="G507" i="25" a="1"/>
  <c r="G508" i="25" a="1"/>
  <c r="G509" i="25" a="1"/>
  <c r="G510" i="25" a="1"/>
  <c r="G511" i="25" a="1"/>
  <c r="G512" i="25" a="1"/>
  <c r="G513" i="25" a="1"/>
  <c r="G514" i="25" a="1"/>
  <c r="G515" i="25" a="1"/>
  <c r="G516" i="25" a="1"/>
  <c r="G517" i="25" a="1"/>
  <c r="G518" i="25" a="1"/>
  <c r="G519" i="25" a="1"/>
  <c r="G520" i="25" a="1"/>
  <c r="G521" i="25" a="1"/>
  <c r="G522" i="25" a="1"/>
  <c r="G523" i="25" a="1"/>
  <c r="G524" i="25" a="1"/>
  <c r="G525" i="25" a="1"/>
  <c r="G526" i="25" a="1"/>
  <c r="G527" i="25" a="1"/>
  <c r="G528" i="25" a="1"/>
  <c r="G529" i="25" a="1"/>
  <c r="G530" i="25" a="1"/>
  <c r="G531" i="25" a="1"/>
  <c r="G532" i="25" a="1"/>
  <c r="G533" i="25" a="1"/>
  <c r="G534" i="25" a="1"/>
  <c r="G535" i="25" a="1"/>
  <c r="G536" i="25" a="1"/>
  <c r="G537" i="25" a="1"/>
  <c r="G538" i="25" a="1"/>
  <c r="G539" i="25" a="1"/>
  <c r="G540" i="25" a="1"/>
  <c r="G541" i="25" a="1"/>
  <c r="G542" i="25" a="1"/>
  <c r="G543" i="25" a="1"/>
  <c r="G544" i="25" a="1"/>
  <c r="G545" i="25" a="1"/>
  <c r="G546" i="25" a="1"/>
  <c r="G547" i="25" a="1"/>
  <c r="G548" i="25" a="1"/>
  <c r="G549" i="25" a="1"/>
  <c r="G550" i="25" a="1"/>
  <c r="G551" i="25" a="1"/>
  <c r="G552" i="25" a="1"/>
  <c r="G553" i="25" a="1"/>
  <c r="G554" i="25" a="1"/>
  <c r="G555" i="25" a="1"/>
  <c r="G556" i="25" a="1"/>
  <c r="G557" i="25" a="1"/>
  <c r="G558" i="25" a="1"/>
  <c r="G559" i="25" a="1"/>
  <c r="G560" i="25" a="1"/>
  <c r="G561" i="25" a="1"/>
  <c r="G562" i="25" a="1"/>
  <c r="G563" i="25" a="1"/>
  <c r="G564" i="25" a="1"/>
  <c r="G565" i="25" a="1"/>
  <c r="G566" i="25" a="1"/>
  <c r="G567" i="25" a="1"/>
  <c r="G568" i="25" a="1"/>
  <c r="G569" i="25" a="1"/>
  <c r="G570" i="25" a="1"/>
  <c r="G571" i="25" a="1"/>
  <c r="G572" i="25" a="1"/>
  <c r="G573" i="25" a="1"/>
  <c r="G574" i="25" a="1"/>
  <c r="G575" i="25" a="1"/>
  <c r="G576" i="25" a="1"/>
  <c r="G577" i="25" a="1"/>
  <c r="G578" i="25" a="1"/>
  <c r="G579" i="25" a="1"/>
  <c r="G580" i="25" a="1"/>
  <c r="G581" i="25" a="1"/>
  <c r="G582" i="25" a="1"/>
  <c r="G583" i="25" a="1"/>
  <c r="G584" i="25" a="1"/>
  <c r="G585" i="25" a="1"/>
  <c r="G586" i="25" a="1"/>
  <c r="G587" i="25" a="1"/>
  <c r="G588" i="25" a="1"/>
  <c r="G2" i="25" a="1"/>
  <c r="G3" i="25" a="1"/>
  <c r="G4" i="25" a="1"/>
  <c r="G5" i="25" a="1"/>
  <c r="G6" i="25" a="1"/>
  <c r="G7" i="25" a="1"/>
  <c r="G8" i="25" a="1"/>
  <c r="L295" i="1"/>
  <c r="R295" i="1"/>
  <c r="Q295" i="1"/>
  <c r="L294" i="1"/>
  <c r="R294" i="1"/>
  <c r="Q294" i="1"/>
  <c r="L293" i="1"/>
  <c r="R293" i="1"/>
  <c r="Q293" i="1"/>
  <c r="L292" i="1"/>
  <c r="R292" i="1"/>
  <c r="Q292" i="1"/>
  <c r="L291" i="1"/>
  <c r="R291" i="1"/>
  <c r="Q291" i="1"/>
  <c r="L290" i="1"/>
  <c r="R290" i="1"/>
  <c r="Q290" i="1"/>
  <c r="L289" i="1"/>
  <c r="R289" i="1"/>
  <c r="Q289" i="1"/>
  <c r="L288" i="1"/>
  <c r="R288" i="1"/>
  <c r="Q288" i="1"/>
  <c r="L287" i="1"/>
  <c r="R287" i="1"/>
  <c r="Q287" i="1"/>
  <c r="L286" i="1"/>
  <c r="R286" i="1"/>
  <c r="Q286" i="1"/>
  <c r="L285" i="1"/>
  <c r="R285" i="1"/>
  <c r="Q285" i="1"/>
  <c r="L284" i="1"/>
  <c r="R284" i="1"/>
  <c r="Q284" i="1"/>
  <c r="L283" i="1"/>
  <c r="R283" i="1"/>
  <c r="Q283" i="1"/>
  <c r="L282" i="1"/>
  <c r="R282" i="1"/>
  <c r="Q282" i="1"/>
  <c r="L281" i="1"/>
  <c r="R281" i="1"/>
  <c r="Q281" i="1"/>
  <c r="L280" i="1"/>
  <c r="R280" i="1"/>
  <c r="Q280" i="1"/>
  <c r="L279" i="1"/>
  <c r="R279" i="1"/>
  <c r="Q279" i="1"/>
  <c r="L278" i="1"/>
  <c r="R278" i="1"/>
  <c r="Q278" i="1"/>
  <c r="L277" i="1"/>
  <c r="R277" i="1"/>
  <c r="Q277" i="1"/>
  <c r="L276" i="1"/>
  <c r="R276" i="1"/>
  <c r="Q276" i="1"/>
  <c r="L275" i="1"/>
  <c r="R275" i="1"/>
  <c r="Q275" i="1"/>
  <c r="L274" i="1"/>
  <c r="R274" i="1"/>
  <c r="Q274" i="1"/>
  <c r="L273" i="1"/>
  <c r="R273" i="1"/>
  <c r="Q273" i="1"/>
  <c r="L272" i="1"/>
  <c r="R272" i="1"/>
  <c r="Q272" i="1"/>
  <c r="L271" i="1"/>
  <c r="R271" i="1"/>
  <c r="Q271" i="1"/>
  <c r="L270" i="1"/>
  <c r="R270" i="1"/>
  <c r="Q270" i="1"/>
  <c r="L269" i="1"/>
  <c r="R269" i="1"/>
  <c r="Q269" i="1"/>
  <c r="L268" i="1"/>
  <c r="R268" i="1"/>
  <c r="Q268" i="1"/>
  <c r="L267" i="1"/>
  <c r="R267" i="1"/>
  <c r="Q267" i="1"/>
  <c r="L266" i="1"/>
  <c r="R266" i="1"/>
  <c r="Q266" i="1"/>
  <c r="L265" i="1"/>
  <c r="R265" i="1"/>
  <c r="Q265" i="1"/>
  <c r="L264" i="1"/>
  <c r="R264" i="1"/>
  <c r="Q264" i="1"/>
  <c r="L263" i="1"/>
  <c r="R263" i="1"/>
  <c r="Q263" i="1"/>
  <c r="L262" i="1"/>
  <c r="R262" i="1"/>
  <c r="Q262" i="1"/>
  <c r="L261" i="1"/>
  <c r="R261" i="1"/>
  <c r="Q261" i="1"/>
  <c r="L260" i="1"/>
  <c r="R260" i="1"/>
  <c r="Q260" i="1"/>
  <c r="L259" i="1"/>
  <c r="R259" i="1"/>
  <c r="Q259" i="1"/>
  <c r="L258" i="1"/>
  <c r="R258" i="1"/>
  <c r="Q258" i="1"/>
  <c r="L257" i="1"/>
  <c r="R257" i="1"/>
  <c r="Q257" i="1"/>
  <c r="L256" i="1"/>
  <c r="R256" i="1"/>
  <c r="Q256" i="1"/>
  <c r="L255" i="1"/>
  <c r="R255" i="1"/>
  <c r="Q255" i="1"/>
  <c r="L254" i="1"/>
  <c r="R254" i="1"/>
  <c r="Q254" i="1"/>
  <c r="L253" i="1"/>
  <c r="R253" i="1"/>
  <c r="Q253" i="1"/>
  <c r="L252" i="1"/>
  <c r="R252" i="1"/>
  <c r="Q252" i="1"/>
  <c r="L251" i="1"/>
  <c r="R251" i="1"/>
  <c r="Q251" i="1"/>
  <c r="L250" i="1"/>
  <c r="R250" i="1"/>
  <c r="Q250" i="1"/>
  <c r="L249" i="1"/>
  <c r="R249" i="1"/>
  <c r="Q249" i="1"/>
  <c r="L248" i="1"/>
  <c r="R248" i="1"/>
  <c r="Q248" i="1"/>
  <c r="L247" i="1"/>
  <c r="R247" i="1"/>
  <c r="Q247" i="1"/>
  <c r="L246" i="1"/>
  <c r="R246" i="1"/>
  <c r="Q246" i="1"/>
  <c r="L245" i="1"/>
  <c r="R245" i="1"/>
  <c r="Q245" i="1"/>
  <c r="L244" i="1"/>
  <c r="R244" i="1"/>
  <c r="Q244" i="1"/>
  <c r="L243" i="1"/>
  <c r="R243" i="1"/>
  <c r="Q243" i="1"/>
  <c r="L242" i="1"/>
  <c r="R242" i="1"/>
  <c r="Q242" i="1"/>
  <c r="L241" i="1"/>
  <c r="R241" i="1"/>
  <c r="Q241" i="1"/>
  <c r="L240" i="1"/>
  <c r="R240" i="1"/>
  <c r="Q240" i="1"/>
  <c r="L239" i="1"/>
  <c r="R239" i="1"/>
  <c r="Q239" i="1"/>
  <c r="L238" i="1"/>
  <c r="R238" i="1"/>
  <c r="Q238" i="1"/>
  <c r="L237" i="1"/>
  <c r="R237" i="1"/>
  <c r="Q237" i="1"/>
  <c r="L236" i="1"/>
  <c r="R236" i="1"/>
  <c r="Q236" i="1"/>
  <c r="L235" i="1"/>
  <c r="R235" i="1"/>
  <c r="Q235" i="1"/>
  <c r="L234" i="1"/>
  <c r="R234" i="1"/>
  <c r="Q234" i="1"/>
  <c r="L233" i="1"/>
  <c r="R233" i="1"/>
  <c r="Q233" i="1"/>
  <c r="L232" i="1"/>
  <c r="R232" i="1"/>
  <c r="Q232" i="1"/>
  <c r="L231" i="1"/>
  <c r="R231" i="1"/>
  <c r="Q231" i="1"/>
  <c r="L230" i="1"/>
  <c r="R230" i="1"/>
  <c r="Q230" i="1"/>
  <c r="L229" i="1"/>
  <c r="R229" i="1"/>
  <c r="Q229" i="1"/>
  <c r="L228" i="1"/>
  <c r="R228" i="1"/>
  <c r="Q228" i="1"/>
  <c r="L227" i="1"/>
  <c r="R227" i="1"/>
  <c r="Q227" i="1"/>
  <c r="L226" i="1"/>
  <c r="R226" i="1"/>
  <c r="Q226" i="1"/>
  <c r="L225" i="1"/>
  <c r="R225" i="1"/>
  <c r="Q225" i="1"/>
  <c r="L224" i="1"/>
  <c r="R224" i="1"/>
  <c r="Q224" i="1"/>
  <c r="L223" i="1"/>
  <c r="R223" i="1"/>
  <c r="Q223" i="1"/>
  <c r="L222" i="1"/>
  <c r="R222" i="1"/>
  <c r="Q222" i="1"/>
  <c r="L221" i="1"/>
  <c r="R221" i="1"/>
  <c r="Q221" i="1"/>
  <c r="L220" i="1"/>
  <c r="R220" i="1"/>
  <c r="Q220" i="1"/>
  <c r="L219" i="1"/>
  <c r="R219" i="1"/>
  <c r="Q219" i="1"/>
  <c r="L218" i="1"/>
  <c r="R218" i="1"/>
  <c r="Q218" i="1"/>
  <c r="L217" i="1"/>
  <c r="R217" i="1"/>
  <c r="Q217" i="1"/>
  <c r="L216" i="1"/>
  <c r="R216" i="1"/>
  <c r="Q216" i="1"/>
  <c r="L215" i="1"/>
  <c r="R215" i="1"/>
  <c r="Q215" i="1"/>
  <c r="L214" i="1"/>
  <c r="R214" i="1"/>
  <c r="Q214" i="1"/>
  <c r="L213" i="1"/>
  <c r="R213" i="1"/>
  <c r="Q213" i="1"/>
  <c r="L212" i="1"/>
  <c r="R212" i="1"/>
  <c r="Q212" i="1"/>
  <c r="L211" i="1"/>
  <c r="R211" i="1"/>
  <c r="Q211" i="1"/>
  <c r="L210" i="1"/>
  <c r="R210" i="1"/>
  <c r="Q210" i="1"/>
  <c r="L209" i="1"/>
  <c r="R209" i="1"/>
  <c r="Q209" i="1"/>
  <c r="L208" i="1"/>
  <c r="R208" i="1"/>
  <c r="Q208" i="1"/>
  <c r="L207" i="1"/>
  <c r="R207" i="1"/>
  <c r="Q207" i="1"/>
  <c r="L206" i="1"/>
  <c r="R206" i="1"/>
  <c r="Q206" i="1"/>
  <c r="L205" i="1"/>
  <c r="R205" i="1"/>
  <c r="Q205" i="1"/>
  <c r="L204" i="1"/>
  <c r="R204" i="1"/>
  <c r="Q204" i="1"/>
  <c r="L203" i="1"/>
  <c r="R203" i="1"/>
  <c r="Q203" i="1"/>
  <c r="L202" i="1"/>
  <c r="R202" i="1"/>
  <c r="Q202" i="1"/>
  <c r="L201" i="1"/>
  <c r="R201" i="1"/>
  <c r="Q201" i="1"/>
  <c r="L200" i="1"/>
  <c r="R200" i="1"/>
  <c r="Q200" i="1"/>
  <c r="L199" i="1"/>
  <c r="R199" i="1"/>
  <c r="Q199" i="1"/>
  <c r="L198" i="1"/>
  <c r="R198" i="1"/>
  <c r="Q198" i="1"/>
  <c r="L197" i="1"/>
  <c r="R197" i="1"/>
  <c r="Q197" i="1"/>
  <c r="L196" i="1"/>
  <c r="R196" i="1"/>
  <c r="Q196" i="1"/>
  <c r="L195" i="1"/>
  <c r="R195" i="1"/>
  <c r="Q195" i="1"/>
  <c r="L194" i="1"/>
  <c r="R194" i="1"/>
  <c r="Q194" i="1"/>
  <c r="L193" i="1"/>
  <c r="R193" i="1"/>
  <c r="Q193" i="1"/>
  <c r="L192" i="1"/>
  <c r="R192" i="1"/>
  <c r="Q192" i="1"/>
  <c r="L191" i="1"/>
  <c r="R191" i="1"/>
  <c r="Q191" i="1"/>
  <c r="L190" i="1"/>
  <c r="R190" i="1"/>
  <c r="Q190" i="1"/>
  <c r="L189" i="1"/>
  <c r="R189" i="1"/>
  <c r="Q189" i="1"/>
  <c r="L188" i="1"/>
  <c r="R188" i="1"/>
  <c r="Q188" i="1"/>
  <c r="L187" i="1"/>
  <c r="R187" i="1"/>
  <c r="Q187" i="1"/>
  <c r="L186" i="1"/>
  <c r="R186" i="1"/>
  <c r="Q186" i="1"/>
  <c r="L185" i="1"/>
  <c r="R185" i="1"/>
  <c r="Q185" i="1"/>
  <c r="L184" i="1"/>
  <c r="R184" i="1"/>
  <c r="Q184" i="1"/>
  <c r="L183" i="1"/>
  <c r="R183" i="1"/>
  <c r="Q183" i="1"/>
  <c r="L182" i="1"/>
  <c r="R182" i="1"/>
  <c r="Q182" i="1"/>
  <c r="L181" i="1"/>
  <c r="R181" i="1"/>
  <c r="Q181" i="1"/>
  <c r="L180" i="1"/>
  <c r="R180" i="1"/>
  <c r="Q180" i="1"/>
  <c r="L179" i="1"/>
  <c r="R179" i="1"/>
  <c r="Q179" i="1"/>
  <c r="L178" i="1"/>
  <c r="R178" i="1"/>
  <c r="Q178" i="1"/>
  <c r="L177" i="1"/>
  <c r="R177" i="1"/>
  <c r="Q177" i="1"/>
  <c r="L176" i="1"/>
  <c r="R176" i="1"/>
  <c r="Q176" i="1"/>
  <c r="L175" i="1"/>
  <c r="R175" i="1"/>
  <c r="Q175" i="1"/>
  <c r="L174" i="1"/>
  <c r="R174" i="1"/>
  <c r="Q174" i="1"/>
  <c r="L173" i="1"/>
  <c r="R173" i="1"/>
  <c r="Q173" i="1"/>
  <c r="L172" i="1"/>
  <c r="R172" i="1"/>
  <c r="Q172" i="1"/>
  <c r="L171" i="1"/>
  <c r="R171" i="1"/>
  <c r="Q171" i="1"/>
  <c r="L170" i="1"/>
  <c r="R170" i="1"/>
  <c r="Q170" i="1"/>
  <c r="L169" i="1"/>
  <c r="R169" i="1"/>
  <c r="Q169" i="1"/>
  <c r="L168" i="1"/>
  <c r="R168" i="1"/>
  <c r="Q168" i="1"/>
  <c r="L167" i="1"/>
  <c r="R167" i="1"/>
  <c r="Q167" i="1"/>
  <c r="L166" i="1"/>
  <c r="R166" i="1"/>
  <c r="Q166" i="1"/>
  <c r="L165" i="1"/>
  <c r="R165" i="1"/>
  <c r="Q165" i="1"/>
  <c r="L164" i="1"/>
  <c r="R164" i="1"/>
  <c r="Q164" i="1"/>
  <c r="L163" i="1"/>
  <c r="R163" i="1"/>
  <c r="Q163" i="1"/>
  <c r="L162" i="1"/>
  <c r="R162" i="1"/>
  <c r="Q162" i="1"/>
  <c r="L161" i="1"/>
  <c r="R161" i="1"/>
  <c r="Q161" i="1"/>
  <c r="L160" i="1"/>
  <c r="R160" i="1"/>
  <c r="Q160" i="1"/>
  <c r="L159" i="1"/>
  <c r="R159" i="1"/>
  <c r="Q159" i="1"/>
  <c r="L158" i="1"/>
  <c r="R158" i="1"/>
  <c r="Q158" i="1"/>
  <c r="L157" i="1"/>
  <c r="R157" i="1"/>
  <c r="Q157" i="1"/>
  <c r="L156" i="1"/>
  <c r="R156" i="1"/>
  <c r="Q156" i="1"/>
  <c r="L155" i="1"/>
  <c r="R155" i="1"/>
  <c r="Q155" i="1"/>
  <c r="L154" i="1"/>
  <c r="R154" i="1"/>
  <c r="Q154" i="1"/>
  <c r="L153" i="1"/>
  <c r="R153" i="1"/>
  <c r="Q153" i="1"/>
  <c r="L152" i="1"/>
  <c r="R152" i="1"/>
  <c r="Q152" i="1"/>
  <c r="L151" i="1"/>
  <c r="R151" i="1"/>
  <c r="Q151" i="1"/>
  <c r="L150" i="1"/>
  <c r="R150" i="1"/>
  <c r="Q150" i="1"/>
  <c r="L149" i="1"/>
  <c r="R149" i="1"/>
  <c r="Q149" i="1"/>
  <c r="L148" i="1"/>
  <c r="R148" i="1"/>
  <c r="Q148" i="1"/>
  <c r="L147" i="1"/>
  <c r="R147" i="1"/>
  <c r="Q147" i="1"/>
  <c r="L146" i="1"/>
  <c r="R146" i="1"/>
  <c r="Q146" i="1"/>
  <c r="L145" i="1"/>
  <c r="R145" i="1"/>
  <c r="Q145" i="1"/>
  <c r="L144" i="1"/>
  <c r="R144" i="1"/>
  <c r="Q144" i="1"/>
  <c r="L143" i="1"/>
  <c r="R143" i="1"/>
  <c r="Q143" i="1"/>
  <c r="L142" i="1"/>
  <c r="R142" i="1"/>
  <c r="Q142" i="1"/>
  <c r="L141" i="1"/>
  <c r="R141" i="1"/>
  <c r="Q141" i="1"/>
  <c r="L140" i="1"/>
  <c r="R140" i="1"/>
  <c r="Q140" i="1"/>
  <c r="L139" i="1"/>
  <c r="R139" i="1"/>
  <c r="Q139" i="1"/>
  <c r="L138" i="1"/>
  <c r="R138" i="1"/>
  <c r="Q138" i="1"/>
  <c r="L137" i="1"/>
  <c r="R137" i="1"/>
  <c r="Q137" i="1"/>
  <c r="L136" i="1"/>
  <c r="R136" i="1"/>
  <c r="Q136" i="1"/>
  <c r="L135" i="1"/>
  <c r="R135" i="1"/>
  <c r="Q135" i="1"/>
  <c r="L134" i="1"/>
  <c r="R134" i="1"/>
  <c r="Q134" i="1"/>
  <c r="L133" i="1"/>
  <c r="R133" i="1"/>
  <c r="Q133" i="1"/>
  <c r="L132" i="1"/>
  <c r="R132" i="1"/>
  <c r="Q132" i="1"/>
  <c r="L131" i="1"/>
  <c r="R131" i="1"/>
  <c r="Q131" i="1"/>
  <c r="L130" i="1"/>
  <c r="R130" i="1"/>
  <c r="Q130" i="1"/>
  <c r="L129" i="1"/>
  <c r="R129" i="1"/>
  <c r="Q129" i="1"/>
  <c r="L128" i="1"/>
  <c r="R128" i="1"/>
  <c r="Q128" i="1"/>
  <c r="L127" i="1"/>
  <c r="R127" i="1"/>
  <c r="Q127" i="1"/>
  <c r="L126" i="1"/>
  <c r="R126" i="1"/>
  <c r="Q126" i="1"/>
  <c r="L125" i="1"/>
  <c r="R125" i="1"/>
  <c r="Q125" i="1"/>
  <c r="L124" i="1"/>
  <c r="R124" i="1"/>
  <c r="Q124" i="1"/>
  <c r="L123" i="1"/>
  <c r="R123" i="1"/>
  <c r="Q123" i="1"/>
  <c r="L122" i="1"/>
  <c r="R122" i="1"/>
  <c r="Q122" i="1"/>
  <c r="L121" i="1"/>
  <c r="R121" i="1"/>
  <c r="Q121" i="1"/>
  <c r="L120" i="1"/>
  <c r="R120" i="1"/>
  <c r="Q120" i="1"/>
  <c r="L119" i="1"/>
  <c r="R119" i="1"/>
  <c r="Q119" i="1"/>
  <c r="L118" i="1"/>
  <c r="R118" i="1"/>
  <c r="Q118" i="1"/>
  <c r="L117" i="1"/>
  <c r="R117" i="1"/>
  <c r="Q117" i="1"/>
  <c r="L116" i="1"/>
  <c r="R116" i="1"/>
  <c r="Q116" i="1"/>
  <c r="L115" i="1"/>
  <c r="R115" i="1"/>
  <c r="Q115" i="1"/>
  <c r="L114" i="1"/>
  <c r="R114" i="1"/>
  <c r="Q114" i="1"/>
  <c r="L113" i="1"/>
  <c r="R113" i="1"/>
  <c r="Q113" i="1"/>
  <c r="L112" i="1"/>
  <c r="R112" i="1"/>
  <c r="Q112" i="1"/>
  <c r="L111" i="1"/>
  <c r="R111" i="1"/>
  <c r="Q111" i="1"/>
  <c r="L110" i="1"/>
  <c r="R110" i="1"/>
  <c r="Q110" i="1"/>
  <c r="L109" i="1"/>
  <c r="R109" i="1"/>
  <c r="Q109" i="1"/>
  <c r="L108" i="1"/>
  <c r="R108" i="1"/>
  <c r="Q108" i="1"/>
  <c r="L107" i="1"/>
  <c r="R107" i="1"/>
  <c r="Q107" i="1"/>
  <c r="L106" i="1"/>
  <c r="R106" i="1"/>
  <c r="Q106" i="1"/>
  <c r="L105" i="1"/>
  <c r="R105" i="1"/>
  <c r="Q105" i="1"/>
  <c r="L104" i="1"/>
  <c r="R104" i="1"/>
  <c r="Q104" i="1"/>
  <c r="L103" i="1"/>
  <c r="R103" i="1"/>
  <c r="Q103" i="1"/>
  <c r="L102" i="1"/>
  <c r="R102" i="1"/>
  <c r="Q102" i="1"/>
  <c r="L101" i="1"/>
  <c r="R101" i="1"/>
  <c r="Q101" i="1"/>
  <c r="L100" i="1"/>
  <c r="R100" i="1"/>
  <c r="Q100" i="1"/>
  <c r="L99" i="1"/>
  <c r="R99" i="1"/>
  <c r="Q99" i="1"/>
  <c r="L98" i="1"/>
  <c r="R98" i="1"/>
  <c r="Q98" i="1"/>
  <c r="L97" i="1"/>
  <c r="R97" i="1"/>
  <c r="Q97" i="1"/>
  <c r="L96" i="1"/>
  <c r="R96" i="1"/>
  <c r="Q96" i="1"/>
  <c r="L95" i="1"/>
  <c r="R95" i="1"/>
  <c r="Q95" i="1"/>
  <c r="L94" i="1"/>
  <c r="R94" i="1"/>
  <c r="Q94" i="1"/>
  <c r="L93" i="1"/>
  <c r="R93" i="1"/>
  <c r="Q93" i="1"/>
  <c r="L92" i="1"/>
  <c r="R92" i="1"/>
  <c r="Q92" i="1"/>
  <c r="L91" i="1"/>
  <c r="R91" i="1"/>
  <c r="Q91" i="1"/>
  <c r="L90" i="1"/>
  <c r="R90" i="1"/>
  <c r="Q90" i="1"/>
  <c r="L89" i="1"/>
  <c r="R89" i="1"/>
  <c r="Q89" i="1"/>
  <c r="L88" i="1"/>
  <c r="R88" i="1"/>
  <c r="Q88" i="1"/>
  <c r="L87" i="1"/>
  <c r="R87" i="1"/>
  <c r="Q87" i="1"/>
  <c r="L86" i="1"/>
  <c r="R86" i="1"/>
  <c r="Q86" i="1"/>
  <c r="L85" i="1"/>
  <c r="R85" i="1"/>
  <c r="Q85" i="1"/>
  <c r="L84" i="1"/>
  <c r="R84" i="1"/>
  <c r="Q84" i="1"/>
  <c r="L83" i="1"/>
  <c r="R83" i="1"/>
  <c r="Q83" i="1"/>
  <c r="L82" i="1"/>
  <c r="R82" i="1"/>
  <c r="Q82" i="1"/>
  <c r="L81" i="1"/>
  <c r="R81" i="1"/>
  <c r="Q81" i="1"/>
  <c r="L80" i="1"/>
  <c r="R80" i="1"/>
  <c r="Q80" i="1"/>
  <c r="L79" i="1"/>
  <c r="R79" i="1"/>
  <c r="Q79" i="1"/>
  <c r="L78" i="1"/>
  <c r="R78" i="1"/>
  <c r="Q78" i="1"/>
  <c r="L77" i="1"/>
  <c r="R77" i="1"/>
  <c r="Q77" i="1"/>
  <c r="L76" i="1"/>
  <c r="R76" i="1"/>
  <c r="Q76" i="1"/>
  <c r="L75" i="1"/>
  <c r="R75" i="1"/>
  <c r="Q75" i="1"/>
  <c r="L74" i="1"/>
  <c r="R74" i="1"/>
  <c r="Q74" i="1"/>
  <c r="L73" i="1"/>
  <c r="R73" i="1"/>
  <c r="Q73" i="1"/>
  <c r="L72" i="1"/>
  <c r="R72" i="1"/>
  <c r="Q72" i="1"/>
  <c r="L71" i="1"/>
  <c r="R71" i="1"/>
  <c r="Q71" i="1"/>
  <c r="L70" i="1"/>
  <c r="R70" i="1"/>
  <c r="Q70" i="1"/>
  <c r="L69" i="1"/>
  <c r="R69" i="1"/>
  <c r="Q69" i="1"/>
  <c r="L68" i="1"/>
  <c r="R68" i="1"/>
  <c r="Q68" i="1"/>
  <c r="L67" i="1"/>
  <c r="R67" i="1"/>
  <c r="Q67" i="1"/>
  <c r="L66" i="1"/>
  <c r="R66" i="1"/>
  <c r="Q66" i="1"/>
  <c r="L65" i="1"/>
  <c r="R65" i="1"/>
  <c r="Q65" i="1"/>
  <c r="L64" i="1"/>
  <c r="R64" i="1"/>
  <c r="Q64" i="1"/>
  <c r="L63" i="1"/>
  <c r="R63" i="1"/>
  <c r="Q63" i="1"/>
  <c r="L62" i="1"/>
  <c r="R62" i="1"/>
  <c r="Q62" i="1"/>
  <c r="L61" i="1"/>
  <c r="R61" i="1"/>
  <c r="Q61" i="1"/>
  <c r="L60" i="1"/>
  <c r="R60" i="1"/>
  <c r="Q60" i="1"/>
  <c r="L59" i="1"/>
  <c r="R59" i="1"/>
  <c r="Q59" i="1"/>
  <c r="L58" i="1"/>
  <c r="R58" i="1"/>
  <c r="Q58" i="1"/>
  <c r="L57" i="1"/>
  <c r="R57" i="1"/>
  <c r="Q57" i="1"/>
  <c r="L56" i="1"/>
  <c r="R56" i="1"/>
  <c r="Q56" i="1"/>
  <c r="L55" i="1"/>
  <c r="R55" i="1"/>
  <c r="Q55" i="1"/>
  <c r="L54" i="1"/>
  <c r="R54" i="1"/>
  <c r="Q54" i="1"/>
  <c r="L53" i="1"/>
  <c r="R53" i="1"/>
  <c r="Q53" i="1"/>
  <c r="L52" i="1"/>
  <c r="R52" i="1"/>
  <c r="Q52" i="1"/>
  <c r="L51" i="1"/>
  <c r="R51" i="1"/>
  <c r="Q51" i="1"/>
  <c r="L50" i="1"/>
  <c r="R50" i="1"/>
  <c r="Q50" i="1"/>
  <c r="L49" i="1"/>
  <c r="R49" i="1"/>
  <c r="Q49" i="1"/>
  <c r="L48" i="1"/>
  <c r="R48" i="1"/>
  <c r="Q48" i="1"/>
  <c r="L47" i="1"/>
  <c r="R47" i="1"/>
  <c r="Q47" i="1"/>
  <c r="L46" i="1"/>
  <c r="R46" i="1"/>
  <c r="Q46" i="1"/>
  <c r="L45" i="1"/>
  <c r="R45" i="1"/>
  <c r="Q45" i="1"/>
  <c r="L44" i="1"/>
  <c r="R44" i="1"/>
  <c r="Q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/>
  <c r="Q3" i="1"/>
  <c r="X2" i="1"/>
  <c r="W2" i="1"/>
  <c r="V2" i="1"/>
  <c r="U2" i="1"/>
  <c r="R26" i="1"/>
  <c r="Q26" i="1"/>
  <c r="R27" i="1"/>
  <c r="Q27" i="1"/>
  <c r="R4" i="1"/>
  <c r="Q4" i="23"/>
  <c r="R34" i="1"/>
  <c r="Q34" i="1"/>
  <c r="R20" i="1"/>
  <c r="R13" i="1"/>
  <c r="R37" i="1"/>
  <c r="Q37" i="1"/>
  <c r="R19" i="1"/>
  <c r="R35" i="1"/>
  <c r="Q35" i="1"/>
  <c r="R28" i="1"/>
  <c r="Q28" i="1"/>
  <c r="R21" i="1"/>
  <c r="Q21" i="1"/>
  <c r="R6" i="1"/>
  <c r="Q6" i="23"/>
  <c r="R22" i="1"/>
  <c r="Q22" i="1"/>
  <c r="R18" i="1"/>
  <c r="R5" i="1"/>
  <c r="Q5" i="23"/>
  <c r="R29" i="1"/>
  <c r="Q29" i="1"/>
  <c r="R14" i="1"/>
  <c r="R30" i="1"/>
  <c r="Q30" i="1"/>
  <c r="R38" i="1"/>
  <c r="Q38" i="1"/>
  <c r="R7" i="1"/>
  <c r="R15" i="1"/>
  <c r="R23" i="1"/>
  <c r="Q23" i="1"/>
  <c r="R31" i="1"/>
  <c r="Q31" i="1"/>
  <c r="R39" i="1"/>
  <c r="Q39" i="1"/>
  <c r="R10" i="1"/>
  <c r="R42" i="1"/>
  <c r="Q42" i="1"/>
  <c r="R11" i="1"/>
  <c r="R43" i="1"/>
  <c r="Q43" i="1"/>
  <c r="R36" i="1"/>
  <c r="Q36" i="1"/>
  <c r="R12" i="1"/>
  <c r="R8" i="1"/>
  <c r="R16" i="1"/>
  <c r="R24" i="1"/>
  <c r="Q24" i="1"/>
  <c r="R32" i="1"/>
  <c r="Q32" i="1"/>
  <c r="R40" i="1"/>
  <c r="Q40" i="1"/>
  <c r="R9" i="1"/>
  <c r="R17" i="1"/>
  <c r="R25" i="1"/>
  <c r="Q25" i="1"/>
  <c r="R33" i="1"/>
  <c r="Q33" i="1"/>
  <c r="R41" i="1"/>
  <c r="Q41" i="1"/>
  <c r="Q16" i="1"/>
  <c r="Q19" i="1"/>
  <c r="Q18" i="1"/>
  <c r="Q17" i="1"/>
  <c r="Q20" i="1"/>
  <c r="Q15" i="1"/>
  <c r="Q14" i="1"/>
  <c r="Q13" i="1"/>
  <c r="Q12" i="1"/>
  <c r="Q8" i="1"/>
  <c r="Q5" i="1"/>
  <c r="Q6" i="1"/>
  <c r="Q9" i="1"/>
  <c r="Q7" i="1"/>
  <c r="Q11" i="1"/>
  <c r="Q4" i="1"/>
  <c r="Q10" i="1"/>
  <c r="B1" i="25"/>
  <c r="F5" i="11"/>
  <c r="F3" i="11"/>
  <c r="R421" i="1"/>
  <c r="B3" i="25"/>
  <c r="B2" i="25"/>
  <c r="G800" i="25"/>
  <c r="G799" i="25"/>
  <c r="G798" i="25"/>
  <c r="G797" i="25"/>
  <c r="G796" i="25"/>
  <c r="G795" i="25"/>
  <c r="G794" i="25"/>
  <c r="G793" i="25"/>
  <c r="G792" i="25"/>
  <c r="G791" i="25"/>
  <c r="G790" i="25"/>
  <c r="G789" i="25"/>
  <c r="G788" i="25"/>
  <c r="G787" i="25"/>
  <c r="G786" i="25"/>
  <c r="G785" i="25"/>
  <c r="G784" i="25"/>
  <c r="G783" i="25"/>
  <c r="G782" i="25"/>
  <c r="G781" i="25"/>
  <c r="G780" i="25"/>
  <c r="G779" i="25"/>
  <c r="G778" i="25"/>
  <c r="G777" i="25"/>
  <c r="G776" i="25"/>
  <c r="G775" i="25"/>
  <c r="G774" i="25"/>
  <c r="G773" i="25"/>
  <c r="G772" i="25"/>
  <c r="G771" i="25"/>
  <c r="G770" i="25"/>
  <c r="G769" i="25"/>
  <c r="G768" i="25"/>
  <c r="G767" i="25"/>
  <c r="G766" i="25"/>
  <c r="G765" i="25"/>
  <c r="G764" i="25"/>
  <c r="G763" i="25"/>
  <c r="G762" i="25"/>
  <c r="G761" i="25"/>
  <c r="G760" i="25"/>
  <c r="G759" i="25"/>
  <c r="G758" i="25"/>
  <c r="G757" i="25"/>
  <c r="G756" i="25"/>
  <c r="G755" i="25"/>
  <c r="G754" i="25"/>
  <c r="G753" i="25"/>
  <c r="G752" i="25"/>
  <c r="G751" i="25"/>
  <c r="G750" i="25"/>
  <c r="G749" i="25"/>
  <c r="G748" i="25"/>
  <c r="G747" i="25"/>
  <c r="G746" i="25"/>
  <c r="G745" i="25"/>
  <c r="G744" i="25"/>
  <c r="G743" i="25"/>
  <c r="G742" i="25"/>
  <c r="G741" i="25"/>
  <c r="G740" i="25"/>
  <c r="G739" i="25"/>
  <c r="G738" i="25"/>
  <c r="G737" i="25"/>
  <c r="G736" i="25"/>
  <c r="G735" i="25"/>
  <c r="G734" i="25"/>
  <c r="G733" i="25"/>
  <c r="G732" i="25"/>
  <c r="G731" i="25"/>
  <c r="G730" i="25"/>
  <c r="G729" i="25"/>
  <c r="G728" i="25"/>
  <c r="G727" i="25"/>
  <c r="G726" i="25"/>
  <c r="G725" i="25"/>
  <c r="G724" i="25"/>
  <c r="G723" i="25"/>
  <c r="G722" i="25"/>
  <c r="G721" i="25"/>
  <c r="G720" i="25"/>
  <c r="G719" i="25"/>
  <c r="G718" i="25"/>
  <c r="G717" i="25"/>
  <c r="G716" i="25"/>
  <c r="G715" i="25"/>
  <c r="G713" i="25"/>
  <c r="G712" i="25"/>
  <c r="G711" i="25"/>
  <c r="G710" i="25"/>
  <c r="G709" i="25"/>
  <c r="G708" i="25"/>
  <c r="G707" i="25"/>
  <c r="G706" i="25"/>
  <c r="G705" i="25"/>
  <c r="G704" i="25"/>
  <c r="G703" i="25"/>
  <c r="G702" i="25"/>
  <c r="G701" i="25"/>
  <c r="G700" i="25"/>
  <c r="G699" i="25"/>
  <c r="G698" i="25"/>
  <c r="G697" i="25"/>
  <c r="G696" i="25"/>
  <c r="G695" i="25"/>
  <c r="G694" i="25"/>
  <c r="G693" i="25"/>
  <c r="G692" i="25"/>
  <c r="G691" i="25"/>
  <c r="G690" i="25"/>
  <c r="G689" i="25"/>
  <c r="G688" i="25"/>
  <c r="G687" i="25"/>
  <c r="G686" i="25"/>
  <c r="G685" i="25"/>
  <c r="G684" i="25"/>
  <c r="G683" i="25"/>
  <c r="G682" i="25"/>
  <c r="G681" i="25"/>
  <c r="G680" i="25"/>
  <c r="G679" i="25"/>
  <c r="G678" i="25"/>
  <c r="G677" i="25"/>
  <c r="G676" i="25"/>
  <c r="G675" i="25"/>
  <c r="G674" i="25"/>
  <c r="G673" i="25"/>
  <c r="G672" i="25"/>
  <c r="G671" i="25"/>
  <c r="G670" i="25"/>
  <c r="G669" i="25"/>
  <c r="G668" i="25"/>
  <c r="G667" i="25"/>
  <c r="G666" i="25"/>
  <c r="G665" i="25"/>
  <c r="G664" i="25"/>
  <c r="G663" i="25"/>
  <c r="G662" i="25"/>
  <c r="G661" i="25"/>
  <c r="G660" i="25"/>
  <c r="G659" i="25"/>
  <c r="G658" i="25"/>
  <c r="G657" i="25"/>
  <c r="G656" i="25"/>
  <c r="G655" i="25"/>
  <c r="G654" i="25"/>
  <c r="G653" i="25"/>
  <c r="G652" i="25"/>
  <c r="G651" i="25"/>
  <c r="G650" i="25"/>
  <c r="G649" i="25"/>
  <c r="G648" i="25"/>
  <c r="G647" i="25"/>
  <c r="G646" i="25"/>
  <c r="G645" i="25"/>
  <c r="G644" i="25"/>
  <c r="G643" i="25"/>
  <c r="G642" i="25"/>
  <c r="G641" i="25"/>
  <c r="G640" i="25"/>
  <c r="G639" i="25"/>
  <c r="G638" i="25"/>
  <c r="G637" i="25"/>
  <c r="G636" i="25"/>
  <c r="G635" i="25"/>
  <c r="G634" i="25"/>
  <c r="G633" i="25"/>
  <c r="G632" i="25"/>
  <c r="G631" i="25"/>
  <c r="G630" i="25"/>
  <c r="G629" i="25"/>
  <c r="G628" i="25"/>
  <c r="G627" i="25"/>
  <c r="G626" i="25"/>
  <c r="G625" i="25"/>
  <c r="G624" i="25"/>
  <c r="G623" i="25"/>
  <c r="G622" i="25"/>
  <c r="G621" i="25"/>
  <c r="G620" i="25"/>
  <c r="G619" i="25"/>
  <c r="G618" i="25"/>
  <c r="G617" i="25"/>
  <c r="G616" i="25"/>
  <c r="G615" i="25"/>
  <c r="G614" i="25"/>
  <c r="G613" i="25"/>
  <c r="G612" i="25"/>
  <c r="G611" i="25"/>
  <c r="G610" i="25"/>
  <c r="G609" i="25"/>
  <c r="G608" i="25"/>
  <c r="G607" i="25"/>
  <c r="G606" i="25"/>
  <c r="G605" i="25"/>
  <c r="G604" i="25"/>
  <c r="G603" i="25"/>
  <c r="G602" i="25"/>
  <c r="G601" i="25"/>
  <c r="G600" i="25"/>
  <c r="G599" i="25"/>
  <c r="G598" i="25"/>
  <c r="G597" i="25"/>
  <c r="G596" i="25"/>
  <c r="G595" i="25"/>
  <c r="G594" i="25"/>
  <c r="G593" i="25"/>
  <c r="G592" i="25"/>
  <c r="G591" i="25"/>
  <c r="G590" i="25"/>
  <c r="G589" i="25"/>
  <c r="G588" i="25"/>
  <c r="G587" i="25"/>
  <c r="G586" i="25"/>
  <c r="G585" i="25"/>
  <c r="G584" i="25"/>
  <c r="G583" i="25"/>
  <c r="G582" i="25"/>
  <c r="G581" i="25"/>
  <c r="G580" i="25"/>
  <c r="G579" i="25"/>
  <c r="G578" i="25"/>
  <c r="G577" i="25"/>
  <c r="G576" i="25"/>
  <c r="G575" i="25"/>
  <c r="G574" i="25"/>
  <c r="G573" i="25"/>
  <c r="G572" i="25"/>
  <c r="G571" i="25"/>
  <c r="G570" i="25"/>
  <c r="G569" i="25"/>
  <c r="G568" i="25"/>
  <c r="G567" i="25"/>
  <c r="G566" i="25"/>
  <c r="G565" i="25"/>
  <c r="G564" i="25"/>
  <c r="G563" i="25"/>
  <c r="G562" i="25"/>
  <c r="G561" i="25"/>
  <c r="G560" i="25"/>
  <c r="G559" i="25"/>
  <c r="G558" i="25"/>
  <c r="G557" i="25"/>
  <c r="G556" i="25"/>
  <c r="G555" i="25"/>
  <c r="G554" i="25"/>
  <c r="G553" i="25"/>
  <c r="G552" i="25"/>
  <c r="G551" i="25"/>
  <c r="G550" i="25"/>
  <c r="G549" i="25"/>
  <c r="G548" i="25"/>
  <c r="G547" i="25"/>
  <c r="G546" i="25"/>
  <c r="G545" i="25"/>
  <c r="G544" i="25"/>
  <c r="G543" i="25"/>
  <c r="G542" i="25"/>
  <c r="G541" i="25"/>
  <c r="G540" i="25"/>
  <c r="G539" i="25"/>
  <c r="G538" i="25"/>
  <c r="G537" i="25"/>
  <c r="G536" i="25"/>
  <c r="G535" i="25"/>
  <c r="G534" i="25"/>
  <c r="G533" i="25"/>
  <c r="G532" i="25"/>
  <c r="G531" i="25"/>
  <c r="G530" i="25"/>
  <c r="G529" i="25"/>
  <c r="G528" i="25"/>
  <c r="G527" i="25"/>
  <c r="G526" i="25"/>
  <c r="G525" i="25"/>
  <c r="G524" i="25"/>
  <c r="G523" i="25"/>
  <c r="G522" i="25"/>
  <c r="G521" i="25"/>
  <c r="G520" i="25"/>
  <c r="G519" i="25"/>
  <c r="G518" i="25"/>
  <c r="G517" i="25"/>
  <c r="G516" i="25"/>
  <c r="G515" i="25"/>
  <c r="G514" i="25"/>
  <c r="G513" i="25"/>
  <c r="G512" i="25"/>
  <c r="G511" i="25"/>
  <c r="G510" i="25"/>
  <c r="G509" i="25"/>
  <c r="G508" i="25"/>
  <c r="G507" i="25"/>
  <c r="G506" i="25"/>
  <c r="G505" i="25"/>
  <c r="G504" i="25"/>
  <c r="G503" i="25"/>
  <c r="G502" i="25"/>
  <c r="G501" i="25"/>
  <c r="G500" i="25"/>
  <c r="G499" i="25"/>
  <c r="G498" i="25"/>
  <c r="G497" i="25"/>
  <c r="G496" i="25"/>
  <c r="G495" i="25"/>
  <c r="G494" i="25"/>
  <c r="G493" i="25"/>
  <c r="G492" i="25"/>
  <c r="G491" i="25"/>
  <c r="G490" i="25"/>
  <c r="G489" i="25"/>
  <c r="G488" i="25"/>
  <c r="G487" i="25"/>
  <c r="G486" i="25"/>
  <c r="G485" i="25"/>
  <c r="G484" i="25"/>
  <c r="G483" i="25"/>
  <c r="G482" i="25"/>
  <c r="G481" i="25"/>
  <c r="G480" i="25"/>
  <c r="G479" i="25"/>
  <c r="G478" i="25"/>
  <c r="G477" i="25"/>
  <c r="G476" i="25"/>
  <c r="G475" i="25"/>
  <c r="G474" i="25"/>
  <c r="G473" i="25"/>
  <c r="G472" i="25"/>
  <c r="G471" i="25"/>
  <c r="G470" i="25"/>
  <c r="G469" i="25"/>
  <c r="G468" i="25"/>
  <c r="G467" i="25"/>
  <c r="G466" i="25"/>
  <c r="G465" i="25"/>
  <c r="G464" i="25"/>
  <c r="G463" i="25"/>
  <c r="G462" i="25"/>
  <c r="G461" i="25"/>
  <c r="G460" i="25"/>
  <c r="G459" i="25"/>
  <c r="G458" i="25"/>
  <c r="G457" i="25"/>
  <c r="G456" i="25"/>
  <c r="G455" i="25"/>
  <c r="G454" i="25"/>
  <c r="G453" i="25"/>
  <c r="G452" i="25"/>
  <c r="G451" i="25"/>
  <c r="G450" i="25"/>
  <c r="G449" i="25"/>
  <c r="G448" i="25"/>
  <c r="G447" i="25"/>
  <c r="G446" i="25"/>
  <c r="G445" i="25"/>
  <c r="G444" i="25"/>
  <c r="G443" i="25"/>
  <c r="G442" i="25"/>
  <c r="G441" i="25"/>
  <c r="G440" i="25"/>
  <c r="G439" i="25"/>
  <c r="G438" i="25"/>
  <c r="G437" i="25"/>
  <c r="G436" i="25"/>
  <c r="G435" i="25"/>
  <c r="G434" i="25"/>
  <c r="G433" i="25"/>
  <c r="G432" i="25"/>
  <c r="G431" i="25"/>
  <c r="G430" i="25"/>
  <c r="G429" i="25"/>
  <c r="G428" i="25"/>
  <c r="G427" i="25"/>
  <c r="G426" i="25"/>
  <c r="G425" i="25"/>
  <c r="G424" i="25"/>
  <c r="G423" i="25"/>
  <c r="G422" i="25"/>
  <c r="G421" i="25"/>
  <c r="G420" i="25"/>
  <c r="G419" i="25"/>
  <c r="G418" i="25"/>
  <c r="G417" i="25"/>
  <c r="G416" i="25"/>
  <c r="G415" i="25"/>
  <c r="G414" i="25"/>
  <c r="G413" i="25"/>
  <c r="G412" i="25"/>
  <c r="G411" i="25"/>
  <c r="G410" i="25"/>
  <c r="G409" i="25"/>
  <c r="G408" i="25"/>
  <c r="G407" i="25"/>
  <c r="G406" i="25"/>
  <c r="G405" i="25"/>
  <c r="G404" i="25"/>
  <c r="G403" i="25"/>
  <c r="G402" i="25"/>
  <c r="G401" i="25"/>
  <c r="G400" i="25"/>
  <c r="G399" i="25"/>
  <c r="G398" i="25"/>
  <c r="G397" i="25"/>
  <c r="G396" i="25"/>
  <c r="G395" i="25"/>
  <c r="G394" i="25"/>
  <c r="G393" i="25"/>
  <c r="G392" i="25"/>
  <c r="G391" i="25"/>
  <c r="G390" i="25"/>
  <c r="G389" i="25"/>
  <c r="G388" i="25"/>
  <c r="G387" i="25"/>
  <c r="G386" i="25"/>
  <c r="G385" i="25"/>
  <c r="G384" i="25"/>
  <c r="G383" i="25"/>
  <c r="G382" i="25"/>
  <c r="G381" i="25"/>
  <c r="G380" i="25"/>
  <c r="G379" i="25"/>
  <c r="G378" i="25"/>
  <c r="G377" i="25"/>
  <c r="G376" i="25"/>
  <c r="G375" i="25"/>
  <c r="G374" i="25"/>
  <c r="G373" i="25"/>
  <c r="G372" i="25"/>
  <c r="G371" i="25"/>
  <c r="G370" i="25"/>
  <c r="G369" i="25"/>
  <c r="G368" i="25"/>
  <c r="G367" i="25"/>
  <c r="G366" i="25"/>
  <c r="G365" i="25"/>
  <c r="G364" i="25"/>
  <c r="G363" i="25"/>
  <c r="G362" i="25"/>
  <c r="G361" i="25"/>
  <c r="G360" i="25"/>
  <c r="G359" i="25"/>
  <c r="G358" i="25"/>
  <c r="G357" i="25"/>
  <c r="G356" i="25"/>
  <c r="G355" i="25"/>
  <c r="G354" i="25"/>
  <c r="G353" i="25"/>
  <c r="G352" i="25"/>
  <c r="G351" i="25"/>
  <c r="G350" i="25"/>
  <c r="G349" i="25"/>
  <c r="G348" i="25"/>
  <c r="G347" i="25"/>
  <c r="G346" i="25"/>
  <c r="G345" i="25"/>
  <c r="G344" i="25"/>
  <c r="G343" i="25"/>
  <c r="G342" i="25"/>
  <c r="G341" i="25"/>
  <c r="G340" i="25"/>
  <c r="G339" i="25"/>
  <c r="G338" i="25"/>
  <c r="G337" i="25"/>
  <c r="G336" i="25"/>
  <c r="G335" i="25"/>
  <c r="G334" i="25"/>
  <c r="G333" i="25"/>
  <c r="G332" i="25"/>
  <c r="G331" i="25"/>
  <c r="G330" i="25"/>
  <c r="G329" i="25"/>
  <c r="G328" i="25"/>
  <c r="G327" i="25"/>
  <c r="G326" i="25"/>
  <c r="G325" i="25"/>
  <c r="G324" i="25"/>
  <c r="G323" i="25"/>
  <c r="G322" i="25"/>
  <c r="G321" i="25"/>
  <c r="G320" i="25"/>
  <c r="G319" i="25"/>
  <c r="G318" i="25"/>
  <c r="G317" i="25"/>
  <c r="G316" i="25"/>
  <c r="G315" i="25"/>
  <c r="G314" i="25"/>
  <c r="G313" i="25"/>
  <c r="G312" i="25"/>
  <c r="G311" i="25"/>
  <c r="G310" i="25"/>
  <c r="G309" i="25"/>
  <c r="G308" i="25"/>
  <c r="G307" i="25"/>
  <c r="G306" i="25"/>
  <c r="G305" i="25"/>
  <c r="G304" i="25"/>
  <c r="G303" i="25"/>
  <c r="G302" i="25"/>
  <c r="G301" i="25"/>
  <c r="G300" i="25"/>
  <c r="G299" i="25"/>
  <c r="G298" i="25"/>
  <c r="G297" i="25"/>
  <c r="G296" i="25"/>
  <c r="G295" i="25"/>
  <c r="G294" i="25"/>
  <c r="G293" i="25"/>
  <c r="G292" i="25"/>
  <c r="G291" i="25"/>
  <c r="G290" i="25"/>
  <c r="G289" i="25"/>
  <c r="G288" i="25"/>
  <c r="G287" i="25"/>
  <c r="G286" i="25"/>
  <c r="G285" i="25"/>
  <c r="G284" i="25"/>
  <c r="G283" i="25"/>
  <c r="G282" i="25"/>
  <c r="G281" i="25"/>
  <c r="G280" i="25"/>
  <c r="G279" i="25"/>
  <c r="G278" i="25"/>
  <c r="G277" i="25"/>
  <c r="G276" i="25"/>
  <c r="G275" i="25"/>
  <c r="G274" i="25"/>
  <c r="G273" i="25"/>
  <c r="G272" i="25"/>
  <c r="G271" i="25"/>
  <c r="G270" i="25"/>
  <c r="G269" i="25"/>
  <c r="G268" i="25"/>
  <c r="G267" i="25"/>
  <c r="G266" i="25"/>
  <c r="G265" i="25"/>
  <c r="G264" i="25"/>
  <c r="G263" i="25"/>
  <c r="G262" i="25"/>
  <c r="G261" i="25"/>
  <c r="G260" i="25"/>
  <c r="G259" i="25"/>
  <c r="G258" i="25"/>
  <c r="G257" i="25"/>
  <c r="G256" i="25"/>
  <c r="G255" i="25"/>
  <c r="G254" i="25"/>
  <c r="G253" i="25"/>
  <c r="G252" i="25"/>
  <c r="G251" i="25"/>
  <c r="G250" i="25"/>
  <c r="G249" i="25"/>
  <c r="G248" i="25"/>
  <c r="G247" i="25"/>
  <c r="G246" i="25"/>
  <c r="G245" i="25"/>
  <c r="G244" i="25"/>
  <c r="G243" i="25"/>
  <c r="G242" i="25"/>
  <c r="G241" i="25"/>
  <c r="G240" i="25"/>
  <c r="G239" i="25"/>
  <c r="G238" i="25"/>
  <c r="G237" i="25"/>
  <c r="G236" i="25"/>
  <c r="G235" i="25"/>
  <c r="G234" i="25"/>
  <c r="G233" i="25"/>
  <c r="G232" i="25"/>
  <c r="G231" i="25"/>
  <c r="G230" i="25"/>
  <c r="G229" i="25"/>
  <c r="G228" i="25"/>
  <c r="G227" i="25"/>
  <c r="G226" i="25"/>
  <c r="G225" i="25"/>
  <c r="G224" i="25"/>
  <c r="G223" i="25"/>
  <c r="G222" i="25"/>
  <c r="G221" i="25"/>
  <c r="G220" i="25"/>
  <c r="G219" i="25"/>
  <c r="G218" i="25"/>
  <c r="G217" i="25"/>
  <c r="G216" i="25"/>
  <c r="G215" i="25"/>
  <c r="G214" i="25"/>
  <c r="G213" i="25"/>
  <c r="G212" i="25"/>
  <c r="G211" i="25"/>
  <c r="G210" i="25"/>
  <c r="G209" i="25"/>
  <c r="G208" i="25"/>
  <c r="G207" i="25"/>
  <c r="G206" i="25"/>
  <c r="G205" i="25"/>
  <c r="G204" i="25"/>
  <c r="G203" i="25"/>
  <c r="G202" i="25"/>
  <c r="G201" i="25"/>
  <c r="G200" i="25"/>
  <c r="G199" i="25"/>
  <c r="G198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G1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<sst xmlns="http://schemas.openxmlformats.org/spreadsheetml/2006/main" count="4638" uniqueCount="2017">
  <si>
    <t>ENTER TAG OR NAME:</t>
  </si>
  <si>
    <t/>
  </si>
  <si>
    <t xml:space="preserve"> </t>
  </si>
  <si>
    <t>TAG</t>
  </si>
  <si>
    <t>COMPLAINT</t>
  </si>
  <si>
    <t>THE BODY IS GETTING DARKER(MONEY HAS BEEN GIVEN TO MORTUARY ATTENDANT TO BUY GLYCERINE AND MILK TO WORK ON THE BODY)</t>
  </si>
  <si>
    <t>THE BODY IS GETTING DARKER</t>
  </si>
  <si>
    <t>Row Labels</t>
  </si>
  <si>
    <t>Sum of EMBALMING FEE</t>
  </si>
  <si>
    <t>Sum of COLDROOM FEE</t>
  </si>
  <si>
    <t>Count of TAG NO.</t>
  </si>
  <si>
    <t>Female</t>
  </si>
  <si>
    <t>Male</t>
  </si>
  <si>
    <t>Asuom</t>
  </si>
  <si>
    <t>Grand Total</t>
  </si>
  <si>
    <t>Bomso</t>
  </si>
  <si>
    <t>Tweapease</t>
  </si>
  <si>
    <t>Atobiriso</t>
  </si>
  <si>
    <t>Normal</t>
  </si>
  <si>
    <t>Abaam</t>
  </si>
  <si>
    <t>VIP</t>
  </si>
  <si>
    <t>Senkubenase</t>
  </si>
  <si>
    <t>Akawani</t>
  </si>
  <si>
    <t>Subiriso</t>
  </si>
  <si>
    <t>AGE GROUP</t>
  </si>
  <si>
    <t>COUNT</t>
  </si>
  <si>
    <t>Akenkase</t>
  </si>
  <si>
    <t>AGE UNDER 60</t>
  </si>
  <si>
    <t>Accra</t>
  </si>
  <si>
    <t>`</t>
  </si>
  <si>
    <t>AGE 60 AND OVER</t>
  </si>
  <si>
    <t>Akwatia</t>
  </si>
  <si>
    <t>Nkurakan</t>
  </si>
  <si>
    <t>Amanfrom</t>
  </si>
  <si>
    <t>DISCHARGED</t>
  </si>
  <si>
    <t>Kukubi</t>
  </si>
  <si>
    <t>IN CUSTODY</t>
  </si>
  <si>
    <t>Akyem Krobo</t>
  </si>
  <si>
    <t>Nyinatiase</t>
  </si>
  <si>
    <t>Kwabeng</t>
  </si>
  <si>
    <t>Kumasi</t>
  </si>
  <si>
    <t>Akyemkroso</t>
  </si>
  <si>
    <t>Kade</t>
  </si>
  <si>
    <t>Amonom</t>
  </si>
  <si>
    <t>Mampong</t>
  </si>
  <si>
    <t>Abenaso</t>
  </si>
  <si>
    <t>Akropong</t>
  </si>
  <si>
    <t>Afunya</t>
  </si>
  <si>
    <t>Tema</t>
  </si>
  <si>
    <t>Kpando</t>
  </si>
  <si>
    <t>Torpraman</t>
  </si>
  <si>
    <t>TAG 300</t>
  </si>
  <si>
    <t>NAME OF DECEASED:</t>
  </si>
  <si>
    <t>Sarah Fynn Thompson</t>
  </si>
  <si>
    <t>TOWN:</t>
  </si>
  <si>
    <t>AGE:</t>
  </si>
  <si>
    <t>TIME:</t>
  </si>
  <si>
    <t>GENDER:</t>
  </si>
  <si>
    <t>TYPE:</t>
  </si>
  <si>
    <t>RELATIVE'S NAME:</t>
  </si>
  <si>
    <t>Elly Agodo</t>
  </si>
  <si>
    <t>ADMISSION DATE:</t>
  </si>
  <si>
    <t>PHONE:</t>
  </si>
  <si>
    <t>DISCHARGE DATE:</t>
  </si>
  <si>
    <t>STATUS:</t>
  </si>
  <si>
    <t>DISCHARGE  RECEIPT:</t>
  </si>
  <si>
    <t>00000344</t>
  </si>
  <si>
    <t>EMBALMING RECEIPT:</t>
  </si>
  <si>
    <t>TAG 326</t>
  </si>
  <si>
    <t>NAME:</t>
  </si>
  <si>
    <t>Yaa Ofosua</t>
  </si>
  <si>
    <t>STORAGE DAYS:</t>
  </si>
  <si>
    <t>STORAGE FEE:</t>
  </si>
  <si>
    <t xml:space="preserve">                                                       </t>
  </si>
  <si>
    <t>TAG NO.</t>
  </si>
  <si>
    <t>NAME OF DECEASED</t>
  </si>
  <si>
    <t>AGE</t>
  </si>
  <si>
    <t>GENDER</t>
  </si>
  <si>
    <t>NAME OF RELATIVE</t>
  </si>
  <si>
    <t>RELATIVE'S CONTACT</t>
  </si>
  <si>
    <t xml:space="preserve">PLACE </t>
  </si>
  <si>
    <t>ADMISSION TIME</t>
  </si>
  <si>
    <t>TYPE</t>
  </si>
  <si>
    <t>ADMISSION DATE</t>
  </si>
  <si>
    <t>DISCHARGE DATE</t>
  </si>
  <si>
    <t>STORAGE DAYS</t>
  </si>
  <si>
    <t>EMBALMING FEE</t>
  </si>
  <si>
    <t>COLDROOM FEE</t>
  </si>
  <si>
    <t>EMBALMING RECEIPT</t>
  </si>
  <si>
    <t>COLDROOM RECEIPT</t>
  </si>
  <si>
    <t>DIFFERENCE</t>
  </si>
  <si>
    <t>STORAGE FEE</t>
  </si>
  <si>
    <t>STATUS</t>
  </si>
  <si>
    <t>CASES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</si>
  <si>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</si>
  <si>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</si>
  <si>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</si>
  <si>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</si>
  <si>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</si>
  <si>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</si>
  <si>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</si>
  <si>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</si>
  <si>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</si>
  <si>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</si>
  <si>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</si>
  <si>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</si>
  <si>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</si>
  <si>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</si>
  <si>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</si>
  <si>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</si>
  <si>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</si>
  <si>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</si>
  <si>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</si>
  <si>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</si>
  <si>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</si>
  <si>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</si>
  <si>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</si>
  <si>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</si>
  <si>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</si>
  <si>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</si>
  <si>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</si>
  <si>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</si>
  <si>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</si>
  <si>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</si>
  <si>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</si>
  <si>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</si>
  <si>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</si>
  <si>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</si>
  <si>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</si>
  <si>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</si>
  <si>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</si>
  <si>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</si>
  <si>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</si>
  <si>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</si>
  <si>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</si>
  <si>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</si>
  <si>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</si>
  <si>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</si>
  <si>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</si>
  <si>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</si>
  <si>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</si>
  <si>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</si>
  <si>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</si>
  <si>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</si>
  <si>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</si>
  <si>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</si>
  <si>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</si>
  <si>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</si>
  <si>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</si>
  <si>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</si>
  <si>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</si>
  <si>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</si>
  <si>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</si>
  <si>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</si>
  <si>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</si>
  <si>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</si>
  <si>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</si>
  <si>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</si>
  <si>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</si>
  <si>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</si>
  <si>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</si>
  <si>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</si>
  <si>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</si>
  <si>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</si>
  <si>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</si>
  <si>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</si>
  <si>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</si>
  <si>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</si>
  <si>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</si>
  <si>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</si>
  <si>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</si>
  <si>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</si>
  <si>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</si>
  <si>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</si>
  <si>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</si>
  <si>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</si>
  <si>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</si>
  <si>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</si>
  <si>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</si>
  <si>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</si>
  <si>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</si>
  <si>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</si>
  <si>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</si>
  <si>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</si>
  <si>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</si>
  <si>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</si>
  <si>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</si>
  <si>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</si>
  <si>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</si>
  <si>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</si>
  <si>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</si>
  <si>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</si>
  <si>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</si>
  <si>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</si>
  <si>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</si>
  <si>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</si>
  <si>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</si>
  <si>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</si>
  <si>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</si>
  <si>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</si>
  <si>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</si>
  <si>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</si>
  <si>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</si>
  <si>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</si>
  <si>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</si>
  <si>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</si>
  <si>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</si>
  <si>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</si>
  <si>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</si>
  <si>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</si>
  <si>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</si>
  <si>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</si>
  <si>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</si>
  <si>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</si>
  <si>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</si>
  <si>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</si>
  <si>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</si>
  <si>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</si>
  <si>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</si>
  <si>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</si>
  <si>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</si>
  <si>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</si>
  <si>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</si>
  <si>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</si>
  <si>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</si>
  <si>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</si>
  <si>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</si>
  <si>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</si>
  <si>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</si>
  <si>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</si>
  <si>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</si>
  <si>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</si>
  <si>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</si>
  <si>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</si>
  <si>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</si>
  <si>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</si>
  <si>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</si>
  <si>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</si>
  <si>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</si>
  <si>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</si>
  <si>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</si>
  <si>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</si>
  <si>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</si>
  <si>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</si>
  <si>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</si>
  <si>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</si>
  <si>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</si>
  <si>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</si>
  <si>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</si>
  <si>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</si>
  <si>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</si>
  <si>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</si>
  <si>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</si>
  <si>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</si>
  <si>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</si>
  <si>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</si>
  <si>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</si>
  <si>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</si>
  <si>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</si>
  <si>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</si>
  <si>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</si>
  <si>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</si>
  <si>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</si>
  <si>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</si>
  <si>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</si>
  <si>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</si>
  <si>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</si>
  <si>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</si>
  <si>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</si>
  <si>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</si>
  <si>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</si>
  <si>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</si>
  <si>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</si>
  <si>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</si>
  <si>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</si>
  <si>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</si>
  <si>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</si>
  <si>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</si>
  <si>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</si>
  <si>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</si>
  <si>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</si>
  <si>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</si>
  <si>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</si>
  <si>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</si>
  <si>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</si>
  <si>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</si>
  <si>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</si>
  <si>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</si>
  <si>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</si>
  <si>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</si>
  <si>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</si>
  <si>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</si>
  <si>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</si>
  <si>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</si>
  <si>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</si>
  <si>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</si>
  <si>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</si>
  <si>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</si>
  <si>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</si>
  <si>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</si>
  <si>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</si>
  <si>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</si>
  <si>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</si>
  <si>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</si>
  <si>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</si>
  <si>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</si>
  <si>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</si>
  <si>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</si>
  <si>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</si>
  <si>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</si>
  <si>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</si>
  <si>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</si>
  <si>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</si>
  <si>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</si>
  <si>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</si>
  <si>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</si>
  <si>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</si>
  <si>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</si>
  <si>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</si>
  <si>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</si>
  <si>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</si>
  <si>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</si>
  <si>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</si>
  <si>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</si>
  <si>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</si>
  <si>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</si>
  <si>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</si>
  <si>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</si>
  <si>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</si>
  <si>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</si>
  <si>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</si>
  <si>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</si>
  <si>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</si>
  <si>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</si>
  <si>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</si>
  <si>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</si>
  <si>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</si>
  <si>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</si>
  <si>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</si>
  <si>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</si>
  <si>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</si>
  <si>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</si>
  <si>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</si>
  <si>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</si>
  <si>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</si>
  <si>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</si>
  <si>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</si>
  <si>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</si>
  <si>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</si>
  <si>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</si>
  <si>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</si>
  <si>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</si>
  <si>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</si>
  <si>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</si>
  <si>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</si>
  <si>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</si>
  <si>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</si>
  <si>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</si>
  <si>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</si>
  <si>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</si>
  <si>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</si>
  <si>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</si>
  <si>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</si>
  <si>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</si>
  <si>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</si>
  <si>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</si>
  <si>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</si>
  <si>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</si>
  <si>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</si>
  <si>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</si>
  <si>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</si>
  <si>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</si>
  <si>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</si>
  <si>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</si>
  <si>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</si>
  <si>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</si>
  <si>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</si>
  <si>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</si>
  <si>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</si>
  <si>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</si>
  <si>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</si>
  <si>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</si>
  <si>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</si>
  <si>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</si>
  <si>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</si>
  <si>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</si>
  <si>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</si>
  <si>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</si>
  <si>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</si>
  <si>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</si>
  <si>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</si>
  <si>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</si>
  <si>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</si>
  <si>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</si>
  <si>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</si>
  <si>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</si>
  <si>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</si>
  <si>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</si>
  <si>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</si>
  <si>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</si>
  <si>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</si>
  <si>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</si>
  <si>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</si>
  <si>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</si>
  <si>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</si>
  <si>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</si>
  <si>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</si>
  <si>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</si>
  <si>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</si>
  <si>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</si>
  <si>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</si>
  <si>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</si>
  <si>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</si>
  <si>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</si>
  <si>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</si>
  <si>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</si>
  <si>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</si>
  <si>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</si>
  <si>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</si>
  <si>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</si>
  <si>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</si>
  <si>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</si>
  <si>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</si>
  <si>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</si>
  <si>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</si>
  <si>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</si>
  <si>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</si>
  <si>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</si>
  <si>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</si>
  <si>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</si>
  <si>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</si>
  <si>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</si>
  <si>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</si>
  <si>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</si>
  <si>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</si>
  <si>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</si>
  <si>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</si>
  <si>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</si>
  <si>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</si>
  <si>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</si>
  <si>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</si>
  <si>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</si>
  <si>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</si>
  <si>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</si>
  <si>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</si>
  <si>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</si>
  <si>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</si>
  <si>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</si>
  <si>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</si>
  <si>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</si>
  <si>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</si>
  <si>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</si>
  <si>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</si>
  <si>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</si>
  <si>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</si>
  <si>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</si>
  <si>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</si>
  <si>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</si>
  <si>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</si>
  <si>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</si>
  <si>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</si>
  <si>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</si>
  <si>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</si>
  <si>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</si>
  <si>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</si>
  <si>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</si>
  <si>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</si>
  <si>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</si>
  <si>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</si>
  <si>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</si>
  <si>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</si>
  <si>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</si>
  <si>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</si>
  <si>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</si>
  <si>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</si>
  <si>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</si>
  <si>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</si>
  <si>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</si>
  <si>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</si>
  <si>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</si>
  <si>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</si>
  <si>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</si>
  <si>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</si>
  <si>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</si>
  <si>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</si>
  <si>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</si>
  <si>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</si>
  <si>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</si>
  <si>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</si>
  <si>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</si>
  <si>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</si>
  <si>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</si>
  <si>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</si>
  <si>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</si>
  <si>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</si>
  <si>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</si>
  <si>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</si>
  <si>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</si>
  <si>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</si>
  <si>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</si>
  <si>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</si>
  <si>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</si>
  <si>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</si>
  <si>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</si>
  <si>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</si>
  <si>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</si>
  <si>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</si>
  <si>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</si>
  <si>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</si>
  <si>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</si>
  <si>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</si>
  <si>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</si>
  <si>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</si>
  <si>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</si>
  <si>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</si>
  <si>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</si>
  <si>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</si>
  <si>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</si>
  <si>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</si>
  <si>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</si>
  <si>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</si>
  <si>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</si>
  <si>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</si>
  <si>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</si>
  <si>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</si>
  <si>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</si>
  <si>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</si>
  <si>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</si>
  <si>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</si>
  <si>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</si>
  <si>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</si>
  <si>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</si>
  <si>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</si>
  <si>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</si>
  <si>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</si>
  <si>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</si>
  <si>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</si>
  <si>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</si>
  <si>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</si>
  <si>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</si>
  <si>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</si>
  <si>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</si>
  <si>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</si>
  <si>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</si>
  <si>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</si>
  <si>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</si>
  <si>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</si>
  <si>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</si>
  <si>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</si>
  <si>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</si>
  <si>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</si>
  <si>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</si>
  <si>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</si>
  <si>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</si>
  <si>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</si>
  <si>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</si>
  <si>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</si>
  <si>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</si>
  <si>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</si>
  <si>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</si>
  <si>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</si>
  <si>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</si>
  <si>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</si>
  <si>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</si>
  <si>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</si>
  <si>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</si>
  <si>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</si>
  <si>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</si>
  <si>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</si>
  <si>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</si>
  <si>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</si>
  <si>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</si>
  <si>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</si>
  <si>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</si>
  <si>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</si>
  <si>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</si>
  <si>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</si>
  <si>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</si>
  <si>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</si>
  <si>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</si>
  <si>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</si>
  <si>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</si>
  <si>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</si>
  <si>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</si>
  <si>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</si>
  <si>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</si>
  <si>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</si>
  <si>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</si>
  <si>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</si>
  <si>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</si>
  <si>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</si>
  <si>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</si>
  <si>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</si>
  <si>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</si>
  <si>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</si>
  <si>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</si>
  <si>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</si>
  <si>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</si>
  <si>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</si>
  <si>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</si>
  <si>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</si>
  <si>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</si>
  <si>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</si>
  <si>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</si>
  <si>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</si>
  <si>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</si>
  <si>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</si>
  <si>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</si>
  <si>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</si>
  <si>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</si>
  <si>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</si>
  <si>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</si>
  <si>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</si>
  <si>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</si>
  <si>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</si>
  <si>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</si>
  <si>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</si>
  <si>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</si>
  <si>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</si>
  <si>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</si>
  <si>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</si>
  <si>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</si>
  <si>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</si>
  <si>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</si>
  <si>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</si>
  <si>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</si>
  <si>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</si>
  <si>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</si>
  <si>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</si>
  <si>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</si>
  <si>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</si>
  <si>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</si>
  <si>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</si>
  <si>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</si>
  <si>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</si>
  <si>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</si>
  <si>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</si>
  <si>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</si>
  <si>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</si>
  <si>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</si>
  <si>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</si>
  <si>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</si>
  <si>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</si>
  <si>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</si>
  <si>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</si>
  <si>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</si>
  <si>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</si>
  <si>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</si>
  <si>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</si>
  <si>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</si>
  <si>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</si>
  <si>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</si>
  <si>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</si>
  <si>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</si>
  <si>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</si>
  <si>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</si>
  <si>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</si>
  <si>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</si>
  <si>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</si>
  <si>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</si>
  <si>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</si>
  <si>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</si>
  <si>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</si>
  <si>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</si>
  <si>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</si>
  <si>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</si>
  <si>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</si>
  <si>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</si>
  <si>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</si>
  <si>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</si>
  <si>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</si>
  <si>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</si>
  <si>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</si>
  <si>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</si>
  <si>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</si>
  <si>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</si>
  <si>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</si>
  <si>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</si>
  <si>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</si>
  <si>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</si>
  <si>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</si>
  <si>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</si>
  <si>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</si>
  <si>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</si>
  <si>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</si>
  <si>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</si>
  <si>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</si>
  <si>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</si>
  <si>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</si>
  <si>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</si>
  <si>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</si>
  <si>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</si>
  <si>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</si>
  <si>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</si>
  <si>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</si>
  <si>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</si>
  <si>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</si>
  <si>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</si>
  <si>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</si>
  <si>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</si>
  <si>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</si>
  <si>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</si>
  <si>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</si>
  <si>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</si>
  <si>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</si>
  <si>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</si>
  <si>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</si>
  <si>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</si>
  <si>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</si>
  <si>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</si>
  <si>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</si>
  <si>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</si>
  <si>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</si>
  <si>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</si>
  <si>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</si>
  <si>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</si>
  <si>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</si>
  <si>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</si>
  <si>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</si>
  <si>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</si>
  <si>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</si>
  <si>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</si>
  <si>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</si>
  <si>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</si>
  <si>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</si>
  <si>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</si>
  <si>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</si>
  <si>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</si>
  <si>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</si>
  <si>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</si>
  <si>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</si>
  <si>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</si>
  <si>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</si>
  <si>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</si>
  <si>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</si>
  <si>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</si>
  <si>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</si>
  <si>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</si>
  <si>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</si>
  <si>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</si>
  <si>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</si>
  <si>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</si>
  <si>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</si>
  <si>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</si>
  <si>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</si>
  <si>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</si>
  <si>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</si>
  <si>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</si>
  <si>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</si>
  <si>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</si>
  <si>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</si>
  <si>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</si>
  <si>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</si>
  <si>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</si>
  <si>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</si>
  <si>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</si>
  <si>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</si>
  <si>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</si>
  <si>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</si>
  <si>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</si>
  <si>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</si>
  <si>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</si>
  <si>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</si>
  <si>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</si>
  <si>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</si>
  <si>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</si>
  <si>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</si>
  <si>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</si>
  <si>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</si>
  <si>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</si>
  <si>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</si>
  <si>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</si>
  <si>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</si>
  <si>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</si>
  <si>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</si>
  <si>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</si>
  <si>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</si>
  <si>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</si>
  <si>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</si>
  <si>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</si>
  <si>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</si>
  <si>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</si>
  <si>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</si>
  <si>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</si>
  <si>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</si>
  <si>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</si>
  <si>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</si>
  <si>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</si>
  <si>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</si>
  <si>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</si>
  <si>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</si>
  <si>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</si>
  <si>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</si>
  <si>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</si>
  <si>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</si>
  <si>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</si>
  <si>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</si>
  <si>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</si>
  <si>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</si>
  <si>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</si>
  <si>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</si>
  <si>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</si>
  <si>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</si>
  <si>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</si>
  <si>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</si>
  <si>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</si>
  <si>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</si>
  <si>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</si>
  <si>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</si>
  <si>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</si>
  <si>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</si>
  <si>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</si>
  <si>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</si>
  <si>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</si>
  <si>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</si>
  <si>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</si>
  <si>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</si>
  <si>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</si>
  <si>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</si>
  <si>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</si>
  <si>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</si>
  <si>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</si>
  <si>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</si>
  <si>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</si>
  <si>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</si>
  <si>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</si>
  <si>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</si>
  <si>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</si>
  <si>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</si>
  <si>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</si>
  <si>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</si>
  <si>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</si>
  <si>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</si>
  <si>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</si>
  <si>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</si>
  <si>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</si>
  <si>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</si>
  <si>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</si>
  <si>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</si>
  <si>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</si>
  <si>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</si>
  <si>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</si>
  <si>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</si>
  <si>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</si>
  <si>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</si>
  <si>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</si>
  <si>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</si>
  <si>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</si>
  <si>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</si>
  <si>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</si>
  <si>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</si>
  <si>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</si>
  <si>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</si>
  <si>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</si>
  <si>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</si>
  <si>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</si>
  <si>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</si>
  <si>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</si>
  <si>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</si>
  <si>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</si>
  <si>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</si>
  <si>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</si>
  <si>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</si>
  <si>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</si>
  <si>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</si>
  <si>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</si>
  <si>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</si>
  <si>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</si>
  <si>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</si>
  <si>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</si>
  <si>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</si>
  <si>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</si>
  <si>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</si>
  <si>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</si>
  <si>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</si>
  <si>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</si>
  <si>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</si>
  <si>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</si>
  <si>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</si>
  <si>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</si>
  <si>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</si>
  <si>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</si>
  <si>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</si>
  <si>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</si>
  <si>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</si>
  <si>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</si>
  <si>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</si>
  <si>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</si>
  <si>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</si>
  <si>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</si>
  <si>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</si>
  <si>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</si>
  <si>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</si>
  <si>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</si>
  <si>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</si>
  <si>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</si>
  <si>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</si>
  <si>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</si>
  <si>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</si>
  <si>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</si>
  <si>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</si>
  <si>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</si>
  <si>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</si>
  <si>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</si>
  <si>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</si>
  <si>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</si>
  <si>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</si>
  <si>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</si>
  <si>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</si>
  <si>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</si>
  <si>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</si>
  <si>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</si>
  <si>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</si>
  <si>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</si>
  <si>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</si>
  <si>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</si>
  <si>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</si>
  <si>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</si>
  <si>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</si>
  <si>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</si>
  <si>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</si>
  <si>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</si>
  <si>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</si>
  <si>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</si>
  <si>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</si>
  <si>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</si>
  <si>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</si>
  <si>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</si>
  <si>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</si>
  <si>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</si>
  <si>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</si>
  <si>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</si>
  <si>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</si>
  <si>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</si>
  <si>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</si>
  <si>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</si>
  <si>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</si>
  <si>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</si>
  <si>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</si>
  <si>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</si>
  <si>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</si>
  <si>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</si>
  <si>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</si>
  <si>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</si>
  <si>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</si>
  <si>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</si>
  <si>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</si>
  <si>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</si>
  <si>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</si>
  <si>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</si>
  <si>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</si>
  <si>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</si>
  <si>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</si>
  <si>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</si>
  <si>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</si>
  <si>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</si>
  <si>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</si>
  <si>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</si>
  <si>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</si>
  <si>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</si>
  <si>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</si>
  <si>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</si>
  <si>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</si>
  <si>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</si>
  <si>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</si>
  <si>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</si>
  <si>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</si>
  <si>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</si>
  <si>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</si>
  <si>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</si>
  <si>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</si>
  <si>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</si>
  <si>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</si>
  <si>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</si>
  <si>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212</t>
  </si>
  <si>
    <t>Tetteh Wayoe</t>
  </si>
  <si>
    <t>John Albert Tetteh</t>
  </si>
  <si>
    <t>0249640700</t>
  </si>
  <si>
    <t>06:30:00 PM</t>
  </si>
  <si>
    <t>213</t>
  </si>
  <si>
    <t>William Ofori</t>
  </si>
  <si>
    <t>Kwasi Ofori</t>
  </si>
  <si>
    <t>0241964760</t>
  </si>
  <si>
    <t>00000244</t>
  </si>
  <si>
    <t>214</t>
  </si>
  <si>
    <t>Enock Brafo</t>
  </si>
  <si>
    <t>Eric Obuobi</t>
  </si>
  <si>
    <t>0544885661</t>
  </si>
  <si>
    <t>01:20:00 PM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</si>
  <si>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</si>
  <si>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</si>
  <si>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</si>
  <si>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</si>
  <si>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</si>
  <si>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</si>
  <si>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</si>
  <si>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</si>
  <si>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</si>
  <si>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</si>
  <si>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217</t>
  </si>
  <si>
    <t>Comfort Apenteng</t>
  </si>
  <si>
    <t>Owusu Agyei</t>
  </si>
  <si>
    <t>0246848492</t>
  </si>
  <si>
    <t>04:00:00 PM</t>
  </si>
  <si>
    <t>218</t>
  </si>
  <si>
    <t>Georgina Korang</t>
  </si>
  <si>
    <t>0537667291</t>
  </si>
  <si>
    <t>00000223</t>
  </si>
  <si>
    <t>00000232</t>
  </si>
  <si>
    <t>219</t>
  </si>
  <si>
    <t>Juliana Odurowaa</t>
  </si>
  <si>
    <t>Samuel Darkwah</t>
  </si>
  <si>
    <t>0540822333</t>
  </si>
  <si>
    <t>08:30:00 AM</t>
  </si>
  <si>
    <t>00000224</t>
  </si>
  <si>
    <t>220</t>
  </si>
  <si>
    <t>Adwoa Owusua</t>
  </si>
  <si>
    <t>Kofi Ankrah</t>
  </si>
  <si>
    <t>0242323886</t>
  </si>
  <si>
    <t>06:24:00 PM</t>
  </si>
  <si>
    <t>221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</si>
  <si>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</si>
  <si>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</si>
  <si>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</si>
  <si>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</si>
  <si>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</si>
  <si>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</si>
  <si>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</si>
  <si>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</si>
  <si>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</si>
  <si>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</si>
  <si>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</si>
  <si>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</si>
  <si>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</si>
  <si>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</si>
  <si>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</si>
  <si>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</si>
  <si>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</si>
  <si>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</si>
  <si>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</si>
  <si>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</si>
  <si>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</si>
  <si>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</si>
  <si>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</si>
  <si>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</si>
  <si>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</si>
  <si>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</si>
  <si>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</si>
  <si>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</si>
  <si>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</si>
  <si>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</si>
  <si>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</si>
  <si>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</si>
  <si>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</si>
  <si>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</si>
  <si>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</si>
  <si>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</si>
  <si>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</si>
  <si>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</si>
  <si>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</si>
  <si>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</si>
  <si>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</si>
  <si>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</si>
  <si>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</si>
  <si>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</si>
  <si>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</si>
  <si>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</si>
  <si>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</si>
  <si>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</si>
  <si>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</si>
  <si>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</si>
  <si>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</si>
  <si>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</si>
  <si>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</si>
  <si>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</si>
  <si>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</si>
  <si>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</si>
  <si>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</si>
  <si>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</si>
  <si>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</si>
  <si>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</si>
  <si>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</si>
  <si>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</si>
  <si>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</si>
  <si>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</si>
  <si>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</si>
  <si>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</si>
  <si>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</si>
  <si>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</si>
  <si>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</si>
  <si>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</si>
  <si>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</si>
  <si>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</si>
  <si>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</si>
  <si>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</si>
  <si>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</si>
  <si>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</si>
  <si>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</si>
  <si>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</si>
  <si>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</si>
  <si>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</si>
  <si>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</si>
  <si>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</si>
  <si>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</si>
  <si>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</si>
  <si>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</si>
  <si>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</si>
  <si>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</si>
  <si>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</si>
  <si>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</si>
  <si>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</si>
  <si>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</si>
  <si>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</si>
  <si>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</si>
  <si>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</si>
  <si>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</si>
  <si>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</si>
  <si>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</si>
  <si>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</si>
  <si>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</si>
  <si>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</si>
  <si>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</si>
  <si>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</si>
  <si>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</si>
  <si>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</si>
  <si>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</si>
  <si>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</si>
  <si>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</si>
  <si>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</si>
  <si>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</si>
  <si>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</si>
  <si>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</si>
  <si>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</si>
  <si>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</si>
  <si>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</si>
  <si>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</si>
  <si>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</si>
  <si>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</si>
  <si>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</si>
  <si>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</si>
  <si>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</si>
  <si>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</si>
  <si>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</si>
  <si>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</si>
  <si>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</si>
  <si>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</si>
  <si>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</si>
  <si>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</si>
  <si>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</si>
  <si>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</si>
  <si>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</si>
  <si>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</si>
  <si>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</si>
  <si>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</si>
  <si>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</si>
  <si>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</si>
  <si>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</si>
  <si>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</si>
  <si>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</si>
  <si>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</si>
  <si>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</si>
  <si>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</si>
  <si>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</si>
  <si>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</si>
  <si>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</si>
  <si>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</si>
  <si>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</si>
  <si>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</si>
  <si>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</si>
  <si>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</si>
  <si>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</si>
  <si>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</si>
  <si>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</si>
  <si>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</si>
  <si>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</si>
  <si>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</si>
  <si>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</si>
  <si>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</si>
  <si>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</si>
  <si>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</si>
  <si>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</si>
  <si>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</si>
  <si>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</si>
  <si>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</si>
  <si>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</si>
  <si>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</si>
  <si>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</si>
  <si>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</si>
  <si>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</si>
  <si>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</si>
  <si>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</si>
  <si>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</si>
  <si>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</si>
  <si>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</si>
  <si>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</si>
  <si>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</si>
  <si>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</si>
  <si>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</si>
  <si>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</si>
  <si>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</si>
  <si>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</si>
  <si>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</si>
  <si>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</si>
  <si>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</si>
  <si>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</si>
  <si>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</si>
  <si>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</si>
  <si>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</si>
  <si>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</si>
  <si>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</si>
  <si>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</si>
  <si>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</si>
  <si>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</si>
  <si>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</si>
  <si>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</si>
  <si>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</si>
  <si>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</si>
  <si>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</si>
  <si>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</si>
  <si>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</si>
  <si>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</si>
  <si>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</si>
  <si>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</si>
  <si>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</si>
  <si>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</si>
  <si>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</si>
  <si>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</si>
  <si>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</si>
  <si>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</si>
  <si>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</si>
  <si>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</si>
  <si>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</si>
  <si>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</si>
  <si>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</si>
  <si>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</si>
  <si>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</si>
  <si>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</si>
  <si>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</si>
  <si>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</si>
  <si>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</si>
  <si>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</si>
  <si>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</si>
  <si>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</si>
  <si>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</si>
  <si>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</si>
  <si>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</si>
  <si>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</si>
  <si>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</si>
  <si>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</si>
  <si>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</si>
  <si>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</si>
  <si>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</si>
  <si>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</si>
  <si>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</si>
  <si>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</si>
  <si>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</si>
  <si>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</si>
  <si>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</si>
  <si>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</si>
  <si>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</si>
  <si>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</si>
  <si>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</si>
  <si>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</si>
  <si>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</si>
  <si>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</si>
  <si>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</si>
  <si>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</si>
  <si>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</si>
  <si>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</si>
  <si>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</si>
  <si>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</si>
  <si>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</si>
  <si>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</si>
  <si>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</si>
  <si>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</si>
  <si>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</si>
  <si>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</si>
  <si>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</si>
  <si>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</si>
  <si>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</si>
  <si>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</si>
  <si>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</si>
  <si>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</si>
  <si>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</si>
  <si>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</si>
  <si>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</si>
  <si>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</si>
  <si>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Abena Akuma</t>
  </si>
  <si>
    <t>Elizabeth Botwe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</si>
  <si>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</si>
  <si>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</si>
  <si>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</si>
  <si>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</si>
  <si>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</si>
  <si>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</si>
  <si>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</si>
  <si>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</si>
  <si>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</si>
  <si>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</si>
  <si>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</si>
  <si>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</si>
  <si>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</si>
  <si>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</si>
  <si>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</si>
  <si>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295</t>
  </si>
  <si>
    <t>Janet Agyeibea</t>
  </si>
  <si>
    <t>Richard Ofori</t>
  </si>
  <si>
    <t>296</t>
  </si>
  <si>
    <t>Paulina Nartey</t>
  </si>
  <si>
    <t>Seth Obodai</t>
  </si>
  <si>
    <t>297</t>
  </si>
  <si>
    <t>Thomas Adomako</t>
  </si>
  <si>
    <t>Kwasi Okyere</t>
  </si>
  <si>
    <t>298</t>
  </si>
  <si>
    <t>Evang. Jonathan Appiah Abrokwah</t>
  </si>
  <si>
    <t>0242820103/0552542975</t>
  </si>
  <si>
    <t>299</t>
  </si>
  <si>
    <t>Samuel Amponsah</t>
  </si>
  <si>
    <t>Seth Amponsah</t>
  </si>
  <si>
    <t>300</t>
  </si>
  <si>
    <t>301</t>
  </si>
  <si>
    <t>Augustina Konadu</t>
  </si>
  <si>
    <t>Isaac Ofosuhene</t>
  </si>
  <si>
    <t>302</t>
  </si>
  <si>
    <t>Yaw Amponsah</t>
  </si>
  <si>
    <t>Monica Abrokwah</t>
  </si>
  <si>
    <t>303</t>
  </si>
  <si>
    <t>Augustina Agyeiwaa</t>
  </si>
  <si>
    <t>304</t>
  </si>
  <si>
    <t>Akua Korang</t>
  </si>
  <si>
    <t>Francis Paddy</t>
  </si>
  <si>
    <t>305</t>
  </si>
  <si>
    <t>Christian Affum</t>
  </si>
  <si>
    <t>Charles Darkwah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</si>
  <si>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</si>
  <si>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</si>
  <si>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</si>
  <si>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</si>
  <si>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</si>
  <si>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</si>
  <si>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</si>
  <si>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</si>
  <si>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</si>
  <si>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</si>
  <si>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</si>
  <si>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</si>
  <si>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</si>
  <si>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</si>
  <si>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Dansoaa/Ophilia Adjetey</t>
  </si>
  <si>
    <t>597451893/0245739203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</si>
  <si>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</si>
  <si>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</si>
  <si>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</si>
  <si>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</si>
  <si>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</si>
  <si>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</si>
  <si>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</si>
  <si>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</si>
  <si>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</si>
  <si>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</si>
  <si>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</si>
  <si>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</si>
  <si>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</si>
  <si>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</si>
  <si>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</si>
  <si>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316</t>
  </si>
  <si>
    <t>Rita Coffie</t>
  </si>
  <si>
    <t>Francis Dzakpasu</t>
  </si>
  <si>
    <t>0246867238/0241940458</t>
  </si>
  <si>
    <t>317</t>
  </si>
  <si>
    <t>Kwaku Yeboah</t>
  </si>
  <si>
    <t>Charles Acheampong</t>
  </si>
  <si>
    <t>325</t>
  </si>
  <si>
    <t>Nicholas Kofi Nimako</t>
  </si>
  <si>
    <t>Stephen Konadu</t>
  </si>
  <si>
    <t>319</t>
  </si>
  <si>
    <t>Rose Afia Kpodo</t>
  </si>
  <si>
    <t>Emmanuel Ganyo</t>
  </si>
  <si>
    <t>320</t>
  </si>
  <si>
    <t>Afia Nsiah</t>
  </si>
  <si>
    <t>Samson Asamoah</t>
  </si>
  <si>
    <t>321</t>
  </si>
  <si>
    <t>Samuel Duah</t>
  </si>
  <si>
    <t>James Aleke</t>
  </si>
  <si>
    <t>322</t>
  </si>
  <si>
    <t>Eric Asante</t>
  </si>
  <si>
    <t>323</t>
  </si>
  <si>
    <t>Joseph Doku</t>
  </si>
  <si>
    <t>James Akweteh</t>
  </si>
  <si>
    <t>324</t>
  </si>
  <si>
    <t>Kofi Agyekum</t>
  </si>
  <si>
    <t>Agya Yaw</t>
  </si>
  <si>
    <t>331</t>
  </si>
  <si>
    <t>Dina Opokuaa</t>
  </si>
  <si>
    <t>Dickson Frimpong</t>
  </si>
  <si>
    <t>326</t>
  </si>
  <si>
    <t>327</t>
  </si>
  <si>
    <t>Beatrice Acquah</t>
  </si>
  <si>
    <t>Kwadwo Ofori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</si>
  <si>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</si>
  <si>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</si>
  <si>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</si>
  <si>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</si>
  <si>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</si>
  <si>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</si>
  <si>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</si>
  <si>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</si>
  <si>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335</t>
  </si>
  <si>
    <t>Selina Asantewaa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</si>
  <si>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</si>
  <si>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</si>
  <si>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</si>
  <si>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</si>
  <si>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</si>
  <si>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</si>
  <si>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</si>
  <si>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</si>
  <si>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337</t>
  </si>
  <si>
    <t>Vida Korang</t>
  </si>
  <si>
    <t>Kwaku Nketiah/Patience</t>
  </si>
  <si>
    <t>0248514599/0550805822</t>
  </si>
  <si>
    <t>336</t>
  </si>
  <si>
    <t>Esther Narkie</t>
  </si>
  <si>
    <t>Stephen Bio</t>
  </si>
  <si>
    <t>338</t>
  </si>
  <si>
    <t>Florence Amoako Atta</t>
  </si>
  <si>
    <t>Joyce Amoako Atta</t>
  </si>
  <si>
    <t>343</t>
  </si>
  <si>
    <t>Janet Boadua</t>
  </si>
  <si>
    <t>Thomas Badu</t>
  </si>
  <si>
    <t>339</t>
  </si>
  <si>
    <t>Charity Boadiwaa</t>
  </si>
  <si>
    <t>Kwadwo Antwi</t>
  </si>
  <si>
    <t>344</t>
  </si>
  <si>
    <t>Faustina Ayimaah</t>
  </si>
  <si>
    <t>Kwame Amponsah/Sophia Adede</t>
  </si>
  <si>
    <t>0530694499/0532453112</t>
  </si>
  <si>
    <t>341</t>
  </si>
  <si>
    <t>Salomey Akua Buah</t>
  </si>
  <si>
    <t>William Kwasi Asirifi</t>
  </si>
  <si>
    <t>342</t>
  </si>
  <si>
    <t>Cecilia Serwaa</t>
  </si>
  <si>
    <t>Eric Bamfo</t>
  </si>
  <si>
    <t>352</t>
  </si>
  <si>
    <t>Elizabeth Ofosua</t>
  </si>
  <si>
    <t>Kwaku Asante</t>
  </si>
  <si>
    <t>353</t>
  </si>
  <si>
    <t>Seth Aboagye</t>
  </si>
  <si>
    <t>Andrews Aboagye</t>
  </si>
  <si>
    <t>345</t>
  </si>
  <si>
    <t>Akosua Pomaah</t>
  </si>
  <si>
    <t>Asirifi Darkwah</t>
  </si>
  <si>
    <t>362</t>
  </si>
  <si>
    <t>Bernard Adu</t>
  </si>
  <si>
    <t>Frank Duah</t>
  </si>
  <si>
    <t>347</t>
  </si>
  <si>
    <t>Faustina Doku</t>
  </si>
  <si>
    <t>John Akweteh</t>
  </si>
  <si>
    <t>348</t>
  </si>
  <si>
    <t>Emmanuel Charles Apenteng</t>
  </si>
  <si>
    <t>Ernest Okyere</t>
  </si>
  <si>
    <t>349</t>
  </si>
  <si>
    <t>Maxwell Nimako</t>
  </si>
  <si>
    <t>Godwin Kusi</t>
  </si>
  <si>
    <t>350</t>
  </si>
  <si>
    <t>Mary Bosompem</t>
  </si>
  <si>
    <t>Solomon Dwamena</t>
  </si>
  <si>
    <t>0257174158/0595541246</t>
  </si>
  <si>
    <t>351</t>
  </si>
  <si>
    <t>Stephen Twum Ampofo</t>
  </si>
  <si>
    <t>Kwasi Ntiamoah</t>
  </si>
  <si>
    <t>364</t>
  </si>
  <si>
    <t>Isaac Darko</t>
  </si>
  <si>
    <t>369</t>
  </si>
  <si>
    <t>Joanita Ofori Asante</t>
  </si>
  <si>
    <t>Isaac Oduro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</si>
  <si>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</si>
  <si>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</si>
  <si>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</si>
  <si>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</si>
  <si>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</si>
  <si>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</si>
  <si>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</si>
  <si>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</si>
  <si>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</si>
  <si>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</si>
  <si>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</si>
  <si>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</si>
  <si>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</si>
  <si>
    <t>358</t>
  </si>
  <si>
    <t>Afia Ntiamoah</t>
  </si>
  <si>
    <t>Alex Mintah</t>
  </si>
  <si>
    <t>359</t>
  </si>
  <si>
    <t>Mary Frimpomaa</t>
  </si>
  <si>
    <t>Alex Asamoah</t>
  </si>
  <si>
    <t>360</t>
  </si>
  <si>
    <t>Kofi Asamoah</t>
  </si>
  <si>
    <t>Frank Darkwah</t>
  </si>
  <si>
    <t>361</t>
  </si>
  <si>
    <t>George Nkansah</t>
  </si>
  <si>
    <t>Maxwell Darkwah</t>
  </si>
  <si>
    <t>370</t>
  </si>
  <si>
    <t>Samuel Osei</t>
  </si>
  <si>
    <t>Christian Yeboah</t>
  </si>
  <si>
    <t>371</t>
  </si>
  <si>
    <t>Kate Owusu Sekyere</t>
  </si>
  <si>
    <t>Peter Ofori-Atta</t>
  </si>
  <si>
    <t>340</t>
  </si>
  <si>
    <t>Kofi Bosompem</t>
  </si>
  <si>
    <t>365</t>
  </si>
  <si>
    <t>Vivian Animah</t>
  </si>
  <si>
    <t>366</t>
  </si>
  <si>
    <t>Christiana Kwakyewaa</t>
  </si>
  <si>
    <t>Alex Nyarko</t>
  </si>
  <si>
    <t>367</t>
  </si>
  <si>
    <t>Emelia Ampofoaa</t>
  </si>
  <si>
    <t>368</t>
  </si>
  <si>
    <t>Kwasi Owusu</t>
  </si>
  <si>
    <t>Thomas Yaw Baah</t>
  </si>
  <si>
    <t>318</t>
  </si>
  <si>
    <t>Dora Amaku Akpey</t>
  </si>
  <si>
    <t>Jacob Akpey</t>
  </si>
  <si>
    <t>346</t>
  </si>
  <si>
    <t>Patrick Owusu</t>
  </si>
  <si>
    <t>Albert Nti</t>
  </si>
  <si>
    <t>363</t>
  </si>
  <si>
    <t>372</t>
  </si>
  <si>
    <t>Samson Duodu</t>
  </si>
  <si>
    <t>373</t>
  </si>
  <si>
    <t>Daniel Akafua</t>
  </si>
  <si>
    <t>Godwin Akafua</t>
  </si>
  <si>
    <t>374</t>
  </si>
  <si>
    <t>Regina Boateng</t>
  </si>
  <si>
    <t>Enock Darkwah</t>
  </si>
  <si>
    <t>375</t>
  </si>
  <si>
    <t>Evans Omane</t>
  </si>
  <si>
    <t>Kwaku Darko</t>
  </si>
  <si>
    <t>376</t>
  </si>
  <si>
    <t>Paul Owusu</t>
  </si>
  <si>
    <t>Justice Ntiamoah</t>
  </si>
  <si>
    <t>377</t>
  </si>
  <si>
    <t>Daniel Quaye</t>
  </si>
  <si>
    <t>Samuel Tetteh</t>
  </si>
  <si>
    <t>378</t>
  </si>
  <si>
    <t>Juliana Akoto</t>
  </si>
  <si>
    <t>Ernest Antwi</t>
  </si>
  <si>
    <t>379</t>
  </si>
  <si>
    <t>John Eshun</t>
  </si>
  <si>
    <t>Yaw Botwe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</si>
  <si>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</si>
  <si>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</si>
  <si>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</si>
  <si>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</si>
  <si>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</si>
  <si>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</si>
  <si>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</si>
  <si>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</si>
  <si>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</si>
  <si>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383</t>
  </si>
  <si>
    <t>Michael Yaw Asare</t>
  </si>
  <si>
    <t>384</t>
  </si>
  <si>
    <t>Paul Asare</t>
  </si>
  <si>
    <t>Bright Affum</t>
  </si>
  <si>
    <t>385</t>
  </si>
  <si>
    <t>Alice Ampofowaa</t>
  </si>
  <si>
    <t>Kwasi Safo</t>
  </si>
  <si>
    <t>386</t>
  </si>
  <si>
    <t>Mercy  Pomaah</t>
  </si>
  <si>
    <t>Mary Agyaa</t>
  </si>
  <si>
    <t>387</t>
  </si>
  <si>
    <t>Emmanuel Kofi Batsa</t>
  </si>
  <si>
    <t>Solomon Batsa</t>
  </si>
  <si>
    <t>388</t>
  </si>
  <si>
    <t>Comfort Lashatey Doku</t>
  </si>
  <si>
    <t>389</t>
  </si>
  <si>
    <t>Ellen Akosua Ofosuaa</t>
  </si>
  <si>
    <t>Samuel Amoako</t>
  </si>
  <si>
    <t>390</t>
  </si>
  <si>
    <t>Sam Amoako</t>
  </si>
  <si>
    <t>Joyce Obenewaa</t>
  </si>
  <si>
    <t>391</t>
  </si>
  <si>
    <t>Janet Bosompemaa</t>
  </si>
  <si>
    <t>Patrick Asante</t>
  </si>
  <si>
    <t>392</t>
  </si>
  <si>
    <t>Kwadwo Aryeetey</t>
  </si>
  <si>
    <t>Isaac Gyamfi</t>
  </si>
  <si>
    <t>393</t>
  </si>
  <si>
    <t>Comfort Wawaa Boatemaa</t>
  </si>
  <si>
    <t>394</t>
  </si>
  <si>
    <t>Kwabena Apenteng Amponsah</t>
  </si>
  <si>
    <t>Kwaku Asiedu Asante</t>
  </si>
  <si>
    <t>395</t>
  </si>
  <si>
    <t>Margaret Akoto</t>
  </si>
  <si>
    <t>Eric Botwe</t>
  </si>
  <si>
    <t>396</t>
  </si>
  <si>
    <t>Daniel Okyere</t>
  </si>
  <si>
    <t>Patrick Akomaning</t>
  </si>
  <si>
    <t>397</t>
  </si>
  <si>
    <t>Rebecca Narkie</t>
  </si>
  <si>
    <t>Benjamin Tetteh</t>
  </si>
  <si>
    <t>398</t>
  </si>
  <si>
    <t>Diana Asare</t>
  </si>
  <si>
    <t>Bruce Opoku</t>
  </si>
  <si>
    <t>399</t>
  </si>
  <si>
    <t>Mercy Opoku Appiah</t>
  </si>
  <si>
    <t>400</t>
  </si>
  <si>
    <t>Kwabena Atuah</t>
  </si>
  <si>
    <t>Kwaku Seth</t>
  </si>
  <si>
    <t>401</t>
  </si>
  <si>
    <t>Kwame Antwi</t>
  </si>
  <si>
    <t>0257701596/0241941708</t>
  </si>
  <si>
    <t>402</t>
  </si>
  <si>
    <t>Desmond Obeng</t>
  </si>
  <si>
    <t>Felix Obeng Asante</t>
  </si>
  <si>
    <t>403</t>
  </si>
  <si>
    <t>Gladys Koshie</t>
  </si>
  <si>
    <t>Mavis Asimeng</t>
  </si>
  <si>
    <t>404</t>
  </si>
  <si>
    <t>Augustine Kwabena Asomaning</t>
  </si>
  <si>
    <t>Kwadwo Asamoah</t>
  </si>
  <si>
    <t>405</t>
  </si>
  <si>
    <t>Prince Annor</t>
  </si>
  <si>
    <t>406</t>
  </si>
  <si>
    <t>Paulina Maku</t>
  </si>
  <si>
    <t>Gabriel Kabutey</t>
  </si>
  <si>
    <t>407</t>
  </si>
  <si>
    <t>Kwadwo Novor</t>
  </si>
  <si>
    <t>Michael Kpodo</t>
  </si>
  <si>
    <t>408</t>
  </si>
  <si>
    <t>Margaret Osei</t>
  </si>
  <si>
    <t>Yaw Danso</t>
  </si>
  <si>
    <t>409</t>
  </si>
  <si>
    <t>Madam Akua Akyiaa</t>
  </si>
  <si>
    <t>Kwasi Appiah</t>
  </si>
  <si>
    <t>410</t>
  </si>
  <si>
    <t>Martin Tawiah</t>
  </si>
  <si>
    <t>Solomon Ogyam</t>
  </si>
  <si>
    <t>411</t>
  </si>
  <si>
    <t>Theresa Afia Nuamah</t>
  </si>
  <si>
    <t>Charles Ameyaw Okyere</t>
  </si>
  <si>
    <t>412</t>
  </si>
  <si>
    <t>Anthony Blankson</t>
  </si>
  <si>
    <t>413</t>
  </si>
  <si>
    <t>Akosua Serwaa</t>
  </si>
  <si>
    <t>Kwaku Asare</t>
  </si>
  <si>
    <t>414</t>
  </si>
  <si>
    <t>Andrews Sarkodie</t>
  </si>
  <si>
    <t>Antwi Sarkodie</t>
  </si>
  <si>
    <t>415</t>
  </si>
  <si>
    <t>Blankson Amoah</t>
  </si>
  <si>
    <t>Enoch Bosompem</t>
  </si>
  <si>
    <t>416</t>
  </si>
  <si>
    <t>Faustina Yeboah</t>
  </si>
  <si>
    <t>Botwe Appeaning</t>
  </si>
  <si>
    <t>Kofi Isaac</t>
  </si>
  <si>
    <t xml:space="preserve">Grace Bosompemaa </t>
  </si>
  <si>
    <t>Grace Agyapomaa</t>
  </si>
  <si>
    <t>Linda Akua</t>
  </si>
  <si>
    <t>Opanyin Kofi Darkwa</t>
  </si>
  <si>
    <t>Opanyin Kwame Darkwa</t>
  </si>
  <si>
    <t>Total</t>
  </si>
  <si>
    <t>-</t>
  </si>
  <si>
    <t>TAG NUMBER</t>
  </si>
  <si>
    <t>DATE</t>
  </si>
  <si>
    <t>NUMBER</t>
  </si>
  <si>
    <t>REGISTRATION AMOUNT</t>
  </si>
  <si>
    <t>=</t>
  </si>
  <si>
    <t xml:space="preserve"> BODIES ADMITTED</t>
  </si>
  <si>
    <t>STORAGE AMOUNT</t>
  </si>
  <si>
    <t xml:space="preserve"> BODIES DISCHARGED</t>
  </si>
  <si>
    <t>TOTAL INCOME</t>
  </si>
  <si>
    <t>BATHING &amp; EMBALMING</t>
  </si>
  <si>
    <t>VISITING FEES SHARING</t>
  </si>
  <si>
    <t>TOTAL AMOUNT FOR WEEK:</t>
  </si>
  <si>
    <t>NAME</t>
  </si>
  <si>
    <t>PERCENTAGE</t>
  </si>
  <si>
    <t>AMOUNT</t>
  </si>
  <si>
    <t>TAKEN</t>
  </si>
  <si>
    <t>REMAINING</t>
  </si>
  <si>
    <t xml:space="preserve">PILLAR </t>
  </si>
  <si>
    <t>VICTOR</t>
  </si>
  <si>
    <t>OFFICE</t>
  </si>
  <si>
    <t>TIME IN</t>
  </si>
  <si>
    <t>TIME OUT</t>
  </si>
  <si>
    <t>AMBULANCE NO.</t>
  </si>
  <si>
    <t>DRIVER'S NAME</t>
  </si>
  <si>
    <t>DRIVER'S PHONE</t>
  </si>
  <si>
    <t>LOCATION</t>
  </si>
  <si>
    <t>GR-401-20</t>
  </si>
  <si>
    <t>Enoch Ntow</t>
  </si>
  <si>
    <t>DV-3874Y-25</t>
  </si>
  <si>
    <t>Kofi Gideon</t>
  </si>
  <si>
    <t>Madam Comfort</t>
  </si>
  <si>
    <t>Kennedy</t>
  </si>
  <si>
    <t>DV-D6439</t>
  </si>
  <si>
    <t>Abednego Boakye</t>
  </si>
  <si>
    <t>GC-8817-12</t>
  </si>
  <si>
    <t>Stephen Twum</t>
  </si>
  <si>
    <t>GS-8760-19</t>
  </si>
  <si>
    <t>Kennedy Agyei</t>
  </si>
  <si>
    <t>GS-7860-19</t>
  </si>
  <si>
    <t>Teye</t>
  </si>
  <si>
    <t>AR-1042-22</t>
  </si>
  <si>
    <t>George Kofi Atiemo</t>
  </si>
  <si>
    <t>GR-4165-13</t>
  </si>
  <si>
    <t>Kofi Maxwell</t>
  </si>
  <si>
    <t>AGYEI II</t>
  </si>
  <si>
    <t>Charles Agyei</t>
  </si>
  <si>
    <t>GT-5864-26</t>
  </si>
  <si>
    <t>Yaw Appiah</t>
  </si>
  <si>
    <t>Kyinso</t>
  </si>
  <si>
    <t>GR-349-22</t>
  </si>
  <si>
    <t>Kofi Kyei</t>
  </si>
  <si>
    <t>GW-2770-22</t>
  </si>
  <si>
    <t>Kwaku Lamptey</t>
  </si>
  <si>
    <t>GR-5689-15</t>
  </si>
  <si>
    <t>Dominic Ampofo</t>
  </si>
  <si>
    <t>346, 376</t>
  </si>
  <si>
    <t>Patrick Owusu, Paul Owusu</t>
  </si>
  <si>
    <t>AK-1042-22</t>
  </si>
  <si>
    <t>Kwasi Boateng</t>
  </si>
  <si>
    <t>GS-9854-13</t>
  </si>
  <si>
    <t>Michael Ajiboye</t>
  </si>
  <si>
    <t>Akatsi</t>
  </si>
  <si>
    <t>Regina Boatemaa</t>
  </si>
  <si>
    <t>VISITORS</t>
  </si>
  <si>
    <t>PHONE</t>
  </si>
  <si>
    <t>TIME</t>
  </si>
  <si>
    <t>Nana Kwame, Ernest, Emmanuel</t>
  </si>
  <si>
    <t>Francis, Grace, Samuel, Kofi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</si>
  <si>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</si>
  <si>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</si>
  <si>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</si>
  <si>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</si>
  <si>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</si>
  <si>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</si>
  <si>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</si>
  <si>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</si>
  <si>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</si>
  <si>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</si>
  <si>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</si>
  <si>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</si>
  <si>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</si>
  <si>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</si>
  <si>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</si>
  <si>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</si>
  <si>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</si>
  <si>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</si>
  <si>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Beatrice Gakpe</t>
  </si>
  <si>
    <t>James Aleke, Stephen Gyimah</t>
  </si>
  <si>
    <t>0548631935/0556350494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</si>
  <si>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</si>
  <si>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</si>
  <si>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</si>
  <si>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</si>
  <si>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</si>
  <si>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</si>
  <si>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</si>
  <si>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</si>
  <si>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</si>
  <si>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</si>
  <si>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</si>
  <si>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</si>
  <si>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Ophilia Adejetey</t>
  </si>
  <si>
    <t>320, 328</t>
  </si>
  <si>
    <t>Aikins Korankye, Mercy Boatemaa, Obed Asamoah, Samson Asamoah</t>
  </si>
  <si>
    <t>0540395054, 0594313178, 0547686581, 0536831856</t>
  </si>
  <si>
    <t>Alex</t>
  </si>
  <si>
    <t>Doris Agyei, Helina Donkor, Akosua Tawiah</t>
  </si>
  <si>
    <t>0550472780, 0240980936, 0554708105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</si>
  <si>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</si>
  <si>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</si>
  <si>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</si>
  <si>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</si>
  <si>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</si>
  <si>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 xml:space="preserve">Cynovie Ankomaah, Dennis Kwame </t>
  </si>
  <si>
    <t>0543379799, 0242856874</t>
  </si>
  <si>
    <t>Rosina Asiedua, Christiana Agyeiwaa, Naomi Danso</t>
  </si>
  <si>
    <t>0541089136/0545707888</t>
  </si>
  <si>
    <t>Stephen Konadu, Israel Nimako, Gifty Nimako</t>
  </si>
  <si>
    <t>0246866890, 0242068403, 0554019993</t>
  </si>
  <si>
    <t>Samuel Asante, Godwin Okyere, Solomon Boahene, Alex Antwi</t>
  </si>
  <si>
    <t>0549185407, 0555078787, 0530027481, 0256251030</t>
  </si>
  <si>
    <t>Kwasi Asirifi, Dora Adwoa</t>
  </si>
  <si>
    <t>Christian Doku</t>
  </si>
  <si>
    <t>Solomon Dwamena, Samuel Dwaa</t>
  </si>
  <si>
    <t>Thomas Badu, Dickson Frimpong. Ernestina Afakomah, Mercy Antwiwaa</t>
  </si>
  <si>
    <t>0243035633/0248657543/0243512287/0543169523</t>
  </si>
  <si>
    <t>Aikins Korankye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</si>
  <si>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</si>
  <si>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</si>
  <si>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</si>
  <si>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</si>
  <si>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Kwaku Asante, Seth Akwei</t>
  </si>
  <si>
    <t>0265931820/0248675324</t>
  </si>
  <si>
    <t>Afia Kyerewaa, Sadiatu Ali</t>
  </si>
  <si>
    <t>Asirifi Darkwah, David Agyapong, Faustina Oye, Sandra Asantewaa</t>
  </si>
  <si>
    <t>242822112, 0257211870, 0592546706</t>
  </si>
  <si>
    <t>Isaac Amoah, Emmanuel Tettey, Asare Frimpong</t>
  </si>
  <si>
    <t>0556613928/0256560532</t>
  </si>
  <si>
    <t>Edward Appiah, Kwame Baba</t>
  </si>
  <si>
    <t>0556474751, 0541016065</t>
  </si>
  <si>
    <t>Maxwell Adjei, Kwaku Ohemeng Mireku</t>
  </si>
  <si>
    <t>0248255943/0533836256</t>
  </si>
  <si>
    <t>Maxwell Darkwah, Samuel Kabutey</t>
  </si>
  <si>
    <t>0249518242/0545732320</t>
  </si>
  <si>
    <t>Ama Owusua</t>
  </si>
  <si>
    <t>Kofi Mawuli, Joyce Sarpeh, Patience Akakpo</t>
  </si>
  <si>
    <t>0240836873, 0540451151</t>
  </si>
  <si>
    <t>Rosemond Aning, Regina Apeah, Daniel Appiagyei, Vivian Appiagyei, Collins Appiagyei</t>
  </si>
  <si>
    <t>0530162792, 0247561922, 0591589182, 0544629479, 0240285327</t>
  </si>
  <si>
    <t>Kwabena Amponsah, Afia Akyeah, Auntie Aku</t>
  </si>
  <si>
    <t>0245016799, 0243819139, 0256521262</t>
  </si>
  <si>
    <t>Alex Twum Ampofo, Harrison Twum</t>
  </si>
  <si>
    <t>0533921345, 0540993484</t>
  </si>
  <si>
    <t>Kate Amoako, Grace Bosompemaa, Rhina Amoako</t>
  </si>
  <si>
    <t>0244580428, 0208165794, 0244869434</t>
  </si>
  <si>
    <t>George Sarpong, Samuel Anim, Christian Yeboah</t>
  </si>
  <si>
    <t>Helina Donkor, Doris Agyei, Stephen Yeboah</t>
  </si>
  <si>
    <t>Dora Akyeah, Emma Asaah</t>
  </si>
  <si>
    <t>Kwadwo Frimpong, Kofi Akosah</t>
  </si>
  <si>
    <t>0244240800/0542450121</t>
  </si>
  <si>
    <t>Kofi Owusu, Kwaku Ampofo, Kofi Acheampong</t>
  </si>
  <si>
    <t>Yaw Agyei, Afia Aboagyewaa, Ashmond Osarfo, Margaret Takyiwaa, Seth Twum</t>
  </si>
  <si>
    <t>0249088103/0597688977/0557702138/0556665243/0246754190</t>
  </si>
  <si>
    <t>Samuel Tetteh, Francis Kweinor Okese</t>
  </si>
  <si>
    <t>0245262585, 0558259187</t>
  </si>
  <si>
    <t>Felicia Antwiwaa</t>
  </si>
  <si>
    <t>Janet Konadu, Joyce Gyimah</t>
  </si>
  <si>
    <t>0553864033/0545951760</t>
  </si>
  <si>
    <t>Yaw Sarfo, Kwame Obeng, Kwasi Nti</t>
  </si>
  <si>
    <t>558776107, 0550275551, 0547828715</t>
  </si>
  <si>
    <t>Akua Asabea</t>
  </si>
  <si>
    <t>Frank Darkwah, Georgina Amponsah</t>
  </si>
  <si>
    <t>0542059788/0597688924</t>
  </si>
  <si>
    <t>Isaac Amoah</t>
  </si>
  <si>
    <t>Ebenezer Antwi, Maxwell Asiedu, Albert Anokye, Eric Asiedu, Cosmos Nyanor</t>
  </si>
  <si>
    <t>241395040/0540589763/0556295822/0204974996/0556174461</t>
  </si>
  <si>
    <t>Rose Ayimaah, Faustina Baah, Milicent Kudi</t>
  </si>
  <si>
    <t>242621982/0535168078/0544966848</t>
  </si>
  <si>
    <t>Ransford Onyame, Christiana Onyame</t>
  </si>
  <si>
    <t>0544378898/0244722826</t>
  </si>
  <si>
    <t>Alex Amakye Ansah</t>
  </si>
  <si>
    <t>Osofo Darkwah</t>
  </si>
  <si>
    <t>Francis Okese, Alex Tetteh Okese</t>
  </si>
  <si>
    <t>0558259187, 0247221498</t>
  </si>
  <si>
    <t>Elizabeth Pomaah, Freda Gyan, Mercy Darkwah, Mallam Agyapong</t>
  </si>
  <si>
    <t>0555192188, 0257271445, 054772401, 0242822112</t>
  </si>
  <si>
    <t>Appiah Kusi, Kwadwo Twumasi, Philip Kwaku Dzaka</t>
  </si>
  <si>
    <t>248322673, 0545365715, 0547971962</t>
  </si>
  <si>
    <t>S. E. Agyekum</t>
  </si>
  <si>
    <t>Gloria Agyeiwaa, Richard Appiah, Aikins Boamah, Nancy Otema, Stella Appiah</t>
  </si>
  <si>
    <t>0594641120, 0533891719, 0536402828, 0557249281, 0543556092</t>
  </si>
  <si>
    <t>Emma Asaah, Dora Akyiaa, Sam David</t>
  </si>
  <si>
    <t>0553046041, 0530902988</t>
  </si>
  <si>
    <t>Adwoa Dora, Kwasi Asirifi</t>
  </si>
  <si>
    <t>Kingsley Boah, Ebenezer Aboagye</t>
  </si>
  <si>
    <t>0242130728, 0244913073</t>
  </si>
  <si>
    <t>William Narh</t>
  </si>
  <si>
    <t>Joseph Nartey, Richard Kwame Tetteh</t>
  </si>
  <si>
    <t>543916486, 0593215984</t>
  </si>
  <si>
    <t>Clement Asante</t>
  </si>
  <si>
    <t>Georgina Ankoma</t>
  </si>
  <si>
    <t>Prince Tawiah</t>
  </si>
  <si>
    <t>Cynovia Ankomaah, Dennis Kwame, Christabel Awuah, Elizabeth Nyarkoaa</t>
  </si>
  <si>
    <t>0543379799/0242856874/0554065569/0246482976</t>
  </si>
  <si>
    <t>Mercy Owiredua, Latifa  Alhassan</t>
  </si>
  <si>
    <t>551134334/0559565861/</t>
  </si>
  <si>
    <t>Emmanuel Batsa, Joseph Sackey, Moses  Tetteh, Emmanuel Amanga, John Sackey</t>
  </si>
  <si>
    <t>551276705/0243317106/0552406261/0534029268/0246495348</t>
  </si>
  <si>
    <t>Samuel Nyamekye</t>
  </si>
  <si>
    <t>Mr. Ntiamoah, Kwadwo Aboagye</t>
  </si>
  <si>
    <t>559677861, 0248448815</t>
  </si>
  <si>
    <t>Collins Sakyi, S.K. Abono</t>
  </si>
  <si>
    <t>0533059656, 0556362343</t>
  </si>
  <si>
    <t>Kate Otiwaa, Emmanuel Asimah</t>
  </si>
  <si>
    <t>0246517317, 0597627529</t>
  </si>
  <si>
    <t>Ernestina Afrakomah, Dickson Frimpong , Felix Appiah Kubi, Richard Opoku, Tupac Shakur</t>
  </si>
  <si>
    <t>243512287, 0248617543, 0245566666, 0242309635. 0554676745</t>
  </si>
  <si>
    <t>Isaac Okyere, Stephen Konadu</t>
  </si>
  <si>
    <t>241197807, 0246866890</t>
  </si>
  <si>
    <t>Nancy Otema, Gloria Agyeiwaa, Joyce Marfoaa, Benjamin Amoako, Daniel Akese</t>
  </si>
  <si>
    <t>557249281, 0594641120, 0591155907, 0552242631, 0552819388</t>
  </si>
  <si>
    <t xml:space="preserve"> Ashmond Osarfo, Margaret Takyiwaa</t>
  </si>
  <si>
    <t>0556665243/0246754190</t>
  </si>
  <si>
    <t>Bright Owusu, Vida Korantemaa, Bruce Opoku</t>
  </si>
  <si>
    <t>245250900, 0242827245, 0550888595</t>
  </si>
  <si>
    <t>+233 24 951 8242</t>
  </si>
  <si>
    <t>Philip Ayisi</t>
  </si>
  <si>
    <t>Kwadwo Aboagye</t>
  </si>
  <si>
    <t xml:space="preserve">        </t>
  </si>
  <si>
    <t>RECEIVER</t>
  </si>
  <si>
    <t>SOAP</t>
  </si>
  <si>
    <t>DETTOL</t>
  </si>
  <si>
    <t>EMBALMING</t>
  </si>
  <si>
    <t>OWUSU</t>
  </si>
  <si>
    <t>EBENEZER</t>
  </si>
  <si>
    <t>Employee ID</t>
  </si>
  <si>
    <t xml:space="preserve">FULL NAME </t>
  </si>
  <si>
    <t>DATE OF BIRTH</t>
  </si>
  <si>
    <t>POSITION</t>
  </si>
  <si>
    <t>CONTACT</t>
  </si>
  <si>
    <t>EMAIL</t>
  </si>
  <si>
    <t>EMPLOYMENT TYPE</t>
  </si>
  <si>
    <t>QUALIFICATION</t>
  </si>
  <si>
    <t>MARITAL STATUS</t>
  </si>
  <si>
    <t>SALARY</t>
  </si>
  <si>
    <t>https://x.com/manishamishra24/status/2049927489494073762?s=20</t>
  </si>
  <si>
    <t>BATHING &amp; EMBALMING EXPENSES</t>
  </si>
  <si>
    <t>DETAILS</t>
  </si>
  <si>
    <t>QUANTITY</t>
  </si>
  <si>
    <t>UNIT PRICE</t>
  </si>
  <si>
    <t>Secretary Light Bill</t>
  </si>
  <si>
    <t xml:space="preserve">Gloves </t>
  </si>
  <si>
    <t>Bine 20</t>
  </si>
  <si>
    <t>Captain Labour and T&amp;T</t>
  </si>
  <si>
    <t>Secretary Hospital Bill</t>
  </si>
  <si>
    <t>Pick Axe</t>
  </si>
  <si>
    <t>Thread for embalming room</t>
  </si>
  <si>
    <t>Cement for pit cover</t>
  </si>
  <si>
    <t xml:space="preserve">Masons' and Environmental Officer transportation in &amp; out </t>
  </si>
  <si>
    <t>EMPLOYEE LOAN</t>
  </si>
  <si>
    <t>Labour for Masons</t>
  </si>
  <si>
    <t>DESCRIPTION</t>
  </si>
  <si>
    <t>PAID</t>
  </si>
  <si>
    <t>remaining</t>
  </si>
  <si>
    <t>Pillar School Fees</t>
  </si>
  <si>
    <t>Pillar</t>
  </si>
  <si>
    <t>Dugbatey School Fees</t>
  </si>
  <si>
    <t>Mr. Dogbe</t>
  </si>
  <si>
    <t>T&amp;T to Kade for fee payment</t>
  </si>
  <si>
    <t xml:space="preserve">Dugbatey </t>
  </si>
  <si>
    <t>Long Scrubbing Brush</t>
  </si>
  <si>
    <t>Victor</t>
  </si>
  <si>
    <t>Cup with handle</t>
  </si>
  <si>
    <t>Owusu</t>
  </si>
  <si>
    <t>Cement for goat pen</t>
  </si>
  <si>
    <t>Parazone</t>
  </si>
  <si>
    <t>Plastic Broom</t>
  </si>
  <si>
    <t>Naphthalene Balls(Camphor)</t>
  </si>
  <si>
    <t>EPA</t>
  </si>
  <si>
    <t>Fuel for manager</t>
  </si>
  <si>
    <t>Bank Transfer</t>
  </si>
  <si>
    <t>Super Glue</t>
  </si>
  <si>
    <t>Captain</t>
  </si>
  <si>
    <t>Weedicide</t>
  </si>
  <si>
    <t>Mop</t>
  </si>
  <si>
    <t>Rope</t>
  </si>
  <si>
    <t>Sasso Spray</t>
  </si>
  <si>
    <t xml:space="preserve">Cotton </t>
  </si>
  <si>
    <t>BOP &amp; Property Rate 2026</t>
  </si>
  <si>
    <t>Manager</t>
  </si>
  <si>
    <t>Lenovo Battery</t>
  </si>
  <si>
    <t>Ebenezer</t>
  </si>
  <si>
    <t xml:space="preserve">Body Bag T&amp;T </t>
  </si>
  <si>
    <t>Pillar &amp; Dugbatey School Fees</t>
  </si>
  <si>
    <t>Gideon</t>
  </si>
  <si>
    <t>Salaries</t>
  </si>
  <si>
    <t xml:space="preserve">Fuel for Manager </t>
  </si>
  <si>
    <t>Victor Medical Bill</t>
  </si>
  <si>
    <t>Pillar Medical Bill</t>
  </si>
  <si>
    <t>Captain T&amp;T</t>
  </si>
  <si>
    <t>Carpenter</t>
  </si>
  <si>
    <t>Gloves</t>
  </si>
  <si>
    <t>Fridge Repairer</t>
  </si>
  <si>
    <t>Sharpening of cutlasses</t>
  </si>
  <si>
    <t>Manager Fuel</t>
  </si>
  <si>
    <t>August Deficit</t>
  </si>
  <si>
    <t>Nose Mask</t>
  </si>
  <si>
    <t xml:space="preserve">Laptop’s keyboard replacement </t>
  </si>
  <si>
    <t>Big Detergent</t>
  </si>
  <si>
    <t>T-Roll Pack</t>
  </si>
  <si>
    <t>Pillar Hospital Bill</t>
  </si>
  <si>
    <t>T&amp;T to Kade</t>
  </si>
  <si>
    <t>ECG Adustment Part-Payment</t>
  </si>
  <si>
    <t>ECG Officers</t>
  </si>
  <si>
    <t>Burnout Weedicide</t>
  </si>
  <si>
    <t xml:space="preserve">Big Detergent </t>
  </si>
  <si>
    <t>DEPOSITS FOR AUGUST 2026:</t>
  </si>
  <si>
    <t>AMOUNT:</t>
  </si>
  <si>
    <t>Column1</t>
  </si>
  <si>
    <t>Column2</t>
  </si>
  <si>
    <t>Column3</t>
  </si>
  <si>
    <t>Column4</t>
  </si>
  <si>
    <t>Column5</t>
  </si>
  <si>
    <t>Column6</t>
  </si>
  <si>
    <t>DISCHARGES FOR AUGUST 2026:</t>
  </si>
  <si>
    <t xml:space="preserve">TOTAL </t>
  </si>
  <si>
    <t>PHONE NUMBER</t>
  </si>
  <si>
    <t>AMBULANCE NUMBER</t>
  </si>
  <si>
    <t>SHIRT SIZE</t>
  </si>
  <si>
    <t>Kennedy Agyei(Wofa Kay)</t>
  </si>
  <si>
    <t>L</t>
  </si>
  <si>
    <t>XL</t>
  </si>
  <si>
    <t>Francis Azumah</t>
  </si>
  <si>
    <t>XXL</t>
  </si>
  <si>
    <t>Sowutuom</t>
  </si>
  <si>
    <t>M</t>
  </si>
  <si>
    <t>GR-439-22</t>
  </si>
  <si>
    <t>TOWN</t>
  </si>
  <si>
    <t>RECEIPT</t>
  </si>
  <si>
    <t>S/N</t>
  </si>
  <si>
    <t>TOWEL</t>
  </si>
  <si>
    <t>SPONGE</t>
  </si>
  <si>
    <t>PANT</t>
  </si>
  <si>
    <t>POWDER</t>
  </si>
  <si>
    <t>SOAP &amp; DETTOL</t>
  </si>
  <si>
    <t>OTHER ITEMS FEE</t>
  </si>
  <si>
    <t>DISCHARGE FEE</t>
  </si>
  <si>
    <t>BODY BAG</t>
  </si>
  <si>
    <t>BATHING</t>
  </si>
  <si>
    <t>PANT2</t>
  </si>
  <si>
    <t>MISCELLANEOUS</t>
  </si>
  <si>
    <t>Mary Boah</t>
  </si>
  <si>
    <t>FEMALE</t>
  </si>
  <si>
    <t>BROUGHT</t>
  </si>
  <si>
    <t>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</si>
</sst>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7">
    <numFmt numFmtId="164" formatCode="_-&quot;GH₵&quot;* #,##0.00_-;\-&quot;GH₵&quot;* #,##0.00_-;_-&quot;GH₵&quot;* &quot;-&quot;??_-;_-@_-"/>
    <numFmt numFmtId="165" formatCode="&quot;GH₵&quot;#,##0.00_);\(&quot;GH₵&quot;#,##0.00\)"/>
    <numFmt numFmtId="166" formatCode="_(&quot;GH₵&quot;* #,##0.00_);_(&quot;GH₵&quot;* \(#,##0.00\);_(&quot;GH₵&quot;* &quot;-&quot;??_);_(@_)"/>
    <numFmt numFmtId="167" formatCode="d/m/yy;@"/>
    <numFmt numFmtId="168" formatCode="[$-409]h:mm:ss\ AM/PM;@"/>
    <numFmt numFmtId="169" formatCode="[$GHC]\ #,##0.00"/>
    <numFmt numFmtId="170" formatCode="dd/mm/yy;@"/>
    <numFmt numFmtId="171" formatCode="&quot;GH₵&quot;#,##0.00"/>
    <numFmt numFmtId="172" formatCode="0#########"/>
    <numFmt numFmtId="173" formatCode="00000000"/>
    <numFmt numFmtId="174" formatCode="[$]dd/mm/yyyy;@" x16r2:formatCode16="[$-en-GH,1]dd/mm/yyyy;@"/>
    <numFmt numFmtId="175" formatCode="&quot;GH₵&quot;#,##0"/>
    <numFmt numFmtId="176" formatCode="0000000000"/>
    <numFmt numFmtId="177" formatCode="[$]dddd\,\ mmmm\ d\,\ yyyy;@" x16r2:formatCode16="[$-en-GH,1]dddd\,\ mmmm\ d\,\ yyyy;@"/>
    <numFmt numFmtId="178" formatCode="[$-F800]dddd\,\ mmmm\ dd\,\ yyyy"/>
    <numFmt numFmtId="179" formatCode="[$-F400]h:mm:ss\ AM/PM"/>
    <numFmt numFmtId="180" formatCode="000"/>
  </numFmts>
  <fonts count="42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2" fillId="0" borderId="0" applyNumberFormat="0" applyFill="0" applyBorder="0" applyAlignment="0" applyProtection="0"/>
  </cellStyleXfs>
  <cellXfs count="215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9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70" fontId="19" fillId="0" borderId="1" xfId="0" applyNumberFormat="1" applyFont="1" applyBorder="1" applyAlignment="1">
      <alignment horizontal="left" vertical="top"/>
    </xf>
    <xf numFmtId="168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6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1" fontId="4" fillId="6" borderId="0" xfId="0" applyNumberFormat="1" applyFont="1" applyFill="1" applyAlignment="1">
      <alignment horizontal="left" vertical="top"/>
    </xf>
    <xf numFmtId="167" fontId="5" fillId="6" borderId="0" xfId="0" applyNumberFormat="1" applyFont="1" applyFill="1" applyAlignment="1">
      <alignment horizontal="left" vertical="top"/>
    </xf>
    <xf numFmtId="171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1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7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2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22" fillId="0" borderId="0" xfId="2"/>
    <xf numFmtId="171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5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1" fontId="0" fillId="0" borderId="0" xfId="0" applyNumberFormat="1"/>
    <xf numFmtId="173" fontId="19" fillId="0" borderId="1" xfId="0" applyNumberFormat="1" applyFont="1" applyBorder="1" applyAlignment="1">
      <alignment horizontal="left" vertical="top"/>
    </xf>
    <xf numFmtId="0" fontId="30" fillId="0" borderId="0" xfId="0" applyFont="1" applyAlignment="1">
      <alignment horizontal="center" vertical="top"/>
    </xf>
    <xf numFmtId="0" fontId="31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5" fillId="0" borderId="0" xfId="0" applyFont="1" applyAlignment="1">
      <alignment horizontal="left" vertical="top"/>
    </xf>
    <xf numFmtId="0" fontId="29" fillId="0" borderId="0" xfId="0" applyFont="1" applyAlignment="1">
      <alignment horizontal="left" vertical="top"/>
    </xf>
    <xf numFmtId="0" fontId="27" fillId="0" borderId="0" xfId="0" applyFont="1"/>
    <xf numFmtId="174" fontId="5" fillId="6" borderId="0" xfId="0" applyNumberFormat="1" applyFont="1" applyFill="1" applyAlignment="1">
      <alignment horizontal="left" vertical="top"/>
    </xf>
    <xf numFmtId="173" fontId="3" fillId="6" borderId="0" xfId="0" applyNumberFormat="1" applyFont="1" applyFill="1" applyAlignment="1">
      <alignment horizontal="left" vertical="top"/>
    </xf>
    <xf numFmtId="168" fontId="4" fillId="6" borderId="0" xfId="0" applyNumberFormat="1" applyFont="1" applyFill="1" applyAlignment="1">
      <alignment horizontal="left" vertical="top"/>
    </xf>
    <xf numFmtId="169" fontId="28" fillId="6" borderId="0" xfId="0" applyNumberFormat="1" applyFont="1" applyFill="1" applyAlignment="1">
      <alignment horizontal="left" vertical="top"/>
    </xf>
    <xf numFmtId="173" fontId="4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173" fontId="8" fillId="6" borderId="0" xfId="0" applyNumberFormat="1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168" fontId="1" fillId="6" borderId="0" xfId="0" applyNumberFormat="1" applyFont="1" applyFill="1" applyAlignment="1">
      <alignment horizontal="left" vertical="top"/>
    </xf>
    <xf numFmtId="169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5" fontId="0" fillId="0" borderId="0" xfId="0" applyNumberFormat="1"/>
    <xf numFmtId="0" fontId="0" fillId="0" borderId="0" xfId="0" pivotButton="1"/>
    <xf numFmtId="0" fontId="0" fillId="0" borderId="11" xfId="0" applyBorder="1"/>
    <xf numFmtId="0" fontId="27" fillId="0" borderId="12" xfId="0" applyFont="1" applyBorder="1"/>
    <xf numFmtId="0" fontId="27" fillId="0" borderId="13" xfId="0" applyFont="1" applyBorder="1"/>
    <xf numFmtId="0" fontId="0" fillId="8" borderId="14" xfId="0" applyFill="1" applyBorder="1"/>
    <xf numFmtId="0" fontId="0" fillId="8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3" fontId="23" fillId="0" borderId="10" xfId="0" applyNumberFormat="1" applyFont="1" applyBorder="1" applyAlignment="1">
      <alignment horizontal="left" vertical="top"/>
    </xf>
    <xf numFmtId="16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3" fontId="23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31" fillId="7" borderId="10" xfId="0" applyFont="1" applyFill="1" applyBorder="1" applyAlignment="1">
      <alignment horizontal="center" vertical="top"/>
    </xf>
    <xf numFmtId="169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6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4" fillId="0" borderId="0" xfId="0" applyNumberFormat="1" applyFont="1" applyAlignment="1">
      <alignment horizontal="left" vertical="top"/>
    </xf>
    <xf numFmtId="178" fontId="34" fillId="0" borderId="0" xfId="0" applyNumberFormat="1" applyFont="1" applyAlignment="1">
      <alignment horizontal="left" vertical="top"/>
    </xf>
    <xf numFmtId="176" fontId="34" fillId="0" borderId="0" xfId="0" applyNumberFormat="1" applyFont="1" applyAlignment="1">
      <alignment horizontal="left" vertical="top"/>
    </xf>
    <xf numFmtId="164" fontId="10" fillId="0" borderId="0" xfId="0" applyNumberFormat="1" applyFont="1" applyAlignment="1">
      <alignment horizontal="left" vertical="top"/>
    </xf>
    <xf numFmtId="179" fontId="34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8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 wrapText="1"/>
    </xf>
    <xf numFmtId="49" fontId="37" fillId="2" borderId="1" xfId="0" applyNumberFormat="1" applyFont="1" applyFill="1" applyBorder="1" applyAlignment="1" applyProtection="1">
      <alignment horizontal="center" vertical="center"/>
      <protection locked="0"/>
    </xf>
    <xf numFmtId="14" fontId="34" fillId="0" borderId="0" xfId="0" applyNumberFormat="1" applyFont="1" applyAlignment="1">
      <alignment horizontal="left" vertical="top"/>
    </xf>
    <xf numFmtId="171" fontId="10" fillId="0" borderId="0" xfId="0" applyNumberFormat="1" applyFont="1" applyAlignment="1">
      <alignment horizontal="left" vertical="top"/>
    </xf>
    <xf numFmtId="14" fontId="38" fillId="11" borderId="19" xfId="0" applyNumberFormat="1" applyFont="1" applyFill="1" applyBorder="1"/>
    <xf numFmtId="0" fontId="38" fillId="11" borderId="0" xfId="0" applyFont="1" applyFill="1"/>
    <xf numFmtId="14" fontId="39" fillId="0" borderId="12" xfId="0" applyNumberFormat="1" applyFont="1" applyBorder="1"/>
    <xf numFmtId="0" fontId="39" fillId="0" borderId="20" xfId="0" applyFont="1" applyBorder="1"/>
    <xf numFmtId="171" fontId="39" fillId="0" borderId="20" xfId="0" applyNumberFormat="1" applyFont="1" applyBorder="1"/>
    <xf numFmtId="0" fontId="39" fillId="0" borderId="20" xfId="0" applyFont="1" applyBorder="1" applyAlignment="1">
      <alignment wrapText="1"/>
    </xf>
    <xf numFmtId="0" fontId="39" fillId="0" borderId="21" xfId="0" applyFont="1" applyBorder="1"/>
    <xf numFmtId="0" fontId="39" fillId="0" borderId="0" xfId="0" applyFont="1"/>
    <xf numFmtId="171" fontId="39" fillId="0" borderId="0" xfId="0" applyNumberFormat="1" applyFont="1"/>
    <xf numFmtId="0" fontId="0" fillId="0" borderId="22" xfId="0" applyBorder="1"/>
    <xf numFmtId="176" fontId="0" fillId="0" borderId="0" xfId="0" quotePrefix="1" applyNumberFormat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1" fontId="27" fillId="0" borderId="1" xfId="0" applyNumberFormat="1" applyFont="1" applyBorder="1"/>
    <xf numFmtId="0" fontId="21" fillId="0" borderId="1" xfId="0" applyFont="1" applyBorder="1"/>
    <xf numFmtId="14" fontId="39" fillId="0" borderId="0" xfId="0" applyNumberFormat="1" applyFont="1"/>
    <xf numFmtId="14" fontId="39" fillId="0" borderId="20" xfId="0" applyNumberFormat="1" applyFont="1" applyBorder="1"/>
    <xf numFmtId="0" fontId="39" fillId="0" borderId="0" xfId="0" applyFont="1" applyAlignment="1">
      <alignment wrapText="1"/>
    </xf>
    <xf numFmtId="0" fontId="0" fillId="0" borderId="23" xfId="0" applyBorder="1"/>
    <xf numFmtId="0" fontId="0" fillId="0" borderId="24" xfId="0" applyBorder="1"/>
    <xf numFmtId="0" fontId="40" fillId="11" borderId="26" xfId="0" applyFont="1" applyFill="1" applyBorder="1" applyAlignment="1">
      <alignment horizontal="center" vertical="center"/>
    </xf>
    <xf numFmtId="14" fontId="40" fillId="11" borderId="27" xfId="0" applyNumberFormat="1" applyFont="1" applyFill="1" applyBorder="1" applyAlignment="1">
      <alignment horizontal="center" vertical="center"/>
    </xf>
    <xf numFmtId="0" fontId="40" fillId="11" borderId="28" xfId="0" applyFont="1" applyFill="1" applyBorder="1" applyAlignment="1">
      <alignment horizontal="center" vertical="center"/>
    </xf>
    <xf numFmtId="0" fontId="40" fillId="11" borderId="0" xfId="0" applyFont="1" applyFill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74" fontId="0" fillId="0" borderId="20" xfId="0" applyNumberFormat="1" applyBorder="1"/>
    <xf numFmtId="0" fontId="0" fillId="0" borderId="25" xfId="0" applyBorder="1"/>
    <xf numFmtId="0" fontId="0" fillId="0" borderId="20" xfId="0" applyBorder="1"/>
    <xf numFmtId="0" fontId="0" fillId="0" borderId="26" xfId="0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2" fontId="17" fillId="0" borderId="10" xfId="0" quotePrefix="1" applyNumberFormat="1" applyFont="1" applyBorder="1" applyAlignment="1">
      <alignment horizontal="left" vertical="top"/>
    </xf>
    <xf numFmtId="168" fontId="17" fillId="0" borderId="10" xfId="0" applyNumberFormat="1" applyFont="1" applyBorder="1" applyAlignment="1">
      <alignment horizontal="left" vertical="top"/>
    </xf>
    <xf numFmtId="174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23" fillId="6" borderId="0" xfId="0" applyFont="1" applyFill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171" fontId="24" fillId="6" borderId="0" xfId="0" applyNumberFormat="1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0" fontId="29" fillId="6" borderId="0" xfId="0" applyFont="1" applyFill="1" applyAlignment="1">
      <alignment horizontal="left" vertical="top"/>
    </xf>
    <xf numFmtId="0" fontId="0" fillId="0" borderId="0" xfId="0" applyAlignment="1">
      <alignment horizontal="center"/>
    </xf>
    <xf numFmtId="171" fontId="38" fillId="11" borderId="0" xfId="0" applyNumberFormat="1" applyFont="1" applyFill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2" fontId="17" fillId="0" borderId="0" xfId="0" applyNumberFormat="1" applyFont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174" fontId="17" fillId="0" borderId="0" xfId="0" applyNumberFormat="1" applyFont="1" applyAlignment="1">
      <alignment horizontal="left" vertical="top"/>
    </xf>
    <xf numFmtId="171" fontId="4" fillId="0" borderId="0" xfId="0" applyNumberFormat="1" applyFont="1" applyAlignment="1">
      <alignment horizontal="left" vertical="top"/>
    </xf>
    <xf numFmtId="173" fontId="23" fillId="0" borderId="0" xfId="0" applyNumberFormat="1" applyFont="1" applyAlignment="1">
      <alignment horizontal="left" vertical="top"/>
    </xf>
    <xf numFmtId="169" fontId="24" fillId="0" borderId="0" xfId="0" applyNumberFormat="1" applyFont="1" applyAlignment="1">
      <alignment horizontal="left" vertical="top"/>
    </xf>
    <xf numFmtId="172" fontId="17" fillId="0" borderId="0" xfId="0" quotePrefix="1" applyNumberFormat="1" applyFont="1" applyAlignment="1">
      <alignment horizontal="left" vertical="top"/>
    </xf>
    <xf numFmtId="171" fontId="24" fillId="0" borderId="0" xfId="0" applyNumberFormat="1" applyFont="1" applyAlignment="1">
      <alignment horizontal="left" vertical="top"/>
    </xf>
    <xf numFmtId="0" fontId="41" fillId="0" borderId="0" xfId="0" applyFont="1"/>
    <xf numFmtId="0" fontId="38" fillId="11" borderId="28" xfId="0" applyFont="1" applyFill="1" applyBorder="1"/>
    <xf numFmtId="171" fontId="26" fillId="0" borderId="33" xfId="0" applyNumberFormat="1" applyFont="1" applyBorder="1" applyAlignment="1">
      <alignment horizontal="center" vertical="center"/>
    </xf>
    <xf numFmtId="49" fontId="17" fillId="0" borderId="17" xfId="0" quotePrefix="1" applyNumberFormat="1" applyFont="1" applyBorder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71" fontId="0" fillId="0" borderId="0" xfId="0" applyNumberFormat="1" applyAlignment="1">
      <alignment horizontal="center"/>
    </xf>
    <xf numFmtId="0" fontId="17" fillId="0" borderId="20" xfId="0" applyFont="1" applyBorder="1" applyAlignment="1">
      <alignment horizontal="left" vertical="top"/>
    </xf>
    <xf numFmtId="171" fontId="17" fillId="0" borderId="20" xfId="0" applyNumberFormat="1" applyFont="1" applyBorder="1" applyAlignment="1">
      <alignment horizontal="left" vertical="top"/>
    </xf>
    <xf numFmtId="10" fontId="17" fillId="0" borderId="20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173" fontId="30" fillId="0" borderId="0" xfId="0" applyNumberFormat="1" applyFont="1" applyAlignment="1">
      <alignment horizontal="center" vertical="top"/>
    </xf>
    <xf numFmtId="0" fontId="35" fillId="10" borderId="0" xfId="0" applyFont="1" applyFill="1" applyProtection="1"/>
    <xf numFmtId="0" fontId="35" fillId="9" borderId="2" xfId="0" applyFont="1" applyFill="1" applyBorder="1" applyProtection="1"/>
    <xf numFmtId="0" fontId="35" fillId="9" borderId="3" xfId="0" applyFont="1" applyFill="1" applyBorder="1" applyProtection="1"/>
    <xf numFmtId="0" fontId="35" fillId="9" borderId="4" xfId="0" applyFont="1" applyFill="1" applyBorder="1" applyProtection="1"/>
    <xf numFmtId="0" fontId="35" fillId="9" borderId="5" xfId="0" applyFont="1" applyFill="1" applyBorder="1" applyProtection="1"/>
    <xf numFmtId="0" fontId="36" fillId="4" borderId="1" xfId="0" applyFont="1" applyFill="1" applyBorder="1" applyAlignment="1" applyProtection="1">
      <alignment horizontal="center" vertical="center"/>
    </xf>
    <xf numFmtId="0" fontId="35" fillId="9" borderId="6" xfId="0" applyFont="1" applyFill="1" applyBorder="1" applyProtection="1"/>
    <xf numFmtId="0" fontId="35" fillId="9" borderId="0" xfId="0" applyFont="1" applyFill="1" applyProtection="1"/>
    <xf numFmtId="0" fontId="35" fillId="9" borderId="7" xfId="0" applyFont="1" applyFill="1" applyBorder="1" applyProtection="1"/>
    <xf numFmtId="0" fontId="35" fillId="9" borderId="8" xfId="0" applyFont="1" applyFill="1" applyBorder="1" applyProtection="1"/>
    <xf numFmtId="0" fontId="35" fillId="9" borderId="9" xfId="0" applyFont="1" applyFill="1" applyBorder="1" applyProtection="1"/>
    <xf numFmtId="0" fontId="0" fillId="0" borderId="0" xfId="0" applyNumberFormat="1"/>
    <xf numFmtId="49" fontId="17" fillId="0" borderId="0" xfId="0" quotePrefix="1" applyNumberFormat="1" applyFont="1" applyFill="1" applyAlignment="1">
      <alignment horizontal="left" vertical="top"/>
    </xf>
    <xf numFmtId="0" fontId="17" fillId="0" borderId="0" xfId="0" applyFont="1" applyFill="1" applyAlignment="1">
      <alignment horizontal="left" vertical="top"/>
    </xf>
    <xf numFmtId="0" fontId="17" fillId="0" borderId="0" xfId="0" applyNumberFormat="1" applyFont="1" applyFill="1" applyAlignment="1">
      <alignment horizontal="left" vertical="top"/>
    </xf>
    <xf numFmtId="49" fontId="17" fillId="0" borderId="0" xfId="0" applyNumberFormat="1" applyFont="1" applyFill="1" applyAlignment="1">
      <alignment horizontal="left" vertical="top"/>
    </xf>
    <xf numFmtId="172" fontId="17" fillId="0" borderId="0" xfId="0" quotePrefix="1" applyNumberFormat="1" applyFont="1" applyFill="1" applyAlignment="1">
      <alignment horizontal="left" vertical="top"/>
    </xf>
    <xf numFmtId="168" fontId="17" fillId="0" borderId="0" xfId="0" applyNumberFormat="1" applyFont="1" applyFill="1" applyAlignment="1">
      <alignment horizontal="left" vertical="top"/>
    </xf>
    <xf numFmtId="174" fontId="17" fillId="0" borderId="0" xfId="0" applyNumberFormat="1" applyFont="1" applyFill="1" applyAlignment="1">
      <alignment horizontal="left" vertical="top"/>
    </xf>
    <xf numFmtId="171" fontId="4" fillId="0" borderId="0" xfId="0" applyNumberFormat="1" applyFont="1" applyFill="1" applyAlignment="1">
      <alignment horizontal="left" vertical="top"/>
    </xf>
    <xf numFmtId="173" fontId="23" fillId="0" borderId="0" xfId="0" applyNumberFormat="1" applyFont="1" applyFill="1" applyAlignment="1">
      <alignment horizontal="left" vertical="top"/>
    </xf>
    <xf numFmtId="169" fontId="24" fillId="0" borderId="0" xfId="0" applyNumberFormat="1" applyFont="1" applyFill="1" applyAlignment="1">
      <alignment horizontal="left" vertical="top"/>
    </xf>
    <xf numFmtId="169" fontId="17" fillId="0" borderId="0" xfId="0" applyNumberFormat="1" applyFont="1" applyFill="1" applyAlignment="1">
      <alignment horizontal="left" vertical="top"/>
    </xf>
    <xf numFmtId="0" fontId="3" fillId="0" borderId="0" xfId="0" applyNumberFormat="1" applyFont="1" applyFill="1" applyAlignment="1">
      <alignment horizontal="left" vertical="top"/>
    </xf>
    <xf numFmtId="0" fontId="25" fillId="0" borderId="0" xfId="0" applyNumberFormat="1" applyFont="1" applyFill="1" applyAlignment="1">
      <alignment horizontal="left" vertical="top"/>
    </xf>
    <xf numFmtId="0" fontId="29" fillId="0" borderId="0" xfId="0" applyNumberFormat="1" applyFont="1" applyFill="1" applyAlignment="1">
      <alignment horizontal="left" vertical="top"/>
    </xf>
    <xf numFmtId="0" fontId="29" fillId="0" borderId="0" xfId="0" applyFont="1" applyFill="1" applyAlignment="1">
      <alignment horizontal="left" vertical="top"/>
    </xf>
    <xf numFmtId="14" fontId="38" fillId="11" borderId="0" xfId="0" applyNumberFormat="1" applyFont="1" applyFill="1" applyBorder="1"/>
    <xf numFmtId="0" fontId="38" fillId="11" borderId="0" xfId="0" applyFont="1" applyFill="1" applyBorder="1"/>
    <xf numFmtId="0" fontId="39" fillId="0" borderId="0" xfId="0" applyFont="1" applyBorder="1" applyAlignment="1">
      <alignment wrapText="1"/>
    </xf>
    <xf numFmtId="0" fontId="39" fillId="0" borderId="0" xfId="0" applyFont="1" applyBorder="1"/>
    <xf numFmtId="171" fontId="39" fillId="0" borderId="0" xfId="0" applyNumberFormat="1" applyFont="1" applyBorder="1"/>
    <xf numFmtId="17" fontId="41" fillId="0" borderId="0" xfId="0" applyNumberFormat="1" applyFont="1" applyAlignment="1"/>
    <xf numFmtId="0" fontId="26" fillId="0" borderId="33" xfId="0" applyFont="1" applyBorder="1" applyAlignment="1">
      <alignment horizontal="center" vertical="center"/>
    </xf>
    <xf numFmtId="0" fontId="35" fillId="10" borderId="0" xfId="0" applyFont="1" applyFill="1" applyAlignment="1" applyProtection="1">
      <alignment horizontal="center"/>
    </xf>
    <xf numFmtId="0" fontId="27" fillId="0" borderId="0" xfId="0" applyFont="1" applyAlignment="1">
      <alignment horizontal="center"/>
    </xf>
    <xf numFmtId="17" fontId="41" fillId="0" borderId="0" xfId="0" applyNumberFormat="1" applyFont="1" applyAlignment="1">
      <alignment horizontal="center"/>
    </xf>
    <xf numFmtId="0" fontId="41" fillId="0" borderId="0" xfId="0" applyFont="1" applyAlignment="1">
      <alignment horizontal="center"/>
    </xf>
    <xf numFmtId="14" fontId="33" fillId="0" borderId="30" xfId="0" applyNumberFormat="1" applyFont="1" applyBorder="1" applyAlignment="1">
      <alignment horizontal="center"/>
    </xf>
    <xf numFmtId="14" fontId="33" fillId="0" borderId="31" xfId="0" applyNumberFormat="1" applyFont="1" applyBorder="1" applyAlignment="1">
      <alignment horizontal="center"/>
    </xf>
    <xf numFmtId="14" fontId="33" fillId="0" borderId="32" xfId="0" applyNumberFormat="1" applyFont="1" applyBorder="1" applyAlignment="1">
      <alignment horizontal="center"/>
    </xf>
    <xf numFmtId="0" fontId="26" fillId="0" borderId="33" xfId="0" applyFont="1" applyBorder="1" applyAlignment="1">
      <alignment horizontal="center" vertical="center"/>
    </xf>
    <xf numFmtId="0" fontId="21" fillId="0" borderId="0" xfId="0" applyFont="1" applyAlignment="1">
      <alignment horizontal="center"/>
    </xf>
  </cellXfs>
  <cellStyles count="3">
    <cellStyle name="Hyperlink" xfId="2" builtinId="8"/>
    <cellStyle name="Normal" xfId="0" builtinId="0"/>
    <cellStyle name="Style 1" xfId="1" xr:uid="{00000000-0005-0000-0000-000002000000}"/>
  </cellStyles>
  <dxfs count="4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&quot;GH₵&quot;#,##0.00"/>
      <alignment horizontal="left" vertical="top" textRotation="0" wrapText="0" indent="0" justifyLastLine="0" shrinkToFit="0" readingOrder="0"/>
    </dxf>
    <dxf>
      <numFmt numFmtId="171" formatCode="&quot;GH₵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&quot;GH₵&quot;#,##0.00"/>
      <alignment horizontal="left" vertical="top" textRotation="0" wrapText="0" indent="0" justifyLastLine="0" shrinkToFit="0" readingOrder="0"/>
    </dxf>
    <dxf>
      <numFmt numFmtId="171" formatCode="&quot;GH₵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&quot;GH₵&quot;#,##0.00"/>
      <alignment horizontal="left" vertical="top" textRotation="0" wrapText="0" indent="0" justifyLastLine="0" shrinkToFit="0" readingOrder="0"/>
    </dxf>
    <dxf>
      <numFmt numFmtId="171" formatCode="&quot;GH₵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&quot;GH₵&quot;#,##0.00"/>
      <alignment horizontal="left" vertical="top" textRotation="0" wrapText="0" indent="0" justifyLastLine="0" shrinkToFit="0" readingOrder="0"/>
    </dxf>
    <dxf>
      <numFmt numFmtId="171" formatCode="&quot;GH₵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&quot;GH₵&quot;#,##0.00"/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numFmt numFmtId="171" formatCode="&quot;GH₵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&quot;GH₵&quot;#,##0.00"/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numFmt numFmtId="171" formatCode="&quot;GH₵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&quot;GH₵&quot;#,##0.00"/>
      <alignment horizontal="left" vertical="top" textRotation="0" wrapText="0" indent="0" justifyLastLine="0" shrinkToFit="0" readingOrder="0"/>
    </dxf>
    <dxf>
      <numFmt numFmtId="171" formatCode="&quot;GH₵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3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6" formatCode="0000000000"/>
    </dxf>
    <dxf>
      <numFmt numFmtId="23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1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9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3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3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1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1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4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4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2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4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2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border outline="0">
        <left style="thin">
          <color theme="8"/>
        </left>
      </border>
    </dxf>
    <dxf>
      <fill>
        <patternFill patternType="solid">
          <fgColor indexed="64"/>
          <bgColor rgb="FFFFFFFF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81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81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81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81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81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81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81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81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81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1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81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border diagonalUp="0" diagonalDown="0" outline="0">
        <left style="thin">
          <color theme="7"/>
        </left>
        <right/>
        <top/>
        <bottom/>
      </border>
    </dxf>
    <dxf>
      <numFmt numFmtId="171" formatCode="&quot;GH₵&quot;#,##0.00"/>
      <alignment horizontal="center" vertical="center" textRotation="0" wrapText="0" indent="0" justifyLastLine="0" shrinkToFit="0" readingOrder="0"/>
    </dxf>
    <dxf>
      <numFmt numFmtId="171" formatCode="&quot;GH₵&quot;#,##0.00"/>
      <alignment horizontal="center" vertical="center" textRotation="0" wrapText="0" indent="0" justifyLastLine="0" shrinkToFit="0" readingOrder="0"/>
    </dxf>
    <dxf>
      <numFmt numFmtId="23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font>
        <b/>
        <color theme="9" tint="-0.249977111117893"/>
        <name val="Arial Rounded MT Bold"/>
        <family val="2"/>
        <scheme val="none"/>
      </font>
      <numFmt numFmtId="176" formatCode="0000000000"/>
      <alignment horizontal="left" vertical="top" textRotation="0" wrapText="0" indent="0" justifyLastLine="0" shrinkToFit="0" readingOrder="0"/>
    </dxf>
    <dxf>
      <numFmt numFmtId="176" formatCode="0000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1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81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numFmt numFmtId="171" formatCode="&quot;GH₵&quot;#,##0.00"/>
    </dxf>
    <dxf>
      <numFmt numFmtId="171" formatCode="&quot;GH₵&quot;#,##0.00"/>
    </dxf>
    <dxf>
      <numFmt numFmtId="171" formatCode="&quot;GH₵&quot;#,##0.00"/>
    </dxf>
    <dxf>
      <numFmt numFmtId="171" formatCode="&quot;GH₵&quot;#,##0.00"/>
    </dxf>
    <dxf>
      <numFmt numFmtId="171" formatCode="&quot;GH₵&quot;#,##0.00"/>
    </dxf>
    <dxf>
      <numFmt numFmtId="171" formatCode="&quot;GH₵&quot;#,##0.0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4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top style="thin">
          <color theme="9"/>
        </top>
      </border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9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9" formatCode="[$GHC]\ #,##0.00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9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9" formatCode="[$GHC]\ #,##0.00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3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3" formatCode="00000000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3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3" formatCode="00000000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1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1" formatCode="&quot;GH₵&quot;#,##0.00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1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1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4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4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4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4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-409]h:mm:ss\ AM/PM;@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2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2" formatCode="0#########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75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5" formatCode="&quot;GH₵&quot;#,##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68"/>
      <tableStyleElement type="headerRow" dxfId="467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customXml" Target="../customXml/item7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4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162</c:v>
                </c:pt>
                <c:pt idx="1">
                  <c:v>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PIVOT!$K$4:$K$32</c:f>
              <c:strCache>
                <c:ptCount val="28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Abaam</c:v>
                </c:pt>
                <c:pt idx="5">
                  <c:v>Senkubenase</c:v>
                </c:pt>
                <c:pt idx="6">
                  <c:v>Akawani</c:v>
                </c:pt>
                <c:pt idx="7">
                  <c:v>Subiriso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Amanfrom</c:v>
                </c:pt>
                <c:pt idx="13">
                  <c:v>Kukubi</c:v>
                </c:pt>
                <c:pt idx="14">
                  <c:v>Akyem Krobo</c:v>
                </c:pt>
                <c:pt idx="15">
                  <c:v>Nyinatiase</c:v>
                </c:pt>
                <c:pt idx="16">
                  <c:v>Kwabeng</c:v>
                </c:pt>
                <c:pt idx="17">
                  <c:v>Kumasi</c:v>
                </c:pt>
                <c:pt idx="18">
                  <c:v>Akyemkroso</c:v>
                </c:pt>
                <c:pt idx="19">
                  <c:v>Kade</c:v>
                </c:pt>
                <c:pt idx="20">
                  <c:v>Amonom</c:v>
                </c:pt>
                <c:pt idx="21">
                  <c:v>Mampong</c:v>
                </c:pt>
                <c:pt idx="22">
                  <c:v>Abenaso</c:v>
                </c:pt>
                <c:pt idx="23">
                  <c:v>Akropong</c:v>
                </c:pt>
                <c:pt idx="24">
                  <c:v>Afunya</c:v>
                </c:pt>
                <c:pt idx="25">
                  <c:v>Tema</c:v>
                </c:pt>
                <c:pt idx="26">
                  <c:v>Kpando</c:v>
                </c:pt>
                <c:pt idx="27">
                  <c:v>Torpraman</c:v>
                </c:pt>
              </c:strCache>
            </c:strRef>
          </c:cat>
          <c:val>
            <c:numRef>
              <c:f>PIVOT!$L$4:$L$32</c:f>
              <c:numCache>
                <c:formatCode>General</c:formatCode>
                <c:ptCount val="28"/>
                <c:pt idx="0">
                  <c:v>205</c:v>
                </c:pt>
                <c:pt idx="1">
                  <c:v>60</c:v>
                </c:pt>
                <c:pt idx="2">
                  <c:v>56</c:v>
                </c:pt>
                <c:pt idx="3">
                  <c:v>16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226422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46900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673483187498502E-2"/>
          <c:y val="0.16268507532448856"/>
          <c:w val="0.96432651681250148"/>
          <c:h val="0.73739388055945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65</c:v>
                </c:pt>
                <c:pt idx="1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</xdr:colOff>
          <xdr:row>5</xdr:row>
          <xdr:rowOff>177800</xdr:rowOff>
        </xdr:from>
        <xdr:to>
          <xdr:col>7</xdr:col>
          <xdr:colOff>1377950</xdr:colOff>
          <xdr:row>10</xdr:row>
          <xdr:rowOff>82550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31750</xdr:rowOff>
        </xdr:from>
        <xdr:to>
          <xdr:col>9</xdr:col>
          <xdr:colOff>0</xdr:colOff>
          <xdr:row>10</xdr:row>
          <xdr:rowOff>82550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120650</xdr:rowOff>
        </xdr:from>
        <xdr:to>
          <xdr:col>5</xdr:col>
          <xdr:colOff>260350</xdr:colOff>
          <xdr:row>8</xdr:row>
          <xdr:rowOff>146050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1898650</xdr:colOff>
          <xdr:row>10</xdr:row>
          <xdr:rowOff>82550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120650</xdr:rowOff>
        </xdr:from>
        <xdr:to>
          <xdr:col>7</xdr:col>
          <xdr:colOff>3511550</xdr:colOff>
          <xdr:row>14</xdr:row>
          <xdr:rowOff>139700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44450</xdr:rowOff>
        </xdr:from>
        <xdr:to>
          <xdr:col>7</xdr:col>
          <xdr:colOff>3041650</xdr:colOff>
          <xdr:row>18</xdr:row>
          <xdr:rowOff>158750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44450</xdr:rowOff>
        </xdr:from>
        <xdr:to>
          <xdr:col>10</xdr:col>
          <xdr:colOff>25400</xdr:colOff>
          <xdr:row>18</xdr:row>
          <xdr:rowOff>177800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184150</xdr:rowOff>
        </xdr:from>
        <xdr:to>
          <xdr:col>5</xdr:col>
          <xdr:colOff>260350</xdr:colOff>
          <xdr:row>13</xdr:row>
          <xdr:rowOff>146050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3568700</xdr:colOff>
          <xdr:row>11</xdr:row>
          <xdr:rowOff>120650</xdr:rowOff>
        </xdr:from>
        <xdr:to>
          <xdr:col>9</xdr:col>
          <xdr:colOff>31750</xdr:colOff>
          <xdr:row>14</xdr:row>
          <xdr:rowOff>139700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1454150</xdr:colOff>
          <xdr:row>5</xdr:row>
          <xdr:rowOff>158750</xdr:rowOff>
        </xdr:from>
        <xdr:to>
          <xdr:col>7</xdr:col>
          <xdr:colOff>2813050</xdr:colOff>
          <xdr:row>10</xdr:row>
          <xdr:rowOff>82550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374650</xdr:colOff>
          <xdr:row>10</xdr:row>
          <xdr:rowOff>82550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44450</xdr:rowOff>
        </xdr:from>
        <xdr:to>
          <xdr:col>5</xdr:col>
          <xdr:colOff>260350</xdr:colOff>
          <xdr:row>4</xdr:row>
          <xdr:rowOff>444500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6350</xdr:rowOff>
        </xdr:from>
        <xdr:to>
          <xdr:col>5</xdr:col>
          <xdr:colOff>260350</xdr:colOff>
          <xdr:row>18</xdr:row>
          <xdr:rowOff>158750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317500</xdr:colOff>
      <xdr:row>0</xdr:row>
      <xdr:rowOff>117475</xdr:rowOff>
    </xdr:from>
    <xdr:to>
      <xdr:col>22</xdr:col>
      <xdr:colOff>518584</xdr:colOff>
      <xdr:row>5</xdr:row>
      <xdr:rowOff>117474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45167" y="11747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 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 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 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 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 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6350</xdr:rowOff>
        </xdr:from>
        <xdr:to>
          <xdr:col>4</xdr:col>
          <xdr:colOff>139700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387350</xdr:colOff>
          <xdr:row>6</xdr:row>
          <xdr:rowOff>114300</xdr:rowOff>
        </xdr:from>
        <xdr:to>
          <xdr:col>7</xdr:col>
          <xdr:colOff>292100</xdr:colOff>
          <xdr:row>11</xdr:row>
          <xdr:rowOff>44450</xdr:rowOff>
        </xdr:to>
        <xdr:sp macro="" textlink="">
          <xdr:nvSpPr>
            <xdr:cNvPr id="5121" name="Button 2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1054100</xdr:colOff>
          <xdr:row>7</xdr:row>
          <xdr:rowOff>234950</xdr:rowOff>
        </xdr:from>
        <xdr:to>
          <xdr:col>4</xdr:col>
          <xdr:colOff>641350</xdr:colOff>
          <xdr:row>11</xdr:row>
          <xdr:rowOff>260350</xdr:rowOff>
        </xdr:to>
        <xdr:sp macro="" textlink="">
          <xdr:nvSpPr>
            <xdr:cNvPr id="4097" name="Button 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44450</xdr:rowOff>
        </xdr:from>
        <xdr:to>
          <xdr:col>3</xdr:col>
          <xdr:colOff>228600</xdr:colOff>
          <xdr:row>13</xdr:row>
          <xdr:rowOff>82550</xdr:rowOff>
        </xdr:to>
        <xdr:sp macro="" textlink="">
          <xdr:nvSpPr>
            <xdr:cNvPr id="3073" name="Button 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69850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file:///C:\Users\samam\Documents\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 DO"/>
      <sheetName val="DASHBOARD"/>
      <sheetName val="EMPLOYEE DATA"/>
      <sheetName val="INVENTORY"/>
      <sheetName val="INFO"/>
      <sheetName val="FEE"/>
      <sheetName val="DISCHARGE ITEMS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287.878756018516" createdVersion="8" refreshedVersion="8" minRefreshableVersion="3" recordCount="409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2">
      <sharedItems containsBlank="1" containsMixedTypes="1" containsNumber="1" containsInteger="1" minValue="201669517" maxValue="599702518"/>
    </cacheField>
    <cacheField name="PLACE " numFmtId="49">
      <sharedItems count="31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Afunya"/>
        <s v="Amonom"/>
        <s v="Koforidua" u="1"/>
        <s v="Nyantiase" u="1"/>
        <s v="Tefle" u="1"/>
      </sharedItems>
    </cacheField>
    <cacheField name="ADMISSION TIME" numFmtId="168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4">
      <sharedItems containsSemiMixedTypes="0" containsNonDate="0" containsDate="1" containsString="0" minDate="2024-07-30T00:00:00" maxDate="2026-09-18T00:00:00" count="320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  <d v="2026-06-22T00:00:00"/>
        <d v="2026-06-20T00:00:00"/>
        <d v="2026-06-27T00:00:00"/>
        <d v="2026-06-28T00:00:00"/>
        <d v="2026-06-29T00:00:00"/>
        <d v="2026-07-01T00:00:00"/>
        <d v="2026-07-02T00:00:00"/>
        <d v="2026-07-07T00:00:00"/>
        <d v="2026-07-09T00:00:00"/>
        <d v="2026-07-10T00:00:00"/>
        <d v="2026-07-13T00:00:00"/>
        <d v="2026-07-14T00:00:00"/>
        <d v="2026-07-19T00:00:00"/>
        <d v="2026-07-21T00:00:00"/>
        <d v="2026-07-24T00:00:00"/>
        <d v="2026-07-25T00:00:00"/>
        <d v="2026-07-28T00:00:00"/>
        <d v="2026-07-30T00:00:00"/>
        <d v="2026-08-02T00:00:00"/>
        <d v="2026-08-05T00:00:00"/>
        <d v="2026-08-12T00:00:00"/>
        <d v="2026-08-20T00:00:00"/>
        <d v="2026-08-21T00:00:00"/>
        <d v="2026-08-22T00:00:00"/>
        <d v="2026-08-23T00:00:00"/>
        <d v="2026-08-24T00:00:00"/>
        <d v="2026-08-25T00:00:00"/>
        <d v="2026-08-28T00:00:00"/>
        <d v="2026-09-01T00:00:00"/>
        <d v="2026-09-02T00:00:00"/>
        <d v="2026-09-06T00:00:00"/>
        <d v="2026-09-07T00:00:00"/>
        <d v="2026-09-09T00:00:00"/>
        <d v="2026-09-10T00:00:00"/>
        <d v="2026-09-12T00:00:00"/>
        <d v="2026-09-17T00:00:00"/>
      </sharedItems>
      <fieldGroup par="26"/>
    </cacheField>
    <cacheField name="DISCHARGE DATE" numFmtId="174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67"/>
    </cacheField>
    <cacheField name="EMBALMING FEE" numFmtId="171">
      <sharedItems containsSemiMixedTypes="0" containsString="0" containsNumber="1" containsInteger="1" minValue="350" maxValue="350"/>
    </cacheField>
    <cacheField name="COLDROOM FEE" numFmtId="171">
      <sharedItems containsString="0" containsBlank="1" containsNumber="1" containsInteger="1" minValue="26" maxValue="5180"/>
    </cacheField>
    <cacheField name="EMBALMING RECEIPT" numFmtId="173">
      <sharedItems containsMixedTypes="1" containsNumber="1" containsInteger="1" minValue="269" maxValue="416"/>
    </cacheField>
    <cacheField name="COLDROOM RECEIPT" numFmtId="173">
      <sharedItems containsBlank="1" containsMixedTypes="1" containsNumber="1" containsInteger="1" minValue="54" maxValue="358"/>
    </cacheField>
    <cacheField name="DIFFERENCE" numFmtId="169">
      <sharedItems containsMixedTypes="1" containsNumber="1" containsInteger="1" minValue="-4771" maxValue="793"/>
    </cacheField>
    <cacheField name="STORAGE FEE" numFmtId="169">
      <sharedItems containsSemiMixedTypes="0" containsString="0" containsNumber="1" containsInteger="1" minValue="0" maxValue="5180"/>
    </cacheField>
    <cacheField name="STATUS" numFmtId="169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409" maxValue="409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9-18T00:00:00"/>
        <groupItems count="14">
          <s v="&lt;7/30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18/2026"/>
        </groupItems>
      </fieldGroup>
    </cacheField>
    <cacheField name="Quarters (ADMISSION DATE)" numFmtId="0" databaseField="0">
      <fieldGroup base="9">
        <rangePr groupBy="quarters" startDate="2024-07-30T00:00:00" endDate="2026-09-18T00:00:00"/>
        <groupItems count="6">
          <s v="&lt;7/30/2024"/>
          <s v="Qtr1"/>
          <s v="Qtr2"/>
          <s v="Qtr3"/>
          <s v="Qtr4"/>
          <s v="&gt;9/18/2026"/>
        </groupItems>
      </fieldGroup>
    </cacheField>
    <cacheField name="Years (ADMISSION DATE)" numFmtId="0" databaseField="0">
      <fieldGroup base="9">
        <rangePr groupBy="years" startDate="2024-07-30T00:00:00" endDate="2026-09-18T00:00:00"/>
        <groupItems count="5">
          <s v="&lt;7/30/2024"/>
          <s v="2024"/>
          <s v="2025"/>
          <s v="2026"/>
          <s v="&gt;9/18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9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409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409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409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409"/>
    <x v="0"/>
    <s v="Aug"/>
    <x v="0"/>
    <s v="Sep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409"/>
    <x v="0"/>
    <s v="Aug"/>
    <x v="0"/>
    <s v="Sep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409"/>
    <x v="0"/>
    <s v="Aug"/>
    <x v="0"/>
    <s v="Sep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409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409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409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409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409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409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409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409"/>
    <x v="0"/>
    <s v="Sep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409"/>
    <x v="0"/>
    <s v="Sep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409"/>
    <x v="0"/>
    <s v="Sep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409"/>
    <x v="0"/>
    <s v="Sep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409"/>
    <x v="0"/>
    <s v="Sep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409"/>
    <x v="0"/>
    <s v="Sep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419"/>
    <s v="00000020"/>
    <s v="00000155"/>
    <n v="0"/>
    <n v="3419"/>
    <x v="0"/>
    <n v="409"/>
    <x v="0"/>
    <s v="Sep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409"/>
    <x v="0"/>
    <s v="Sep"/>
    <x v="0"/>
    <s v="Sep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409"/>
    <x v="0"/>
    <s v="Sep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409"/>
    <x v="0"/>
    <s v="Sep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409"/>
    <x v="0"/>
    <s v="Sep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409"/>
    <x v="0"/>
    <s v="Sep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409"/>
    <x v="0"/>
    <s v="Sep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409"/>
    <x v="0"/>
    <s v="Sep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409"/>
    <x v="0"/>
    <s v="Sep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409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409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409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409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409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409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409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409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409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409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409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409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409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409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409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409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409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409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409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409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409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409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409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409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409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409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409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409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409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409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409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409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409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409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409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409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409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409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409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409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409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409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409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409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409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36"/>
    <s v="00000074"/>
    <s v="00000046"/>
    <n v="0"/>
    <n v="936"/>
    <x v="0"/>
    <n v="409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409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409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409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409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409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409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409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409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409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409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409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409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409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409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409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409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409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409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409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409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409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409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409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409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409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409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409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409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409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409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409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409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409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409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409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409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409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409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409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409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409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409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409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409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409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409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409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409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409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580"/>
    <s v="00000127"/>
    <s v="00000105"/>
    <n v="0"/>
    <n v="4580"/>
    <x v="0"/>
    <n v="409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409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409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409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409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409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409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409"/>
    <x v="1"/>
    <s v="Apr"/>
    <x v="1"/>
    <s v="Sep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409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409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409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409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409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409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409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409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409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409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409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409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409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409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409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409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409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409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409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409"/>
    <x v="1"/>
    <s v="Jun"/>
    <x v="1"/>
    <s v="Sep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409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409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409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409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409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409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409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409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409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409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409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409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409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409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409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409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409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409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409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409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409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409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409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409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409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409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409"/>
    <x v="1"/>
    <s v="Jul"/>
    <x v="1"/>
    <s v="Sep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409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409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409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409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409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409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409"/>
    <x v="1"/>
    <s v="Aug"/>
    <x v="1"/>
    <s v="Sep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409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409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409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409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409"/>
    <x v="1"/>
    <s v="Aug"/>
    <x v="1"/>
    <s v="Sep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409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409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409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409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409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409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409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409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409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409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409"/>
    <x v="1"/>
    <s v="Sep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409"/>
    <x v="1"/>
    <s v="Sep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409"/>
    <x v="1"/>
    <s v="Sep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409"/>
    <x v="1"/>
    <s v="Sep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409"/>
    <x v="1"/>
    <s v="Sep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409"/>
    <x v="1"/>
    <s v="Sep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409"/>
    <x v="1"/>
    <s v="Sep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409"/>
    <x v="1"/>
    <s v="Sep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409"/>
    <x v="1"/>
    <s v="Sep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409"/>
    <x v="1"/>
    <s v="Sep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409"/>
    <x v="1"/>
    <s v="Sep"/>
    <x v="1"/>
    <s v="Sep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409"/>
    <x v="1"/>
    <s v="Sep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409"/>
    <x v="1"/>
    <s v="Sep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409"/>
    <x v="1"/>
    <s v="Sep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409"/>
    <x v="1"/>
    <s v="Sep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409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409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409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409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409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409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409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409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409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409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409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409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409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409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409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409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409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409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409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409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409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409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409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409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409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409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409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409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409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409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409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409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409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409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409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409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n v="2367"/>
    <s v="00000257"/>
    <n v="337"/>
    <n v="-1000"/>
    <n v="3367"/>
    <x v="0"/>
    <n v="409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409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409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409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409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409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409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d v="2026-11-27T00:00:00"/>
    <n v="367"/>
    <n v="350"/>
    <m/>
    <s v="00000264"/>
    <m/>
    <n v="-4771"/>
    <n v="4771"/>
    <x v="1"/>
    <n v="409"/>
    <x v="1"/>
    <s v="Nov"/>
    <x v="2"/>
    <s v="Nov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409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409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409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409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409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409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409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409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297"/>
    <n v="0"/>
    <n v="1911"/>
    <x v="0"/>
    <n v="409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409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409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7-03T00:00:00"/>
    <n v="203"/>
    <n v="350"/>
    <n v="2639"/>
    <n v="276"/>
    <n v="326"/>
    <n v="0"/>
    <n v="2639"/>
    <x v="0"/>
    <n v="409"/>
    <x v="1"/>
    <s v="Dec"/>
    <x v="2"/>
    <s v="Jul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409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409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409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409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409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409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409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409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409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409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409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409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409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409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409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409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409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409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409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409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409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409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409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409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409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409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409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409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d v="2026-09-04T00:00:00"/>
    <n v="196"/>
    <n v="350"/>
    <n v="2548"/>
    <n v="305"/>
    <n v="344"/>
    <n v="0"/>
    <n v="2548"/>
    <x v="0"/>
    <n v="409"/>
    <x v="2"/>
    <s v="Feb"/>
    <x v="2"/>
    <s v="Sep"/>
  </r>
  <r>
    <s v="301"/>
    <s v="Augustina Konadu"/>
    <n v="65"/>
    <x v="1"/>
    <s v="Isaac Ofosuhene"/>
    <n v="531879859"/>
    <x v="2"/>
    <d v="1899-12-30T09:30:00"/>
    <x v="0"/>
    <x v="241"/>
    <d v="2026-07-03T00:00:00"/>
    <n v="133"/>
    <n v="350"/>
    <n v="1729"/>
    <n v="306"/>
    <n v="322"/>
    <n v="0"/>
    <n v="1729"/>
    <x v="0"/>
    <n v="409"/>
    <x v="2"/>
    <s v="Feb"/>
    <x v="2"/>
    <s v="Jul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409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d v="2026-07-31T00:00:00"/>
    <n v="159"/>
    <n v="350"/>
    <n v="2067"/>
    <n v="308"/>
    <n v="339"/>
    <n v="0"/>
    <n v="2067"/>
    <x v="0"/>
    <n v="409"/>
    <x v="2"/>
    <s v="Feb"/>
    <x v="2"/>
    <s v="Jul"/>
  </r>
  <r>
    <s v="304"/>
    <s v="Akua Korang"/>
    <n v="73"/>
    <x v="1"/>
    <s v="Francis Paddy"/>
    <n v="241893732"/>
    <x v="3"/>
    <d v="1899-12-30T19:00:00"/>
    <x v="0"/>
    <x v="240"/>
    <d v="2026-07-03T00:00:00"/>
    <n v="131"/>
    <n v="350"/>
    <n v="1703"/>
    <n v="309"/>
    <n v="327"/>
    <n v="0"/>
    <n v="1703"/>
    <x v="0"/>
    <n v="409"/>
    <x v="2"/>
    <s v="Feb"/>
    <x v="2"/>
    <s v="Jul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409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d v="2026-09-04T00:00:00"/>
    <n v="193"/>
    <n v="350"/>
    <n v="2509"/>
    <n v="311"/>
    <n v="351"/>
    <n v="0"/>
    <n v="2509"/>
    <x v="0"/>
    <n v="409"/>
    <x v="2"/>
    <s v="Feb"/>
    <x v="2"/>
    <s v="Sep"/>
  </r>
  <r>
    <s v="307"/>
    <s v="Akua Tuah"/>
    <n v="81"/>
    <x v="1"/>
    <s v="Samuel Larbi"/>
    <n v="541712845"/>
    <x v="15"/>
    <d v="1899-12-30T05:00:00"/>
    <x v="1"/>
    <x v="243"/>
    <d v="2026-07-02T00:00:00"/>
    <n v="128"/>
    <n v="350"/>
    <n v="2560"/>
    <n v="312"/>
    <n v="330"/>
    <n v="0"/>
    <n v="2560"/>
    <x v="0"/>
    <n v="409"/>
    <x v="2"/>
    <s v="Feb"/>
    <x v="2"/>
    <s v="Jul"/>
  </r>
  <r>
    <s v="308"/>
    <s v="Jennifer Amponsah"/>
    <n v="74"/>
    <x v="1"/>
    <s v="Raymond Asomaning Ampofo"/>
    <n v="599622119"/>
    <x v="3"/>
    <d v="1899-12-30T07:30:00"/>
    <x v="0"/>
    <x v="242"/>
    <d v="2026-11-27T00:00:00"/>
    <n v="277"/>
    <n v="350"/>
    <n v="1500"/>
    <n v="313"/>
    <m/>
    <n v="-2101"/>
    <n v="3601"/>
    <x v="1"/>
    <n v="409"/>
    <x v="2"/>
    <s v="Feb"/>
    <x v="2"/>
    <s v="Nov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409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d v="2026-07-31T00:00:00"/>
    <n v="155"/>
    <n v="350"/>
    <n v="2015"/>
    <n v="315"/>
    <n v="340"/>
    <n v="0"/>
    <n v="2015"/>
    <x v="0"/>
    <n v="409"/>
    <x v="2"/>
    <s v="Feb"/>
    <x v="2"/>
    <s v="Jul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n v="0"/>
    <x v="1"/>
    <n v="409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d v="2026-07-31T00:00:00"/>
    <n v="152"/>
    <n v="350"/>
    <n v="1976"/>
    <n v="317"/>
    <n v="334"/>
    <n v="0"/>
    <n v="1976"/>
    <x v="0"/>
    <n v="409"/>
    <x v="2"/>
    <s v="Mar"/>
    <x v="2"/>
    <s v="Jul"/>
  </r>
  <r>
    <s v="313"/>
    <s v="Kwasi Nti"/>
    <n v="67"/>
    <x v="0"/>
    <s v="Abusuapanyin Fenteng"/>
    <n v="244057569"/>
    <x v="0"/>
    <d v="1899-12-30T17:30:00"/>
    <x v="0"/>
    <x v="246"/>
    <d v="2026-07-31T00:00:00"/>
    <n v="151"/>
    <n v="350"/>
    <n v="1963"/>
    <n v="318"/>
    <n v="338"/>
    <n v="0"/>
    <n v="1963"/>
    <x v="0"/>
    <n v="409"/>
    <x v="2"/>
    <s v="Mar"/>
    <x v="2"/>
    <s v="Jul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409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409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d v="2026-07-31T00:00:00"/>
    <n v="136"/>
    <n v="350"/>
    <n v="1768"/>
    <n v="321"/>
    <n v="333"/>
    <n v="0"/>
    <n v="1768"/>
    <x v="0"/>
    <n v="409"/>
    <x v="2"/>
    <s v="Mar"/>
    <x v="2"/>
    <s v="Jul"/>
  </r>
  <r>
    <s v="317"/>
    <s v="Kwaku Yeboah"/>
    <n v="68"/>
    <x v="0"/>
    <s v="Charles Acheampong"/>
    <n v="551128941"/>
    <x v="0"/>
    <d v="1899-12-30T14:00:00"/>
    <x v="1"/>
    <x v="250"/>
    <d v="2026-10-30T00:00:00"/>
    <n v="226"/>
    <n v="350"/>
    <m/>
    <n v="322"/>
    <m/>
    <n v="-4520"/>
    <n v="4520"/>
    <x v="1"/>
    <n v="409"/>
    <x v="2"/>
    <s v="Mar"/>
    <x v="2"/>
    <s v="Oc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n v="0"/>
    <x v="1"/>
    <n v="409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409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n v="0"/>
    <x v="1"/>
    <n v="409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409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409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409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409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d v="2026-09-04T00:00:00"/>
    <n v="153"/>
    <n v="350"/>
    <n v="1989"/>
    <n v="330"/>
    <n v="352"/>
    <n v="0"/>
    <n v="1989"/>
    <x v="0"/>
    <n v="409"/>
    <x v="2"/>
    <s v="Apr"/>
    <x v="2"/>
    <s v="Sep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409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d v="2026-07-03T00:00:00"/>
    <n v="82"/>
    <n v="350"/>
    <n v="1640"/>
    <n v="332"/>
    <n v="329"/>
    <n v="0"/>
    <n v="1640"/>
    <x v="0"/>
    <n v="409"/>
    <x v="2"/>
    <s v="Apr"/>
    <x v="2"/>
    <s v="Jul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409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d v="2026-08-14T00:00:00"/>
    <n v="121"/>
    <n v="350"/>
    <n v="1573"/>
    <n v="334"/>
    <n v="342"/>
    <n v="0"/>
    <n v="1573"/>
    <x v="0"/>
    <n v="409"/>
    <x v="2"/>
    <s v="Apr"/>
    <x v="2"/>
    <s v="Aug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409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d v="2026-09-04T00:00:00"/>
    <n v="138"/>
    <n v="350"/>
    <n v="1794"/>
    <n v="336"/>
    <n v="353"/>
    <n v="0"/>
    <n v="1794"/>
    <x v="0"/>
    <n v="409"/>
    <x v="2"/>
    <s v="Apr"/>
    <x v="2"/>
    <s v="Sep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n v="975"/>
    <n v="337"/>
    <n v="323"/>
    <n v="0"/>
    <n v="975"/>
    <x v="0"/>
    <n v="409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d v="2026-07-03T00:00:00"/>
    <n v="74"/>
    <n v="350"/>
    <n v="962"/>
    <n v="338"/>
    <n v="325"/>
    <n v="0"/>
    <n v="962"/>
    <x v="0"/>
    <n v="409"/>
    <x v="2"/>
    <s v="Apr"/>
    <x v="2"/>
    <s v="Jul"/>
  </r>
  <r>
    <s v="334"/>
    <s v="Yaa Owusua"/>
    <n v="33"/>
    <x v="1"/>
    <s v="Akua Twumwaa"/>
    <n v="544489271"/>
    <x v="3"/>
    <d v="1899-12-30T19:30:00"/>
    <x v="0"/>
    <x v="261"/>
    <d v="2026-07-31T00:00:00"/>
    <n v="103"/>
    <n v="350"/>
    <n v="1339"/>
    <n v="339"/>
    <n v="336"/>
    <n v="0"/>
    <n v="1339"/>
    <x v="0"/>
    <n v="409"/>
    <x v="2"/>
    <s v="Apr"/>
    <x v="2"/>
    <s v="Jul"/>
  </r>
  <r>
    <s v="335"/>
    <s v="Selina Asantewaa"/>
    <n v="86"/>
    <x v="1"/>
    <s v="Dickson Asante"/>
    <n v="532089205"/>
    <x v="2"/>
    <d v="1899-12-30T17:00:00"/>
    <x v="0"/>
    <x v="263"/>
    <d v="2026-09-04T00:00:00"/>
    <n v="136"/>
    <n v="350"/>
    <n v="1768"/>
    <n v="340"/>
    <n v="347"/>
    <n v="0"/>
    <n v="1768"/>
    <x v="0"/>
    <n v="409"/>
    <x v="2"/>
    <s v="Apr"/>
    <x v="2"/>
    <s v="Sep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409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d v="2026-09-04T00:00:00"/>
    <n v="134"/>
    <n v="350"/>
    <n v="1742"/>
    <n v="342"/>
    <n v="348"/>
    <n v="0"/>
    <n v="1742"/>
    <x v="0"/>
    <n v="409"/>
    <x v="2"/>
    <s v="Apr"/>
    <x v="2"/>
    <s v="Sep"/>
  </r>
  <r>
    <s v="338"/>
    <s v="Florence Amoako Atta"/>
    <n v="46"/>
    <x v="1"/>
    <s v="Joyce Amoako Atta"/>
    <n v="247239374"/>
    <x v="0"/>
    <d v="1899-12-30T16:35:00"/>
    <x v="0"/>
    <x v="265"/>
    <d v="2026-09-04T00:00:00"/>
    <n v="127"/>
    <n v="350"/>
    <n v="1651"/>
    <n v="343"/>
    <n v="54"/>
    <n v="0"/>
    <n v="1651"/>
    <x v="0"/>
    <n v="409"/>
    <x v="2"/>
    <s v="May"/>
    <x v="2"/>
    <s v="Sep"/>
  </r>
  <r>
    <s v="339"/>
    <s v="Charity Boadiwaa"/>
    <n v="42"/>
    <x v="1"/>
    <s v="Kwadwo Antwi"/>
    <n v="541500105"/>
    <x v="3"/>
    <d v="1899-12-30T22:30:00"/>
    <x v="0"/>
    <x v="266"/>
    <d v="2026-07-03T00:00:00"/>
    <n v="63"/>
    <n v="350"/>
    <n v="819"/>
    <n v="344"/>
    <n v="324"/>
    <n v="0"/>
    <n v="819"/>
    <x v="0"/>
    <n v="409"/>
    <x v="2"/>
    <s v="May"/>
    <x v="2"/>
    <s v="Jul"/>
  </r>
  <r>
    <s v="340"/>
    <s v="Kofi Bosompem"/>
    <n v="62"/>
    <x v="0"/>
    <s v="Jacob Danso"/>
    <n v="592684635"/>
    <x v="2"/>
    <d v="1899-12-30T21:00:00"/>
    <x v="0"/>
    <x v="266"/>
    <d v="2026-09-18T00:00:00"/>
    <n v="140"/>
    <n v="350"/>
    <m/>
    <n v="345"/>
    <m/>
    <n v="-1820"/>
    <n v="1820"/>
    <x v="1"/>
    <n v="409"/>
    <x v="2"/>
    <s v="May"/>
    <x v="2"/>
    <s v="Sep"/>
  </r>
  <r>
    <s v="341"/>
    <s v="Salomey Akua Buah"/>
    <n v="83"/>
    <x v="1"/>
    <s v="William Kwasi Asirifi"/>
    <n v="503472718"/>
    <x v="3"/>
    <d v="1899-12-30T07:00:00"/>
    <x v="1"/>
    <x v="267"/>
    <d v="2026-11-27T00:00:00"/>
    <n v="207"/>
    <n v="350"/>
    <m/>
    <n v="347"/>
    <m/>
    <n v="-4140"/>
    <n v="4140"/>
    <x v="1"/>
    <n v="409"/>
    <x v="2"/>
    <s v="May"/>
    <x v="2"/>
    <s v="Nov"/>
  </r>
  <r>
    <s v="342"/>
    <s v="Cecilia Serwaa"/>
    <n v="80"/>
    <x v="1"/>
    <s v="Eric Bamfo"/>
    <n v="557797063"/>
    <x v="0"/>
    <d v="1899-12-30T17:30:00"/>
    <x v="0"/>
    <x v="268"/>
    <d v="2026-10-30T00:00:00"/>
    <n v="180"/>
    <n v="350"/>
    <m/>
    <n v="348"/>
    <m/>
    <n v="-2340"/>
    <n v="2340"/>
    <x v="1"/>
    <n v="409"/>
    <x v="2"/>
    <s v="May"/>
    <x v="2"/>
    <s v="Oct"/>
  </r>
  <r>
    <s v="343"/>
    <s v="Janet Boadua"/>
    <n v="95"/>
    <x v="1"/>
    <s v="Thomas Badu"/>
    <n v="243035633"/>
    <x v="0"/>
    <d v="1899-12-30T19:30:00"/>
    <x v="0"/>
    <x v="269"/>
    <d v="2026-09-04T00:00:00"/>
    <n v="119"/>
    <n v="350"/>
    <n v="1547"/>
    <n v="349"/>
    <n v="55"/>
    <n v="0"/>
    <n v="1547"/>
    <x v="0"/>
    <n v="409"/>
    <x v="2"/>
    <s v="May"/>
    <x v="2"/>
    <s v="Sep"/>
  </r>
  <r>
    <s v="344"/>
    <s v="Faustina Ayimaah"/>
    <n v="54"/>
    <x v="1"/>
    <s v="Kwame Amponsah/Sophia Adede"/>
    <s v="0530694499/0532453112"/>
    <x v="2"/>
    <d v="1899-12-30T17:00:00"/>
    <x v="1"/>
    <x v="269"/>
    <d v="2026-09-04T00:00:00"/>
    <n v="119"/>
    <n v="350"/>
    <n v="2380"/>
    <n v="350"/>
    <n v="357"/>
    <n v="0"/>
    <n v="2380"/>
    <x v="0"/>
    <n v="409"/>
    <x v="2"/>
    <s v="May"/>
    <x v="2"/>
    <s v="Sep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m/>
    <n v="351"/>
    <m/>
    <n v="-4134"/>
    <n v="4134"/>
    <x v="1"/>
    <n v="409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d v="2026-09-25T00:00:00"/>
    <n v="136"/>
    <n v="350"/>
    <n v="1768"/>
    <n v="352"/>
    <n v="358"/>
    <n v="0"/>
    <n v="1768"/>
    <x v="0"/>
    <n v="409"/>
    <x v="2"/>
    <s v="May"/>
    <x v="2"/>
    <s v="Sep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409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409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409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d v="2026-07-03T00:00:00"/>
    <n v="44"/>
    <n v="350"/>
    <n v="572"/>
    <n v="356"/>
    <n v="328"/>
    <n v="0"/>
    <n v="572"/>
    <x v="0"/>
    <n v="409"/>
    <x v="2"/>
    <s v="May"/>
    <x v="2"/>
    <s v="Jul"/>
  </r>
  <r>
    <s v="351"/>
    <s v="Stephen Twum Ampofo"/>
    <n v="81"/>
    <x v="0"/>
    <s v="Kwasi Ntiamoah"/>
    <n v="249314111"/>
    <x v="0"/>
    <d v="1899-12-30T13:45:00"/>
    <x v="0"/>
    <x v="274"/>
    <d v="2026-10-30T00:00:00"/>
    <n v="156"/>
    <n v="350"/>
    <m/>
    <n v="357"/>
    <m/>
    <n v="-2028"/>
    <n v="2028"/>
    <x v="1"/>
    <n v="409"/>
    <x v="2"/>
    <s v="May"/>
    <x v="2"/>
    <s v="Oct"/>
  </r>
  <r>
    <s v="352"/>
    <s v="Elizabeth Ofosua"/>
    <n v="70"/>
    <x v="1"/>
    <s v="Kwaku Asante"/>
    <n v="265931820"/>
    <x v="2"/>
    <d v="1899-12-30T08:20:00"/>
    <x v="0"/>
    <x v="275"/>
    <d v="2026-09-04T00:00:00"/>
    <n v="99"/>
    <n v="350"/>
    <n v="1287"/>
    <n v="358"/>
    <n v="345"/>
    <n v="0"/>
    <n v="1287"/>
    <x v="0"/>
    <n v="409"/>
    <x v="2"/>
    <s v="May"/>
    <x v="2"/>
    <s v="Sep"/>
  </r>
  <r>
    <s v="353"/>
    <s v="Seth Aboagye"/>
    <n v="59"/>
    <x v="0"/>
    <s v="Andrews Aboagye"/>
    <n v="243940350"/>
    <x v="3"/>
    <d v="1899-12-30T14:30:00"/>
    <x v="0"/>
    <x v="275"/>
    <d v="2026-09-04T00:00:00"/>
    <n v="99"/>
    <n v="350"/>
    <n v="1287"/>
    <n v="359"/>
    <n v="346"/>
    <n v="0"/>
    <n v="1287"/>
    <x v="0"/>
    <n v="409"/>
    <x v="2"/>
    <s v="May"/>
    <x v="2"/>
    <s v="Sep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409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409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409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409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409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n v="0"/>
    <x v="1"/>
    <n v="409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10-02T00:00:00"/>
    <n v="111"/>
    <n v="350"/>
    <m/>
    <n v="366"/>
    <m/>
    <n v="-1443"/>
    <n v="1443"/>
    <x v="1"/>
    <n v="409"/>
    <x v="2"/>
    <s v="Jun"/>
    <x v="2"/>
    <s v="Oc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409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d v="2026-09-04T00:00:00"/>
    <n v="81"/>
    <n v="350"/>
    <n v="1053"/>
    <n v="368"/>
    <n v="56"/>
    <n v="0"/>
    <n v="1053"/>
    <x v="0"/>
    <n v="409"/>
    <x v="2"/>
    <s v="Jun"/>
    <x v="2"/>
    <s v="Sep"/>
  </r>
  <r>
    <s v="363"/>
    <s v="Georgina Korang"/>
    <n v="48"/>
    <x v="1"/>
    <s v="Opanyin Amagyei"/>
    <n v="599498650"/>
    <x v="3"/>
    <d v="1899-12-30T09:00:00"/>
    <x v="0"/>
    <x v="283"/>
    <d v="2026-09-25T00:00:00"/>
    <n v="99"/>
    <n v="350"/>
    <m/>
    <n v="369"/>
    <m/>
    <n v="-1287"/>
    <n v="1287"/>
    <x v="1"/>
    <n v="409"/>
    <x v="2"/>
    <s v="Jun"/>
    <x v="2"/>
    <s v="Sep"/>
  </r>
  <r>
    <s v="364"/>
    <s v="Isaac Darko"/>
    <n v="48"/>
    <x v="0"/>
    <s v="Asirifi Darkwah"/>
    <n v="591492663"/>
    <x v="25"/>
    <d v="1899-12-30T09:52:00"/>
    <x v="0"/>
    <x v="284"/>
    <d v="2026-09-04T00:00:00"/>
    <n v="75"/>
    <n v="350"/>
    <n v="975"/>
    <n v="269"/>
    <n v="350"/>
    <n v="0"/>
    <n v="975"/>
    <x v="0"/>
    <n v="409"/>
    <x v="2"/>
    <s v="Jun"/>
    <x v="2"/>
    <s v="Sep"/>
  </r>
  <r>
    <s v="365"/>
    <s v="Vivian Animah"/>
    <n v="69"/>
    <x v="1"/>
    <s v="Yaw Agyei"/>
    <n v="249088103"/>
    <x v="3"/>
    <d v="1899-12-30T09:58:00"/>
    <x v="1"/>
    <x v="284"/>
    <m/>
    <s v="NO DATE"/>
    <n v="350"/>
    <m/>
    <n v="370"/>
    <m/>
    <e v="#VALUE!"/>
    <n v="0"/>
    <x v="1"/>
    <n v="409"/>
    <x v="2"/>
    <s v="Jun"/>
    <x v="3"/>
    <s v="Jan"/>
  </r>
  <r>
    <s v="366"/>
    <s v="Christiana Kwakyewaa"/>
    <n v="95"/>
    <x v="1"/>
    <s v="Alex Nyarko"/>
    <n v="541881395"/>
    <x v="0"/>
    <d v="1899-12-30T10:05:00"/>
    <x v="0"/>
    <x v="285"/>
    <m/>
    <s v="NO DATE"/>
    <n v="350"/>
    <m/>
    <n v="371"/>
    <m/>
    <e v="#VALUE!"/>
    <n v="0"/>
    <x v="1"/>
    <n v="409"/>
    <x v="2"/>
    <s v="Jun"/>
    <x v="3"/>
    <s v="Jan"/>
  </r>
  <r>
    <s v="367"/>
    <s v="Emelia Ampofoaa"/>
    <n v="55"/>
    <x v="1"/>
    <s v="Kwabena Antwi"/>
    <n v="241185137"/>
    <x v="2"/>
    <d v="1899-12-30T10:08:00"/>
    <x v="0"/>
    <x v="284"/>
    <m/>
    <s v="NO DATE"/>
    <n v="350"/>
    <m/>
    <n v="372"/>
    <m/>
    <e v="#VALUE!"/>
    <n v="0"/>
    <x v="1"/>
    <n v="409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74"/>
    <m/>
    <e v="#VALUE!"/>
    <n v="0"/>
    <x v="1"/>
    <n v="409"/>
    <x v="2"/>
    <s v="Jun"/>
    <x v="3"/>
    <s v="Jan"/>
  </r>
  <r>
    <s v="369"/>
    <s v="Joanita Ofori Asante"/>
    <n v="30"/>
    <x v="1"/>
    <s v="Isaac Oduro"/>
    <n v="248085327"/>
    <x v="0"/>
    <d v="1899-12-30T14:30:00"/>
    <x v="1"/>
    <x v="287"/>
    <d v="2026-09-04T00:00:00"/>
    <n v="69"/>
    <n v="350"/>
    <n v="1380"/>
    <n v="375"/>
    <n v="335"/>
    <n v="0"/>
    <n v="1380"/>
    <x v="0"/>
    <n v="409"/>
    <x v="2"/>
    <s v="Jun"/>
    <x v="2"/>
    <s v="Sep"/>
  </r>
  <r>
    <s v="370"/>
    <s v="Samuel Osei"/>
    <n v="63"/>
    <x v="0"/>
    <s v="Christian Yeboah"/>
    <n v="545025693"/>
    <x v="0"/>
    <d v="1899-12-30T17:30:00"/>
    <x v="0"/>
    <x v="288"/>
    <d v="2026-09-04T00:00:00"/>
    <n v="68"/>
    <n v="350"/>
    <n v="884"/>
    <n v="376"/>
    <n v="331"/>
    <n v="0"/>
    <n v="884"/>
    <x v="0"/>
    <n v="409"/>
    <x v="2"/>
    <s v="Jun"/>
    <x v="2"/>
    <s v="Sep"/>
  </r>
  <r>
    <s v="371"/>
    <s v="Kate Owusu Sekyere"/>
    <n v="49"/>
    <x v="1"/>
    <s v="Peter Ofori-Atta"/>
    <n v="247040899"/>
    <x v="0"/>
    <d v="1899-12-30T15:00:00"/>
    <x v="0"/>
    <x v="289"/>
    <d v="2026-09-04T00:00:00"/>
    <n v="66"/>
    <n v="350"/>
    <n v="858"/>
    <n v="377"/>
    <n v="349"/>
    <n v="0"/>
    <n v="858"/>
    <x v="0"/>
    <n v="409"/>
    <x v="2"/>
    <s v="Jul"/>
    <x v="2"/>
    <s v="Sep"/>
  </r>
  <r>
    <s v="372"/>
    <s v="Samson Duodu"/>
    <n v="67"/>
    <x v="0"/>
    <s v="Samuel Larbi"/>
    <n v="541712845"/>
    <x v="15"/>
    <d v="1899-12-30T12:30:00"/>
    <x v="0"/>
    <x v="290"/>
    <m/>
    <s v="NO DATE"/>
    <n v="350"/>
    <m/>
    <n v="378"/>
    <m/>
    <e v="#VALUE!"/>
    <n v="0"/>
    <x v="1"/>
    <n v="409"/>
    <x v="2"/>
    <s v="Jul"/>
    <x v="3"/>
    <s v="Jan"/>
  </r>
  <r>
    <s v="373"/>
    <s v="Daniel Akafua"/>
    <n v="34"/>
    <x v="0"/>
    <s v="Godwin Akafua"/>
    <n v="538388483"/>
    <x v="1"/>
    <d v="1899-12-30T13:00:00"/>
    <x v="1"/>
    <x v="290"/>
    <d v="2026-07-07T00:00:00"/>
    <n v="6"/>
    <n v="350"/>
    <n v="120"/>
    <n v="379"/>
    <n v="332"/>
    <n v="0"/>
    <n v="120"/>
    <x v="0"/>
    <n v="409"/>
    <x v="2"/>
    <s v="Jul"/>
    <x v="2"/>
    <s v="Jul"/>
  </r>
  <r>
    <s v="374"/>
    <s v="Regina Boateng"/>
    <n v="53"/>
    <x v="1"/>
    <s v="Enock Darkwah"/>
    <n v="543262468"/>
    <x v="2"/>
    <d v="1899-12-30T16:40:00"/>
    <x v="0"/>
    <x v="291"/>
    <m/>
    <s v="NO DATE"/>
    <n v="350"/>
    <m/>
    <n v="380"/>
    <m/>
    <e v="#VALUE!"/>
    <n v="0"/>
    <x v="1"/>
    <n v="409"/>
    <x v="2"/>
    <s v="Jul"/>
    <x v="3"/>
    <s v="Jan"/>
  </r>
  <r>
    <s v="375"/>
    <s v="Evans Omane"/>
    <n v="34"/>
    <x v="0"/>
    <s v="Kwaku Darko"/>
    <n v="241866637"/>
    <x v="0"/>
    <d v="1899-12-30T16:30:00"/>
    <x v="1"/>
    <x v="292"/>
    <d v="2026-08-07T00:00:00"/>
    <n v="30"/>
    <n v="350"/>
    <n v="600"/>
    <n v="381"/>
    <n v="341"/>
    <n v="0"/>
    <n v="600"/>
    <x v="0"/>
    <n v="409"/>
    <x v="2"/>
    <s v="Jul"/>
    <x v="2"/>
    <s v="Aug"/>
  </r>
  <r>
    <s v="376"/>
    <s v="Paul Owusu"/>
    <n v="62"/>
    <x v="0"/>
    <s v="Justice Ntiamoah"/>
    <n v="593919641"/>
    <x v="2"/>
    <d v="1899-12-30T15:30:00"/>
    <x v="0"/>
    <x v="293"/>
    <m/>
    <s v="NO DATE"/>
    <n v="350"/>
    <m/>
    <n v="382"/>
    <m/>
    <e v="#VALUE!"/>
    <n v="0"/>
    <x v="1"/>
    <n v="409"/>
    <x v="2"/>
    <s v="Jul"/>
    <x v="3"/>
    <s v="Jan"/>
  </r>
  <r>
    <s v="377"/>
    <s v="Daniel Quaye"/>
    <n v="65"/>
    <x v="0"/>
    <s v="Samuel Tetteh"/>
    <n v="245262585"/>
    <x v="4"/>
    <d v="1899-12-30T13:50:00"/>
    <x v="0"/>
    <x v="294"/>
    <m/>
    <s v="NO DATE"/>
    <n v="350"/>
    <m/>
    <n v="383"/>
    <m/>
    <e v="#VALUE!"/>
    <n v="0"/>
    <x v="1"/>
    <n v="409"/>
    <x v="2"/>
    <s v="Jul"/>
    <x v="3"/>
    <s v="Jan"/>
  </r>
  <r>
    <s v="378"/>
    <s v="Juliana Akoto"/>
    <n v="87"/>
    <x v="1"/>
    <s v="Ernest Antwi"/>
    <n v="241868763"/>
    <x v="0"/>
    <d v="1899-12-30T16:00:00"/>
    <x v="0"/>
    <x v="295"/>
    <m/>
    <s v="NO DATE"/>
    <n v="350"/>
    <m/>
    <n v="384"/>
    <m/>
    <e v="#VALUE!"/>
    <n v="0"/>
    <x v="1"/>
    <n v="409"/>
    <x v="2"/>
    <s v="Jul"/>
    <x v="3"/>
    <s v="Jan"/>
  </r>
  <r>
    <s v="379"/>
    <s v="John Eshun"/>
    <n v="53"/>
    <x v="0"/>
    <s v="Yaw Botwe"/>
    <n v="246575341"/>
    <x v="0"/>
    <d v="1899-12-30T23:30:00"/>
    <x v="0"/>
    <x v="296"/>
    <d v="2026-08-12T00:00:00"/>
    <n v="25"/>
    <n v="350"/>
    <n v="325"/>
    <n v="385"/>
    <n v="343"/>
    <n v="0"/>
    <n v="325"/>
    <x v="0"/>
    <n v="409"/>
    <x v="2"/>
    <s v="Jul"/>
    <x v="2"/>
    <s v="Aug"/>
  </r>
  <r>
    <s v="380"/>
    <s v="Abena Badu"/>
    <n v="90"/>
    <x v="1"/>
    <s v="Kwame Ampaabeng"/>
    <n v="248279286"/>
    <x v="3"/>
    <d v="1899-12-30T09:00:00"/>
    <x v="0"/>
    <x v="297"/>
    <m/>
    <s v="NO DATE"/>
    <n v="350"/>
    <m/>
    <n v="386"/>
    <m/>
    <e v="#VALUE!"/>
    <n v="0"/>
    <x v="1"/>
    <n v="409"/>
    <x v="2"/>
    <s v="Jul"/>
    <x v="3"/>
    <s v="Jan"/>
  </r>
  <r>
    <s v="381"/>
    <s v="Janet Oforiwaa"/>
    <n v="101"/>
    <x v="1"/>
    <s v="Christina Boahemaa"/>
    <n v="542518512"/>
    <x v="0"/>
    <d v="1899-12-30T04:00:00"/>
    <x v="0"/>
    <x v="297"/>
    <m/>
    <s v="NO DATE"/>
    <n v="350"/>
    <m/>
    <n v="387"/>
    <m/>
    <e v="#VALUE!"/>
    <n v="0"/>
    <x v="1"/>
    <n v="409"/>
    <x v="2"/>
    <s v="Jul"/>
    <x v="3"/>
    <s v="Jan"/>
  </r>
  <r>
    <s v="382"/>
    <s v="William Ebo Amoako"/>
    <n v="75"/>
    <x v="0"/>
    <s v="Oliver Tenkorang"/>
    <n v="539843182"/>
    <x v="0"/>
    <d v="1899-12-30T10:30:00"/>
    <x v="1"/>
    <x v="297"/>
    <m/>
    <s v="NO DATE"/>
    <n v="350"/>
    <m/>
    <n v="388"/>
    <m/>
    <e v="#VALUE!"/>
    <n v="0"/>
    <x v="1"/>
    <n v="409"/>
    <x v="2"/>
    <s v="Jul"/>
    <x v="3"/>
    <s v="Jan"/>
  </r>
  <r>
    <s v="383"/>
    <s v="Michael Yaw Asare"/>
    <n v="61"/>
    <x v="0"/>
    <s v="Kwaku Adu"/>
    <n v="246408159"/>
    <x v="1"/>
    <d v="1899-12-30T11:00:00"/>
    <x v="0"/>
    <x v="298"/>
    <m/>
    <s v="NO DATE"/>
    <n v="350"/>
    <m/>
    <n v="389"/>
    <m/>
    <e v="#VALUE!"/>
    <n v="0"/>
    <x v="1"/>
    <n v="409"/>
    <x v="2"/>
    <s v="Jul"/>
    <x v="3"/>
    <s v="Jan"/>
  </r>
  <r>
    <s v="384"/>
    <s v="Paul Asare"/>
    <n v="70"/>
    <x v="0"/>
    <s v="Bright Affum"/>
    <n v="543425788"/>
    <x v="0"/>
    <d v="1899-12-30T18:30:00"/>
    <x v="0"/>
    <x v="299"/>
    <m/>
    <s v="NO DATE"/>
    <n v="350"/>
    <m/>
    <n v="390"/>
    <m/>
    <e v="#VALUE!"/>
    <n v="0"/>
    <x v="1"/>
    <n v="409"/>
    <x v="2"/>
    <s v="Jul"/>
    <x v="3"/>
    <s v="Jan"/>
  </r>
  <r>
    <s v="385"/>
    <s v="Alice Ampofowaa"/>
    <n v="70"/>
    <x v="1"/>
    <s v="Kwasi Safo"/>
    <n v="548328433"/>
    <x v="0"/>
    <d v="1899-12-30T16:30:00"/>
    <x v="0"/>
    <x v="300"/>
    <m/>
    <s v="NO DATE"/>
    <n v="350"/>
    <m/>
    <n v="391"/>
    <m/>
    <e v="#VALUE!"/>
    <n v="0"/>
    <x v="1"/>
    <n v="409"/>
    <x v="2"/>
    <s v="Jul"/>
    <x v="3"/>
    <s v="Jan"/>
  </r>
  <r>
    <s v="386"/>
    <s v="Mercy  Pomaah"/>
    <n v="100"/>
    <x v="1"/>
    <s v="Mary Agyaa"/>
    <n v="547063649"/>
    <x v="3"/>
    <d v="1899-12-30T05:00:00"/>
    <x v="0"/>
    <x v="301"/>
    <m/>
    <s v="NO DATE"/>
    <n v="350"/>
    <m/>
    <n v="392"/>
    <m/>
    <e v="#VALUE!"/>
    <n v="0"/>
    <x v="1"/>
    <n v="409"/>
    <x v="2"/>
    <s v="Jul"/>
    <x v="3"/>
    <s v="Jan"/>
  </r>
  <r>
    <s v="387"/>
    <s v="Emmanuel Kofi Batsa"/>
    <n v="98"/>
    <x v="0"/>
    <s v="Solomon Batsa"/>
    <n v="540807523"/>
    <x v="26"/>
    <d v="1899-12-30T16:00:00"/>
    <x v="1"/>
    <x v="302"/>
    <m/>
    <s v="NO DATE"/>
    <n v="350"/>
    <m/>
    <n v="393"/>
    <m/>
    <e v="#VALUE!"/>
    <n v="0"/>
    <x v="1"/>
    <n v="409"/>
    <x v="2"/>
    <s v="Aug"/>
    <x v="3"/>
    <s v="Jan"/>
  </r>
  <r>
    <s v="388"/>
    <s v="Comfort Lashatey Doku"/>
    <n v="41"/>
    <x v="1"/>
    <s v="Joseph Doku"/>
    <n v="545721910"/>
    <x v="4"/>
    <d v="1899-12-30T07:00:00"/>
    <x v="1"/>
    <x v="303"/>
    <m/>
    <s v="NO DATE"/>
    <n v="350"/>
    <m/>
    <n v="394"/>
    <m/>
    <e v="#VALUE!"/>
    <n v="0"/>
    <x v="1"/>
    <n v="409"/>
    <x v="2"/>
    <s v="Aug"/>
    <x v="3"/>
    <s v="Jan"/>
  </r>
  <r>
    <s v="389"/>
    <s v="Ellen Akosua Ofosuaa"/>
    <n v="55"/>
    <x v="1"/>
    <s v="Samuel Amoako"/>
    <n v="550147165"/>
    <x v="3"/>
    <d v="1899-12-30T12:45:00"/>
    <x v="0"/>
    <x v="304"/>
    <m/>
    <s v="NO DATE"/>
    <n v="350"/>
    <m/>
    <n v="395"/>
    <m/>
    <e v="#VALUE!"/>
    <n v="0"/>
    <x v="1"/>
    <n v="409"/>
    <x v="2"/>
    <s v="Aug"/>
    <x v="3"/>
    <s v="Jan"/>
  </r>
  <r>
    <s v="390"/>
    <s v="Sam Amoako"/>
    <n v="43"/>
    <x v="0"/>
    <s v="Joyce Obenewaa"/>
    <n v="245040725"/>
    <x v="0"/>
    <d v="1899-12-30T15:00:00"/>
    <x v="0"/>
    <x v="304"/>
    <m/>
    <s v="NO DATE"/>
    <n v="350"/>
    <m/>
    <n v="396"/>
    <m/>
    <e v="#VALUE!"/>
    <n v="0"/>
    <x v="1"/>
    <n v="409"/>
    <x v="2"/>
    <s v="Aug"/>
    <x v="3"/>
    <s v="Jan"/>
  </r>
  <r>
    <s v="391"/>
    <s v="Janet Bosompemaa"/>
    <n v="71"/>
    <x v="1"/>
    <s v="Patrick Asante"/>
    <n v="246254357"/>
    <x v="2"/>
    <d v="1899-12-30T16:30:00"/>
    <x v="0"/>
    <x v="305"/>
    <m/>
    <s v="NO DATE"/>
    <n v="350"/>
    <m/>
    <n v="398"/>
    <m/>
    <e v="#VALUE!"/>
    <n v="0"/>
    <x v="1"/>
    <n v="409"/>
    <x v="2"/>
    <s v="Aug"/>
    <x v="3"/>
    <s v="Jan"/>
  </r>
  <r>
    <s v="392"/>
    <s v="Kwadwo Aryeetey"/>
    <n v="66"/>
    <x v="0"/>
    <s v="Isaac Gyamfi"/>
    <n v="246287356"/>
    <x v="1"/>
    <d v="1899-12-30T16:30:00"/>
    <x v="0"/>
    <x v="306"/>
    <m/>
    <s v="NO DATE"/>
    <n v="350"/>
    <m/>
    <n v="399"/>
    <m/>
    <e v="#VALUE!"/>
    <n v="0"/>
    <x v="1"/>
    <n v="409"/>
    <x v="2"/>
    <s v="Aug"/>
    <x v="3"/>
    <s v="Jan"/>
  </r>
  <r>
    <s v="393"/>
    <s v="Comfort Wawaa Boatemaa"/>
    <n v="61"/>
    <x v="1"/>
    <s v="Isaac Oduro"/>
    <n v="248085327"/>
    <x v="0"/>
    <d v="1899-12-30T17:30:00"/>
    <x v="0"/>
    <x v="307"/>
    <m/>
    <s v="NO DATE"/>
    <n v="350"/>
    <m/>
    <n v="400"/>
    <m/>
    <e v="#VALUE!"/>
    <n v="0"/>
    <x v="1"/>
    <n v="409"/>
    <x v="2"/>
    <s v="Aug"/>
    <x v="3"/>
    <s v="Jan"/>
  </r>
  <r>
    <s v="394"/>
    <s v="Kwabena Apenteng Amponsah"/>
    <n v="74"/>
    <x v="0"/>
    <s v="Kwaku Asiedu Asante"/>
    <n v="247018069"/>
    <x v="0"/>
    <d v="1899-12-30T09:30:00"/>
    <x v="0"/>
    <x v="308"/>
    <m/>
    <s v="NO DATE"/>
    <n v="350"/>
    <m/>
    <n v="401"/>
    <m/>
    <e v="#VALUE!"/>
    <n v="0"/>
    <x v="1"/>
    <n v="409"/>
    <x v="2"/>
    <s v="Aug"/>
    <x v="3"/>
    <s v="Jan"/>
  </r>
  <r>
    <s v="395"/>
    <s v="Margaret Akoto"/>
    <n v="49"/>
    <x v="1"/>
    <s v="Eric Botwe"/>
    <n v="248859249"/>
    <x v="0"/>
    <d v="1899-12-30T16:30:00"/>
    <x v="0"/>
    <x v="309"/>
    <m/>
    <s v="NO DATE"/>
    <n v="350"/>
    <m/>
    <n v="402"/>
    <m/>
    <e v="#VALUE!"/>
    <n v="0"/>
    <x v="1"/>
    <n v="409"/>
    <x v="2"/>
    <s v="Aug"/>
    <x v="3"/>
    <s v="Jan"/>
  </r>
  <r>
    <s v="396"/>
    <s v="Daniel Okyere"/>
    <n v="62"/>
    <x v="0"/>
    <s v="Patrick Akomaning"/>
    <n v="594120618"/>
    <x v="3"/>
    <d v="1899-12-30T00:00:00"/>
    <x v="0"/>
    <x v="310"/>
    <m/>
    <s v="NO DATE"/>
    <n v="350"/>
    <m/>
    <n v="403"/>
    <m/>
    <e v="#VALUE!"/>
    <n v="0"/>
    <x v="1"/>
    <n v="409"/>
    <x v="2"/>
    <s v="Aug"/>
    <x v="3"/>
    <s v="Jan"/>
  </r>
  <r>
    <s v="397"/>
    <s v="Rebecca Narkie"/>
    <n v="105"/>
    <x v="1"/>
    <s v="Benjamin Tetteh"/>
    <n v="538370778"/>
    <x v="7"/>
    <d v="1899-12-30T10:47:00"/>
    <x v="0"/>
    <x v="309"/>
    <m/>
    <s v="NO DATE"/>
    <n v="350"/>
    <m/>
    <n v="404"/>
    <m/>
    <e v="#VALUE!"/>
    <n v="0"/>
    <x v="1"/>
    <n v="409"/>
    <x v="2"/>
    <s v="Aug"/>
    <x v="3"/>
    <s v="Jan"/>
  </r>
  <r>
    <s v="398"/>
    <s v="Diana Asare"/>
    <n v="68"/>
    <x v="1"/>
    <s v="Bruce Opoku"/>
    <n v="550888595"/>
    <x v="0"/>
    <d v="1899-12-30T09:45:00"/>
    <x v="0"/>
    <x v="311"/>
    <d v="2026-12-04T00:00:00"/>
    <n v="99"/>
    <n v="350"/>
    <m/>
    <n v="405"/>
    <m/>
    <n v="-1287"/>
    <n v="1287"/>
    <x v="1"/>
    <n v="409"/>
    <x v="2"/>
    <s v="Aug"/>
    <x v="2"/>
    <s v="Dec"/>
  </r>
  <r>
    <s v="399"/>
    <s v="Mercy Opoku Appiah"/>
    <n v="66"/>
    <x v="1"/>
    <s v="Daniel Opoku"/>
    <n v="543050921"/>
    <x v="0"/>
    <d v="1899-12-30T01:00:00"/>
    <x v="0"/>
    <x v="312"/>
    <m/>
    <s v="NO DATE"/>
    <n v="350"/>
    <m/>
    <n v="406"/>
    <m/>
    <e v="#VALUE!"/>
    <n v="0"/>
    <x v="1"/>
    <n v="409"/>
    <x v="2"/>
    <s v="Sep"/>
    <x v="3"/>
    <s v="Jan"/>
  </r>
  <r>
    <s v="400"/>
    <s v="Kwabena Atuah"/>
    <n v="73"/>
    <x v="0"/>
    <s v="Kwaku Seth"/>
    <n v="555395989"/>
    <x v="3"/>
    <d v="1899-12-30T09:20:00"/>
    <x v="0"/>
    <x v="313"/>
    <d v="2027-01-29T00:00:00"/>
    <n v="150"/>
    <n v="350"/>
    <m/>
    <n v="407"/>
    <m/>
    <n v="-1950"/>
    <n v="1950"/>
    <x v="1"/>
    <n v="409"/>
    <x v="2"/>
    <s v="Sep"/>
    <x v="4"/>
    <s v="Jan"/>
  </r>
  <r>
    <s v="401"/>
    <s v="Kwame Antwi"/>
    <n v="58"/>
    <x v="0"/>
    <s v="Yaw Twum"/>
    <s v="0257701596/0241941708"/>
    <x v="3"/>
    <d v="1899-12-30T08:20:00"/>
    <x v="0"/>
    <x v="314"/>
    <m/>
    <s v="NO DATE"/>
    <n v="350"/>
    <m/>
    <n v="408"/>
    <m/>
    <e v="#VALUE!"/>
    <n v="0"/>
    <x v="1"/>
    <n v="409"/>
    <x v="2"/>
    <s v="Sep"/>
    <x v="3"/>
    <s v="Jan"/>
  </r>
  <r>
    <s v="402"/>
    <s v="Desmond Obeng"/>
    <n v="77"/>
    <x v="0"/>
    <s v="Felix Obeng Asante"/>
    <n v="543347502"/>
    <x v="0"/>
    <d v="1899-12-30T14:40:00"/>
    <x v="0"/>
    <x v="315"/>
    <m/>
    <s v="NO DATE"/>
    <n v="350"/>
    <m/>
    <n v="410"/>
    <m/>
    <e v="#VALUE!"/>
    <n v="0"/>
    <x v="1"/>
    <n v="409"/>
    <x v="2"/>
    <s v="Sep"/>
    <x v="3"/>
    <s v="Jan"/>
  </r>
  <r>
    <s v="403"/>
    <s v="Gladys Koshie"/>
    <n v="68"/>
    <x v="1"/>
    <s v="Mavis Asimeng"/>
    <n v="246668960"/>
    <x v="0"/>
    <d v="1899-12-30T14:30:00"/>
    <x v="0"/>
    <x v="315"/>
    <m/>
    <s v="NO DATE"/>
    <n v="350"/>
    <m/>
    <n v="409"/>
    <m/>
    <e v="#VALUE!"/>
    <n v="0"/>
    <x v="1"/>
    <n v="409"/>
    <x v="2"/>
    <s v="Sep"/>
    <x v="3"/>
    <s v="Jan"/>
  </r>
  <r>
    <s v="404"/>
    <s v="Augustine Kwabena Asomaning"/>
    <n v="73"/>
    <x v="0"/>
    <s v="Kwadwo Asamoah"/>
    <n v="244062835"/>
    <x v="2"/>
    <d v="1899-12-30T09:42:00"/>
    <x v="1"/>
    <x v="316"/>
    <m/>
    <s v="NO DATE"/>
    <n v="350"/>
    <m/>
    <n v="411"/>
    <m/>
    <e v="#VALUE!"/>
    <n v="0"/>
    <x v="1"/>
    <n v="409"/>
    <x v="2"/>
    <s v="Sep"/>
    <x v="3"/>
    <s v="Jan"/>
  </r>
  <r>
    <s v="405"/>
    <s v="Prince Annor"/>
    <n v="41"/>
    <x v="0"/>
    <s v="Twum Ampofo"/>
    <n v="249174910"/>
    <x v="0"/>
    <d v="1899-12-30T17:30:00"/>
    <x v="0"/>
    <x v="316"/>
    <m/>
    <s v="NO DATE"/>
    <n v="350"/>
    <m/>
    <n v="412"/>
    <m/>
    <e v="#VALUE!"/>
    <n v="0"/>
    <x v="1"/>
    <n v="409"/>
    <x v="2"/>
    <s v="Sep"/>
    <x v="3"/>
    <s v="Jan"/>
  </r>
  <r>
    <s v="406"/>
    <s v="Paulina Maku"/>
    <n v="72"/>
    <x v="1"/>
    <s v="Gabriel Kabutey"/>
    <n v="248256394"/>
    <x v="19"/>
    <d v="1899-12-30T23:30:00"/>
    <x v="0"/>
    <x v="316"/>
    <m/>
    <s v="NO DATE"/>
    <n v="350"/>
    <m/>
    <n v="413"/>
    <m/>
    <e v="#VALUE!"/>
    <n v="0"/>
    <x v="1"/>
    <n v="409"/>
    <x v="2"/>
    <s v="Sep"/>
    <x v="3"/>
    <s v="Jan"/>
  </r>
  <r>
    <s v="407"/>
    <s v="Kwadwo Novor"/>
    <n v="60"/>
    <x v="0"/>
    <s v="Michael Kpodo"/>
    <n v="541477751"/>
    <x v="0"/>
    <d v="1899-12-30T21:30:00"/>
    <x v="0"/>
    <x v="317"/>
    <m/>
    <s v="NO DATE"/>
    <n v="350"/>
    <m/>
    <n v="414"/>
    <m/>
    <e v="#VALUE!"/>
    <n v="0"/>
    <x v="1"/>
    <n v="409"/>
    <x v="2"/>
    <s v="Sep"/>
    <x v="3"/>
    <s v="Jan"/>
  </r>
  <r>
    <s v="408"/>
    <s v="Margaret Osei"/>
    <n v="70"/>
    <x v="1"/>
    <s v="Yaw Danso"/>
    <n v="591958944"/>
    <x v="0"/>
    <d v="1899-12-30T05:45:00"/>
    <x v="0"/>
    <x v="318"/>
    <m/>
    <s v="NO DATE"/>
    <n v="350"/>
    <m/>
    <n v="415"/>
    <m/>
    <e v="#VALUE!"/>
    <n v="0"/>
    <x v="1"/>
    <n v="409"/>
    <x v="2"/>
    <s v="Sep"/>
    <x v="3"/>
    <s v="Jan"/>
  </r>
  <r>
    <s v="409"/>
    <s v="Madam Akua Akyiaa"/>
    <n v="92"/>
    <x v="1"/>
    <s v="Kwasi Appiah"/>
    <n v="555852813"/>
    <x v="27"/>
    <d v="1899-12-30T05:30:00"/>
    <x v="1"/>
    <x v="319"/>
    <m/>
    <s v="NO DATE"/>
    <n v="350"/>
    <m/>
    <n v="416"/>
    <m/>
    <e v="#VALUE!"/>
    <n v="0"/>
    <x v="1"/>
    <n v="409"/>
    <x v="2"/>
    <s v="Sep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4" showAll="0">
      <items count="3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t="default"/>
      </items>
    </pivotField>
    <pivotField showAll="0"/>
    <pivotField showAll="0"/>
    <pivotField dataField="1" numFmtId="17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6">
        <item sd="0" x="1"/>
        <item sd="0" x="2"/>
        <item sd="0" x="3"/>
        <item x="0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5"/>
  </dataFields>
  <formats count="1">
    <format dxfId="466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4" showAll="0">
      <items count="3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t="default"/>
      </items>
    </pivotField>
    <pivotField showAll="0"/>
    <pivotField showAll="0"/>
    <pivotField numFmtId="171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6">
        <item sd="0" x="1"/>
        <item sd="0" x="2"/>
        <item sd="0" x="3"/>
        <item x="0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6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2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2">
        <item x="2"/>
        <item x="20"/>
        <item x="17"/>
        <item x="7"/>
        <item x="15"/>
        <item x="9"/>
        <item m="1" x="29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30"/>
        <item m="1" x="28"/>
        <item x="26"/>
        <item x="2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4" showAll="0">
      <items count="3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t="default"/>
      </items>
    </pivotField>
    <pivotField showAll="0"/>
    <pivotField showAll="0"/>
    <pivotField numFmtId="17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6">
        <item sd="0" x="1"/>
        <item sd="0" x="2"/>
        <item sd="0" x="3"/>
        <item x="0"/>
        <item x="4"/>
        <item t="default"/>
      </items>
    </pivotField>
  </pivotFields>
  <rowFields count="1">
    <field x="6"/>
  </rowFields>
  <rowItems count="29">
    <i>
      <x v="16"/>
    </i>
    <i>
      <x v="14"/>
    </i>
    <i>
      <x/>
    </i>
    <i>
      <x v="15"/>
    </i>
    <i>
      <x v="26"/>
    </i>
    <i>
      <x v="4"/>
    </i>
    <i>
      <x v="23"/>
    </i>
    <i>
      <x v="3"/>
    </i>
    <i>
      <x v="22"/>
    </i>
    <i>
      <x v="24"/>
    </i>
    <i>
      <x v="20"/>
    </i>
    <i>
      <x v="7"/>
    </i>
    <i>
      <x v="17"/>
    </i>
    <i>
      <x v="11"/>
    </i>
    <i>
      <x v="19"/>
    </i>
    <i>
      <x v="5"/>
    </i>
    <i>
      <x v="9"/>
    </i>
    <i>
      <x v="10"/>
    </i>
    <i>
      <x v="18"/>
    </i>
    <i>
      <x v="13"/>
    </i>
    <i>
      <x v="30"/>
    </i>
    <i>
      <x v="8"/>
    </i>
    <i>
      <x v="25"/>
    </i>
    <i>
      <x v="21"/>
    </i>
    <i>
      <x v="29"/>
    </i>
    <i>
      <x v="2"/>
    </i>
    <i>
      <x v="12"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64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4" showAll="0">
      <items count="3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t="default"/>
      </items>
    </pivotField>
    <pivotField showAll="0"/>
    <pivotField showAll="0"/>
    <pivotField numFmtId="17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6">
        <item sd="0" x="1"/>
        <item sd="0" x="2"/>
        <item sd="0" x="3"/>
        <item x="0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6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4" showAll="0">
      <items count="3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t="default"/>
      </items>
    </pivotField>
    <pivotField showAll="0"/>
    <pivotField showAll="0"/>
    <pivotField numFmtId="17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6">
        <item sd="0" x="1"/>
        <item sd="0" x="2"/>
        <item sd="0" x="3"/>
        <item x="0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6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4" showAll="0">
      <items count="3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t="default"/>
      </items>
    </pivotField>
    <pivotField showAll="0"/>
    <pivotField showAll="0"/>
    <pivotField numFmtId="17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6">
        <item sd="0" x="1"/>
        <item sd="0" x="2"/>
        <item sd="0" x="3"/>
        <item x="0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5"/>
  </dataFields>
  <formats count="1">
    <format dxfId="461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6EEC25-3E68-4E60-BAE5-764BB08010A1}" name="Table14" displayName="Table14" ref="A1:B5" totalsRowShown="0" headerRowDxfId="460" dataDxfId="459">
  <autoFilter ref="A1:B5" xr:uid="{576EEC25-3E68-4E60-BAE5-764BB08010A1}"/>
  <tableColumns count="2">
    <tableColumn id="1" xr3:uid="{852AAFF9-C1B2-4C4B-9693-EC7CBB41231D}" name="TAG" dataDxfId="458"/>
    <tableColumn id="2" xr3:uid="{8A03383D-3857-44C5-9F78-81A191EA8E34}" name="COMPLAINT" dataDxfId="45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421" totalsRowCount="1" headerRowDxfId="428" dataDxfId="427">
  <autoFilter ref="A1:X420" xr:uid="{8B7C43AE-28B5-43CF-B1AF-A70C1C3A5F0A}">
    <filterColumn colId="18">
      <filters>
        <filter val="IN CUSTODY"/>
      </filters>
    </filterColumn>
  </autoFilter>
  <sortState xmlns:xlrd2="http://schemas.microsoft.com/office/spreadsheetml/2017/richdata2" ref="A2:X417">
    <sortCondition ref="K1:K417"/>
  </sortState>
  <tableColumns count="24">
    <tableColumn id="1" xr3:uid="{8F6C22DB-13ED-4AAD-8D3A-D2A5D4BC86AA}" name="TAG NO." totalsRowLabel="Total" dataDxfId="425" totalsRowDxfId="426"/>
    <tableColumn id="2" xr3:uid="{64EF985E-055B-491E-B3BB-04A415D18E9B}" name="NAME OF DECEASED" totalsRowLabel="-" dataDxfId="423" totalsRowDxfId="424"/>
    <tableColumn id="15" xr3:uid="{25AAC228-CA10-43EF-8F36-E0E064E4FE83}" name="AGE" dataDxfId="421" totalsRowDxfId="422"/>
    <tableColumn id="17" xr3:uid="{DD7F7CE0-6882-49CC-9DD2-752E370A3F05}" name="GENDER" dataDxfId="419" totalsRowDxfId="420"/>
    <tableColumn id="3" xr3:uid="{49E69448-233D-41B8-BA89-C15332437D51}" name="NAME OF RELATIVE" dataDxfId="417" totalsRowDxfId="418"/>
    <tableColumn id="12" xr3:uid="{7CE173FB-91F8-4B2B-AB57-D6A2A9DF4842}" name="RELATIVE'S CONTACT" dataDxfId="415" totalsRowDxfId="416"/>
    <tableColumn id="6" xr3:uid="{684133B3-2DD4-46F5-9C8B-F1D22E385907}" name="PLACE " dataDxfId="413" totalsRowDxfId="414"/>
    <tableColumn id="7" xr3:uid="{2DF5BF82-3EC1-40D9-9AF0-308839D81C28}" name="ADMISSION TIME" dataDxfId="411" totalsRowDxfId="412"/>
    <tableColumn id="14" xr3:uid="{2064977C-279D-4393-8017-DEC8E6053BE5}" name="TYPE" dataDxfId="409" totalsRowDxfId="410"/>
    <tableColumn id="4" xr3:uid="{EDB94A92-4F68-4C23-86BA-1B9482A58177}" name="ADMISSION DATE" dataDxfId="407" totalsRowDxfId="408"/>
    <tableColumn id="13" xr3:uid="{8AFDECBF-BF3B-4A87-9256-CDD5ECD4E308}" name="DISCHARGE DATE" dataDxfId="405" totalsRowDxfId="406"/>
    <tableColumn id="16" xr3:uid="{C391FFAA-B5A6-483A-A012-5A904AA4862E}" name="STORAGE DAYS" dataDxfId="403" totalsRowDxfId="404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401" totalsRowDxfId="402"/>
    <tableColumn id="9" xr3:uid="{9630FB71-DCB2-438D-8D9F-E97B0A0E300F}" name="COLDROOM FEE" totalsRowFunction="sum" dataDxfId="399" totalsRowDxfId="400"/>
    <tableColumn id="10" xr3:uid="{C6D6F35B-B28E-4A61-BFC4-BA79DD03868F}" name="EMBALMING RECEIPT" dataDxfId="397" totalsRowDxfId="398"/>
    <tableColumn id="11" xr3:uid="{CD06509B-A484-44CF-A226-030DEF3419BD}" name="COLDROOM RECEIPT" dataDxfId="395" totalsRowDxfId="396"/>
    <tableColumn id="18" xr3:uid="{E05CA653-516D-418E-B930-F2C504295359}" name="DIFFERENCE" dataDxfId="393" totalsRowDxfId="394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391" totalsRowDxfId="392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389" totalsRowDxfId="390">
      <calculatedColumnFormula>IF(ISBLANK(DATA[[#This Row],[COLDROOM RECEIPT]]), "IN CUSTODY", "DISCHARGED")</calculatedColumnFormula>
    </tableColumn>
    <tableColumn id="19" xr3:uid="{AEE2446E-CA4B-4F9A-B968-65F46D7FA85D}" name="CASES" dataDxfId="387" totalsRowDxfId="388">
      <calculatedColumnFormula>COUNTA(A:A)-2</calculatedColumnFormula>
    </tableColumn>
    <tableColumn id="20" xr3:uid="{D96E4D84-6BE3-45BC-819C-9F6F21810840}" name="YEARS" dataDxfId="385" totalsRowDxfId="386">
      <calculatedColumnFormula>YEAR(DATA[[#This Row],[ADMISSION DATE]])</calculatedColumnFormula>
    </tableColumn>
    <tableColumn id="21" xr3:uid="{39D71B5E-7126-4460-B4EB-608DE8A1C288}" name="MONTHS" dataDxfId="383" totalsRowDxfId="384">
      <calculatedColumnFormula>TEXT(DATA[[#This Row],[ADMISSION DATE]],"mmm")</calculatedColumnFormula>
    </tableColumn>
    <tableColumn id="22" xr3:uid="{0BF33931-FE98-49BC-9EF0-A287B26F0E1A}" name="YEARS2" dataDxfId="381" totalsRowDxfId="382">
      <calculatedColumnFormula>YEAR(DATA[[#This Row],[DISCHARGE DATE]])</calculatedColumnFormula>
    </tableColumn>
    <tableColumn id="23" xr3:uid="{5AD94D6E-DC93-4176-BA6B-83F424BC3BB5}" name="MONTHS2" dataDxfId="379" totalsRowDxfId="380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378">
  <autoFilter ref="A1:C14" xr:uid="{BCC0BBDB-C41A-4962-9049-BED618DAABB1}"/>
  <tableColumns count="3">
    <tableColumn id="1" xr3:uid="{85C5BD88-0A85-4E53-A26F-114A33754E49}" name="TAG NUMBER" totalsRowLabel="Total" dataDxfId="376" totalsRowDxfId="377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375">
  <autoFilter ref="E1:G15" xr:uid="{E290F8E4-537A-4998-9790-1D6945BFCDDE}"/>
  <tableColumns count="3">
    <tableColumn id="1" xr3:uid="{46985C65-5311-4755-8A27-9CCF8E764E89}" name="TAG NUMBER" totalsRowLabel="Total" dataDxfId="373" totalsRowDxfId="374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372">
  <autoFilter ref="I1:K16" xr:uid="{F24F9438-1170-435B-8F18-67AAD38D9246}"/>
  <tableColumns count="3">
    <tableColumn id="1" xr3:uid="{DEA65361-86F3-4F8A-A72B-08A7533C0C08}" name="TAG NUMBER" totalsRowLabel="Total" dataDxfId="370" totalsRowDxfId="371"/>
    <tableColumn id="2" xr3:uid="{C6EFDFE2-2F79-494F-8CE4-87DD09C06FEF}" name="DATE" dataDxfId="369"/>
    <tableColumn id="3" xr3:uid="{ADB78A09-49F1-4DC3-9E48-DDD7385E1228}" name="NUMBER" totalsRowFunction="sum" dataDxfId="368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367">
  <autoFilter ref="M1:O14" xr:uid="{3EEDC096-302D-4901-B20B-D40873387824}"/>
  <tableColumns count="3">
    <tableColumn id="1" xr3:uid="{1BE76FF3-B7D7-443C-B879-FDB3C1829937}" name="TAG NUMBER" totalsRowLabel="Total" dataDxfId="365" totalsRowDxfId="366"/>
    <tableColumn id="2" xr3:uid="{3DFB0084-9906-40A6-907B-B22DB501087E}" name="DATE" dataDxfId="364"/>
    <tableColumn id="3" xr3:uid="{FFF1A46C-5E39-4F9B-B8E7-1D706DFBD0BE}" name="NUMBER" totalsRowFunction="sum" dataDxfId="363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362">
  <autoFilter ref="Q1:S14" xr:uid="{24D83A21-1022-4EF1-B23D-23A57D13834C}"/>
  <tableColumns count="3">
    <tableColumn id="1" xr3:uid="{5B240DAD-15DC-445F-918E-65F993EF750B}" name="TAG NUMBER" totalsRowLabel="Total" dataDxfId="360" totalsRowDxfId="361"/>
    <tableColumn id="2" xr3:uid="{85527DE1-EB90-4ACD-B947-4630AE74AFDC}" name="DATE" dataDxfId="359"/>
    <tableColumn id="3" xr3:uid="{69597CF2-9EE0-4275-A5F0-9F0CBFCDDB38}" name="NUMBER" totalsRowFunction="sum" dataDxfId="358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357">
  <autoFilter ref="U1:W15" xr:uid="{1B406F84-17C1-4A37-B30F-7750799E9C9E}"/>
  <tableColumns count="3">
    <tableColumn id="1" xr3:uid="{6BC8E698-B47C-470C-8704-DCD349C64E21}" name="TAG NUMBER" totalsRowLabel="Total" dataDxfId="355" totalsRowDxfId="356"/>
    <tableColumn id="2" xr3:uid="{CC34011E-FFA2-4661-9C5D-2F96DC45DB04}" name="DATE"/>
    <tableColumn id="3" xr3:uid="{5DF9067F-ADA9-4C16-BF38-387E282A1D20}" name="NUMBER" totalsRowFunction="sum" dataDxfId="354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353">
  <autoFilter ref="Y1:AA16" xr:uid="{C5EA61D8-764A-416C-AA0D-E3311B8CA5D7}"/>
  <tableColumns count="3">
    <tableColumn id="1" xr3:uid="{F6CF7CBE-38C5-4C0D-AA45-DD0C0F6FE966}" name="TAG NUMBER" totalsRowLabel="Total" dataDxfId="351" totalsRowDxfId="352"/>
    <tableColumn id="2" xr3:uid="{AE138D07-E71F-4F67-ADBB-B307DB911B09}" name="DATE"/>
    <tableColumn id="3" xr3:uid="{38E9BBBD-0E10-4E22-9082-64C14A6CA38D}" name="NUMBER" totalsRowFunction="sum" dataDxfId="350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11" totalsRowCount="1" tableBorderDxfId="349">
  <autoFilter ref="AC1:AE10" xr:uid="{82C940A5-F70C-4065-91EB-939EB00A7B10}"/>
  <tableColumns count="3">
    <tableColumn id="1" xr3:uid="{6ABA096B-86E3-4967-94DA-612FEC19A551}" name="TAG NUMBER" totalsRowLabel="Total" dataDxfId="347" totalsRowDxfId="348"/>
    <tableColumn id="2" xr3:uid="{BEDA33C3-F351-411C-825A-440DA098BB78}" name="DATE" dataDxfId="346"/>
    <tableColumn id="3" xr3:uid="{8543F6B8-3B88-487F-8857-E1A5B55BB4C8}" name="NUMBER" totalsRowFunction="sum" dataDxfId="345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8" totalsRowCount="1">
  <autoFilter ref="A4:E7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343" totalsRowDxfId="344"/>
    <tableColumn id="3" xr3:uid="{3ADFB05E-D5D8-49B7-8066-CF96363185A0}" name="AMOUNT" totalsRowFunction="sum" dataDxfId="341" totalsRowDxfId="342">
      <calculatedColumnFormula>$B$2*Table12[[#This Row],[PERCENTAGE]]</calculatedColumnFormula>
    </tableColumn>
    <tableColumn id="4" xr3:uid="{51131C25-987C-4A99-9D87-EA9F2FD733AB}" name="TAKEN" totalsRowFunction="sum" dataDxfId="339" totalsRowDxfId="340"/>
    <tableColumn id="5" xr3:uid="{E37E05FF-82E8-4AF4-8D65-DFDC59578F14}" name="REMAINING" totalsRowFunction="sum" dataDxfId="337" totalsRowDxfId="338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9">
  <autoFilter ref="A1:I49" xr:uid="{F831516A-792F-4BFF-B1ED-79FE30450AEB}"/>
  <tableColumns count="9">
    <tableColumn id="1" xr3:uid="{D3BC5333-52CD-4DCC-95DF-8861D2A29E1B}" name="TAG" totalsRowLabel="Total" dataDxfId="335" totalsRowDxfId="336"/>
    <tableColumn id="12" xr3:uid="{1B6404E0-E21C-4A68-9785-855C1F4BFE98}" name="NAME" dataDxfId="333" totalsRowDxfId="334"/>
    <tableColumn id="2" xr3:uid="{9CA3031B-0F6C-4969-B763-DD91058A9731}" name="DATE" dataDxfId="331" totalsRowDxfId="332"/>
    <tableColumn id="3" xr3:uid="{D83D945C-4970-4357-8F6C-28D1C459CA26}" name="TIME IN" dataDxfId="329" totalsRowDxfId="330"/>
    <tableColumn id="9" xr3:uid="{1724431C-5708-45E1-ADBA-5E138995627B}" name="TIME OUT" dataDxfId="327" totalsRowDxfId="328"/>
    <tableColumn id="4" xr3:uid="{4924AC42-475A-442B-AC79-1F96C97CE817}" name="AMBULANCE NO." dataDxfId="325" totalsRowDxfId="326"/>
    <tableColumn id="7" xr3:uid="{6AF2E189-5CB1-4FD4-AA14-CD2F90F3197F}" name="DRIVER'S NAME" dataDxfId="324"/>
    <tableColumn id="8" xr3:uid="{E2E0A1A7-070B-4D6C-B950-11FE2F817760}" name="DRIVER'S PHONE" dataDxfId="322" totalsRowDxfId="323"/>
    <tableColumn id="11" xr3:uid="{F3FC97C1-2F79-45C5-BF33-A2E46F1F28A9}" name="LOCATION" dataDxfId="321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143" totalsRowCount="1">
  <autoFilter ref="A1:F142" xr:uid="{57EC9ED5-C7A9-4705-9742-CE5E7359E920}">
    <filterColumn colId="0">
      <filters>
        <filter val="317"/>
      </filters>
    </filterColumn>
  </autoFilter>
  <tableColumns count="6">
    <tableColumn id="1" xr3:uid="{3D7EAF4B-6D39-4195-9AAA-0C223A88DE13}" name="TAG" totalsRowLabel="Total" dataDxfId="319" totalsRowDxfId="320"/>
    <tableColumn id="2" xr3:uid="{A34AAEDA-8A64-421B-B417-AE29B3124B1A}" name="VISITORS" dataDxfId="317" totalsRowDxfId="318"/>
    <tableColumn id="6" xr3:uid="{01571D13-F9BC-459F-B722-3920B9ADDB98}" name="PHONE" dataDxfId="315" totalsRowDxfId="316"/>
    <tableColumn id="5" xr3:uid="{CE96ED82-A1D9-4EDF-AA8A-ED9C656C5D14}" name="DATE" dataDxfId="313" totalsRowDxfId="314"/>
    <tableColumn id="3" xr3:uid="{B39E27AE-2ED9-4BD8-803C-D8B8857988CA}" name="TIME" dataDxfId="311" totalsRowDxfId="312"/>
    <tableColumn id="4" xr3:uid="{23F5AF91-4D64-453C-9C3D-1019EF3D81FC}" name="AMOUNT" totalsRowFunction="sum" dataDxfId="309" totalsRowDxfId="310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E1:H12" totalsRowCount="1">
  <autoFilter ref="E1:H11" xr:uid="{9929128A-0A3B-4812-A1BB-9C8EE3533366}"/>
  <tableColumns count="4">
    <tableColumn id="1" xr3:uid="{83D4269A-565A-4A6E-88B2-E47071510794}" name="DATE" totalsRowLabel="Total"/>
    <tableColumn id="2" xr3:uid="{31B7563B-2561-44A7-A74D-B4C44B765027}" name="RECEIVER" dataDxfId="307" totalsRowDxfId="308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F40AA04-5323-476B-9D6B-A27920407117}" name="Table6" displayName="Table6" ref="K2:L5" totalsRowShown="0">
  <autoFilter ref="K2:L5" xr:uid="{9F40AA04-5323-476B-9D6B-A27920407117}"/>
  <tableColumns count="2">
    <tableColumn id="1" xr3:uid="{6E9ACFCC-F9DD-4084-A2BD-1D693ED7FA99}" name="SOAP"/>
    <tableColumn id="2" xr3:uid="{2B16C689-5B8E-4062-AC50-1FD335575AF4}" name="DETTOL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306"/>
    <tableColumn id="4" xr3:uid="{00000000-0010-0000-0000-000004000000}" name="AGE" dataDxfId="305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AC810E-9989-4A3C-A336-8E8C69E2F501}" name="Table29" displayName="Table29" ref="H10:M16" totalsRowCount="1" dataDxfId="304" tableBorderDxfId="303">
  <autoFilter ref="H10:M15" xr:uid="{4DAC810E-9989-4A3C-A336-8E8C69E2F501}"/>
  <tableColumns count="6">
    <tableColumn id="1" xr3:uid="{3028FC53-AF90-49AB-8B86-ED3F45C2CD1F}" name="DATE" totalsRowLabel="Total" dataDxfId="301" totalsRowDxfId="302"/>
    <tableColumn id="2" xr3:uid="{612D3BB6-A7D2-4E7F-978D-1153C0EE58DD}" name="DESCRIPTION" dataDxfId="299" totalsRowDxfId="300"/>
    <tableColumn id="3" xr3:uid="{5B215F3F-DB1A-4E5B-967A-F56D330141AA}" name="QUANTITY" dataDxfId="297" totalsRowDxfId="298"/>
    <tableColumn id="4" xr3:uid="{5A68BB93-9B21-48AF-9E6A-D4132BEDA627}" name="AMOUNT" totalsRowFunction="sum" dataDxfId="295" totalsRowDxfId="296"/>
    <tableColumn id="6" xr3:uid="{8E487ADB-7774-42CF-ACA2-3138E43E470A}" name="PAID" totalsRowFunction="sum" dataDxfId="293" totalsRowDxfId="294"/>
    <tableColumn id="7" xr3:uid="{8DFBE3D2-10DA-48B8-8DFA-77C72D8B0B63}" name="remaining" totalsRowFunction="sum" dataDxfId="291" totalsRowDxfId="292">
      <calculatedColumnFormula>Table29[[#This Row],[AMOUNT]]-Table29[[#This Row],[PAID]]</calculatedColumnFormula>
    </tableColumn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E28FAF-8A11-4FFD-8250-827FF524EAC5}" name="Table4" displayName="Table4" ref="B26:F44" totalsRowCount="1" headerRowDxfId="290" tableBorderDxfId="289">
  <autoFilter ref="B26:F43" xr:uid="{EFE28FAF-8A11-4FFD-8250-827FF524EAC5}"/>
  <tableColumns count="5">
    <tableColumn id="1" xr3:uid="{50204285-0A30-4478-97CF-07059CAB30C8}" name="DATE" totalsRowLabel="Total" dataDxfId="287" totalsRowDxfId="288"/>
    <tableColumn id="2" xr3:uid="{5BA03346-F10C-4F5A-852D-B140BDAD31E9}" name="DETAILS" dataDxfId="285" totalsRowDxfId="286"/>
    <tableColumn id="3" xr3:uid="{2876AB7C-83F5-48D4-AF40-53586F9EE1A7}" name="QUANTITY" dataDxfId="283" totalsRowDxfId="284"/>
    <tableColumn id="4" xr3:uid="{ED0844FB-5010-45D6-8D37-5FFF778CDEA9}" name="UNIT PRICE" dataDxfId="281" totalsRowDxfId="282"/>
    <tableColumn id="5" xr3:uid="{17E48393-50BB-4A1E-8F3C-65A1E9477930}" name="AMOUNT" totalsRowFunction="custom" dataDxfId="279" totalsRowDxfId="280">
      <calculatedColumnFormula>Table4[[#This Row],[QUANTITY]]*Table4[[#This Row],[UNIT PRICE]]</calculatedColumnFormula>
      <totalsRowFormula>SUBTOTAL(109,Table4[AMOUNT])+1169</totalsRow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6D12-D8EF-43AA-AE40-3D297CF50A4D}" name="Table11" displayName="Table11" ref="H29:L42" totalsRowCount="1" headerRowDxfId="278" tableBorderDxfId="277">
  <autoFilter ref="H29:L41" xr:uid="{43E26D12-D8EF-43AA-AE40-3D297CF50A4D}"/>
  <tableColumns count="5">
    <tableColumn id="1" xr3:uid="{092926A8-8241-4870-ABC6-B36AD50D5A97}" name="DATE" totalsRowLabel="Total" dataDxfId="275" totalsRowDxfId="276"/>
    <tableColumn id="2" xr3:uid="{AD8E6360-BB16-4D00-9E95-48EBA8D543BF}" name="DETAILS" dataDxfId="273" totalsRowDxfId="274"/>
    <tableColumn id="3" xr3:uid="{265E2FF1-C815-486F-84D8-B902767E226A}" name="QUANTITY" dataDxfId="271" totalsRowDxfId="272"/>
    <tableColumn id="4" xr3:uid="{28570E98-D256-47ED-A278-92A5CB55FB93}" name="UNIT PRICE" dataDxfId="269" totalsRowDxfId="270"/>
    <tableColumn id="5" xr3:uid="{D2CA47F6-C124-443C-845F-28969C277263}" name="AMOUNT" totalsRowFunction="sum" dataDxfId="267" totalsRowDxfId="268">
      <calculatedColumnFormula>Table11[[#This Row],[QUANTITY]]*Table11[[#This Row],[UNIT PRICE]]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B2:F22" totalsRowCount="1" headerRowDxfId="266" tableBorderDxfId="265">
  <autoFilter ref="B2:F21" xr:uid="{D652EE3B-CA25-49BD-BA68-EC1879DF8A65}"/>
  <tableColumns count="5">
    <tableColumn id="1" xr3:uid="{30AA3513-BA7B-4E77-941D-2E05D9C6D8EB}" name="DATE" totalsRowLabel="Total" dataDxfId="263" totalsRowDxfId="264"/>
    <tableColumn id="2" xr3:uid="{76382F58-48B6-4178-A9B3-FFF955AB73F1}" name="DETAILS" dataDxfId="261" totalsRowDxfId="262"/>
    <tableColumn id="3" xr3:uid="{FF1A0614-42CA-4394-B070-4B7903D715B5}" name="QUANTITY" dataDxfId="259" totalsRowDxfId="260"/>
    <tableColumn id="4" xr3:uid="{1CC18760-C865-49BF-8124-15B87D162E58}" name="UNIT PRICE" dataDxfId="257" totalsRowDxfId="258"/>
    <tableColumn id="5" xr3:uid="{54276EF3-11AD-4327-AC95-EAEDEC1DE68B}" name="AMOUNT" totalsRowFunction="sum" dataDxfId="255" totalsRowDxfId="256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H2:L7" totalsRowCount="1" headerRowDxfId="254" tableBorderDxfId="253">
  <autoFilter ref="H2:L6" xr:uid="{35ED775F-45C7-4205-9399-C7E83206386A}"/>
  <tableColumns count="5">
    <tableColumn id="1" xr3:uid="{8D81D613-884C-42C2-BAE3-04CC6737A7CA}" name="DATE" totalsRowLabel="Total" dataDxfId="251" totalsRowDxfId="252"/>
    <tableColumn id="2" xr3:uid="{AFE1F063-F697-4B0C-AE40-80BD2C06CBD4}" name="DETAILS" dataDxfId="249" totalsRowDxfId="250"/>
    <tableColumn id="3" xr3:uid="{311731F9-0DA9-4CCE-9F36-740DABD8ABE2}" name="QUANTITY" dataDxfId="247" totalsRowDxfId="248"/>
    <tableColumn id="4" xr3:uid="{06D3FDC0-D434-4DC6-9C67-6CD4E7493498}" name="UNIT PRICE" dataDxfId="245" totalsRowDxfId="246"/>
    <tableColumn id="5" xr3:uid="{41F1318E-7EEF-4366-949D-F51325EB6B1A}" name="AMOUNT" totalsRowFunction="sum" dataDxfId="243" totalsRowDxfId="244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B7C7D45-FAB9-4127-8FC0-B8FF8AFB31DA}" name="Table28" displayName="Table28" ref="B48:F56" totalsRowCount="1" headerRowDxfId="242" tableBorderDxfId="241">
  <autoFilter ref="B48:F55" xr:uid="{DB7C7D45-FAB9-4127-8FC0-B8FF8AFB31DA}"/>
  <tableColumns count="5">
    <tableColumn id="1" xr3:uid="{0C06EE34-5E73-4FEF-9927-33E76FA0B9D0}" name="DATE" totalsRowLabel="Total" dataDxfId="239" totalsRowDxfId="240"/>
    <tableColumn id="2" xr3:uid="{8450BF0D-EBCB-4008-95B1-8BE2F4EC65BF}" name="DETAILS" dataDxfId="237" totalsRowDxfId="238"/>
    <tableColumn id="3" xr3:uid="{76677E23-6104-446B-9AE0-A6724797BC83}" name="QUANTITY" dataDxfId="235" totalsRowDxfId="236"/>
    <tableColumn id="4" xr3:uid="{6E1D3957-53A2-499B-BDD5-138935C16C8D}" name="UNIT PRICE" dataDxfId="233" totalsRowDxfId="234"/>
    <tableColumn id="5" xr3:uid="{2F5E98EF-59A4-4FBD-8135-3C7F805026A5}" name="AMOUNT" totalsRowFunction="sum" dataDxfId="231" totalsRowDxfId="232">
      <calculatedColumnFormula>Table28[[#This Row],[QUANTITY]]*Table28[[#This Row],[UNIT PRICE]]</calculatedColumnFormula>
    </tableColumn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05BC395-A29A-4043-B397-5F0966CAA9A1}" name="Table19" displayName="Table19" ref="H51:L56" totalsRowCount="1" headerRowDxfId="230" tableBorderDxfId="229">
  <autoFilter ref="H51:L55" xr:uid="{D05BC395-A29A-4043-B397-5F0966CAA9A1}"/>
  <tableColumns count="5">
    <tableColumn id="1" xr3:uid="{F1C46E4B-7E63-4812-9004-9DEA00A7935F}" name="DATE" totalsRowLabel="Total" dataDxfId="227" totalsRowDxfId="228"/>
    <tableColumn id="2" xr3:uid="{2FAE0BAD-DAF4-4D51-9F2B-52CE18FB810C}" name="DETAILS" dataDxfId="225" totalsRowDxfId="226"/>
    <tableColumn id="3" xr3:uid="{1CB86FAB-027A-46A9-B55E-59D4AFB7E7AC}" name="QUANTITY" dataDxfId="223" totalsRowDxfId="224"/>
    <tableColumn id="4" xr3:uid="{EEABB290-B857-4517-B7E5-D8AC6CDA328C}" name="UNIT PRICE" dataDxfId="221" totalsRowDxfId="222"/>
    <tableColumn id="5" xr3:uid="{E8F78102-9DBE-4D1E-B997-A6803FBDC0AC}" name="AMOUNT" totalsRowFunction="sum" dataDxfId="219" totalsRowDxfId="220">
      <calculatedColumnFormula>Table19[[#This Row],[QUANTITY]]*Table19[[#This Row],[UNIT PRICE]]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2964C6D-8B43-420F-9907-C06DCBE2A657}" name="Table30" displayName="Table30" ref="B60:F79" totalsRowCount="1" headerRowDxfId="218">
  <autoFilter ref="B60:F78" xr:uid="{02964C6D-8B43-420F-9907-C06DCBE2A657}">
    <filterColumn colId="1">
      <filters>
        <filter val="Big Detergent"/>
        <filter val="Detergent Big One"/>
        <filter val="Laptop’s keyboard replacement"/>
        <filter val="Manager Fuel"/>
        <filter val="Mop"/>
        <filter val="Nose Mask"/>
        <filter val="Pillar Hospital Bill"/>
        <filter val="Secretary Light Bill"/>
        <filter val="Sharpening of cutlasses"/>
        <filter val="T&amp;T to Kade"/>
        <filter val="T-Roll Pack"/>
      </filters>
    </filterColumn>
  </autoFilter>
  <sortState xmlns:xlrd2="http://schemas.microsoft.com/office/spreadsheetml/2017/richdata2" ref="B61:F64">
    <sortCondition ref="B60:B64"/>
  </sortState>
  <tableColumns count="5">
    <tableColumn id="1" xr3:uid="{0581247D-F8FF-4073-B6C7-1504577BC0F3}" name="DATE" totalsRowLabel="Total" dataDxfId="216" totalsRowDxfId="217"/>
    <tableColumn id="2" xr3:uid="{95EDA85C-4FE2-42C9-9E84-93EC55322C28}" name="DETAILS" dataDxfId="214" totalsRowDxfId="215"/>
    <tableColumn id="3" xr3:uid="{EEC23B0C-9BF5-4E2A-86D3-115B23198D34}" name="QUANTITY" dataDxfId="212" totalsRowDxfId="213"/>
    <tableColumn id="4" xr3:uid="{0C3D9AF5-D564-4685-A918-295785323ADB}" name="UNIT PRICE" dataDxfId="210" totalsRowDxfId="211"/>
    <tableColumn id="5" xr3:uid="{9692EE32-75F4-4203-AB2B-344BAB20041F}" name="AMOUNT" totalsRowFunction="sum" dataDxfId="208" totalsRowDxfId="209">
      <calculatedColumnFormula>D61*E61</calculatedColumnFormula>
    </tableColumn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5F5EF-09F3-4477-8526-47BBB25D94B7}" name="Table31" displayName="Table31" ref="H63:L65" totalsRowCount="1" headerRowDxfId="207">
  <autoFilter ref="H63:L64" xr:uid="{0005F5EF-09F3-4477-8526-47BBB25D94B7}"/>
  <sortState xmlns:xlrd2="http://schemas.microsoft.com/office/spreadsheetml/2017/richdata2" ref="H64:L64">
    <sortCondition ref="I63:I64"/>
  </sortState>
  <tableColumns count="5">
    <tableColumn id="1" xr3:uid="{D9471666-2A20-4397-B9EC-3B107EC17970}" name="DATE" totalsRowLabel="Total" dataDxfId="205" totalsRowDxfId="206"/>
    <tableColumn id="2" xr3:uid="{3CE4D119-0E04-4184-AC0C-09E66608D996}" name="DETAILS" dataDxfId="203" totalsRowDxfId="204"/>
    <tableColumn id="3" xr3:uid="{ED955C9F-6508-4496-80A2-B8313E0C0459}" name="QUANTITY" dataDxfId="201" totalsRowDxfId="202"/>
    <tableColumn id="4" xr3:uid="{C736AB8F-6159-4DDC-B2CA-B9FE58924493}" name="UNIT PRICE" dataDxfId="199" totalsRowDxfId="200"/>
    <tableColumn id="5" xr3:uid="{6F5A42A0-5977-491F-B428-971EE3B6522C}" name="AMOUNT" totalsRowFunction="sum" dataDxfId="197" totalsRowDxfId="198">
      <calculatedColumnFormula>Table31[[#This Row],[QUANTITY]]*Table31[[#This Row],[UNIT PRICE]]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AFDACE9-5E00-2143-B1B0-B30BF8E5549E}" name="Table32" displayName="Table32" ref="B82:F87" totalsRowCount="1" headerRowDxfId="196" dataDxfId="195" tableBorderDxfId="194">
  <autoFilter ref="B82:F86" xr:uid="{0AFDACE9-5E00-2143-B1B0-B30BF8E5549E}"/>
  <tableColumns count="5">
    <tableColumn id="1" xr3:uid="{DA2E57AF-552D-A94C-BE0F-FFFFDBFBBF31}" name="DATE" totalsRowLabel="Total" dataDxfId="192" totalsRowDxfId="193"/>
    <tableColumn id="2" xr3:uid="{E16A39DF-D0A0-194C-83A5-36C650BB80EF}" name="DETAILS" dataDxfId="190" totalsRowDxfId="191"/>
    <tableColumn id="3" xr3:uid="{1C824559-1972-0943-BC7F-5E73A5DC5D68}" name="QUANTITY" dataDxfId="188" totalsRowDxfId="189"/>
    <tableColumn id="4" xr3:uid="{98F71B92-E13A-8646-AA8D-8DE2C8C7DD5E}" name="UNIT PRICE" dataDxfId="186" totalsRowDxfId="187"/>
    <tableColumn id="5" xr3:uid="{8DC01FBC-9081-8248-AE7E-C359C1A23374}" name="AMOUNT" totalsRowFunction="sum" dataDxfId="184" totalsRowDxfId="185">
      <calculatedColumnFormula>D83*E83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FAEA0C-BF17-4887-9695-082A95883BF1}" name="DepositsTable" displayName="DepositsTable" ref="A3:P14" totalsRowCount="1" totalsRowDxfId="125" tableBorderDxfId="124">
  <autoFilter ref="A3:P13" xr:uid="{10FAEA0C-BF17-4887-9695-082A95883BF1}"/>
  <tableColumns count="16">
    <tableColumn id="1" xr3:uid="{B5E34640-A83F-4D5A-9E37-6F1564C9635D}" name="TAG NO." totalsRowLabel="Total" dataDxfId="122" totalsRowDxfId="123"/>
    <tableColumn id="2" xr3:uid="{301F89FF-357C-457E-B0D4-A88EC07737F1}" name="NAME OF DECEASED" dataDxfId="120" totalsRowDxfId="121"/>
    <tableColumn id="3" xr3:uid="{9CE2C094-F0E3-45B7-91B1-F0B95E96E926}" name="AGE" dataDxfId="118" totalsRowDxfId="119"/>
    <tableColumn id="4" xr3:uid="{301AC807-7DAF-4879-B1BF-36958DF6C696}" name="GENDER" dataDxfId="116" totalsRowDxfId="117"/>
    <tableColumn id="5" xr3:uid="{96866E13-AB9C-43DC-BC63-D5EEA8D0597D}" name="NAME OF RELATIVE" dataDxfId="114" totalsRowDxfId="115"/>
    <tableColumn id="6" xr3:uid="{A2D81007-C512-40ED-985C-95801804D12F}" name="RELATIVE'S CONTACT" dataDxfId="112" totalsRowDxfId="113"/>
    <tableColumn id="7" xr3:uid="{8F45F9DE-6B83-4453-8C57-B000971E8F31}" name="PLACE " dataDxfId="110" totalsRowDxfId="111"/>
    <tableColumn id="8" xr3:uid="{D7AF6216-0400-4E95-B067-9BE53C44D845}" name="ADMISSION TIME" dataDxfId="108" totalsRowDxfId="109"/>
    <tableColumn id="9" xr3:uid="{907179DC-E4FD-4644-89C1-450342F07244}" name="TYPE" dataDxfId="106" totalsRowDxfId="107"/>
    <tableColumn id="10" xr3:uid="{57BD7A8B-B44B-471D-A849-1B2F9678707D}" name="ADMISSION DATE" dataDxfId="104" totalsRowDxfId="105"/>
    <tableColumn id="11" xr3:uid="{D5262D89-657B-414B-817A-03AEABD5DAC3}" name="Column1" totalsRowDxfId="103"/>
    <tableColumn id="12" xr3:uid="{C566D4B3-2192-46DF-81FF-CCC354CAF72E}" name="Column2" totalsRowDxfId="102"/>
    <tableColumn id="13" xr3:uid="{22B02A63-1CC2-430F-9A4C-1B02995E15A3}" name="Column3" totalsRowDxfId="101"/>
    <tableColumn id="14" xr3:uid="{7D2252D4-C20E-42B4-BD74-389F80FE5C15}" name="Column4" totalsRowDxfId="100"/>
    <tableColumn id="15" xr3:uid="{6DA0691C-B594-4C61-80E4-693B2259519E}" name="Column5" totalsRowDxfId="99"/>
    <tableColumn id="16" xr3:uid="{BE9303F8-B0D2-48B2-A5E5-81C28B043D97}" name="Column6" totalsRowFunction="count" totalsRowDxfId="98"/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72A8748-345B-412C-A041-5F9A6A8FB5EC}" name="DischargesTable" displayName="DischargesTable" ref="A3:X7" totalsRowCount="1" totalsRowDxfId="85">
  <autoFilter ref="A3:X6" xr:uid="{00000000-0001-0000-0800-000000000000}"/>
  <tableColumns count="24">
    <tableColumn id="1" xr3:uid="{7EAE9189-7C95-48F9-B95F-DEAD0B9888DE}" name="TAG NO." totalsRowLabel="Total" dataDxfId="83" totalsRowDxfId="84"/>
    <tableColumn id="2" xr3:uid="{C65D0B4E-77E6-40EE-A2C2-0AE3F766F496}" name="NAME OF DECEASED" dataDxfId="81" totalsRowDxfId="82"/>
    <tableColumn id="3" xr3:uid="{3FE37857-BECD-45E7-9A17-491CD2696815}" name="AGE" dataDxfId="79" totalsRowDxfId="80"/>
    <tableColumn id="4" xr3:uid="{FF9FF02C-DC7E-431C-B035-9FD688C604AF}" name="GENDER" dataDxfId="77" totalsRowDxfId="78"/>
    <tableColumn id="5" xr3:uid="{88591CD4-ADAA-43A2-B038-0A310D187BEE}" name="NAME OF RELATIVE" dataDxfId="75" totalsRowDxfId="76"/>
    <tableColumn id="6" xr3:uid="{795FCED8-8597-4AC0-A494-68540E175A37}" name="RELATIVE'S CONTACT" dataDxfId="73" totalsRowDxfId="74"/>
    <tableColumn id="7" xr3:uid="{4979D393-131C-4064-BEF5-515E83C128C1}" name="PLACE " dataDxfId="71" totalsRowDxfId="72"/>
    <tableColumn id="8" xr3:uid="{8B798372-F56B-4B8F-8DFC-08A8D5A93DD1}" name="ADMISSION TIME" dataDxfId="69" totalsRowDxfId="70"/>
    <tableColumn id="9" xr3:uid="{C246A92D-7FC7-4332-B249-6E51A9761137}" name="TYPE" dataDxfId="67" totalsRowDxfId="68"/>
    <tableColumn id="10" xr3:uid="{E963B4B2-D665-4B27-8B1B-94D3E82CF5EA}" name="ADMISSION DATE" dataDxfId="65" totalsRowDxfId="66"/>
    <tableColumn id="11" xr3:uid="{358FE935-9D04-4406-B09C-7D398F92A714}" name="DISCHARGE DATE" dataDxfId="63" totalsRowDxfId="64"/>
    <tableColumn id="12" xr3:uid="{E1288AEE-C958-4FAB-9C01-AC3A2FF722E5}" name="STORAGE DAYS" dataDxfId="61" totalsRowDxfId="62"/>
    <tableColumn id="13" xr3:uid="{CE2A0180-4A2E-4EFA-A7B6-02875A43D7C0}" name="EMBALMING FEE" totalsRowFunction="sum" dataDxfId="59" totalsRowDxfId="60"/>
    <tableColumn id="14" xr3:uid="{BCCD7AE7-9820-4EB5-B59B-98442406F52C}" name="COLDROOM FEE" totalsRowFunction="sum" dataDxfId="57" totalsRowDxfId="58"/>
    <tableColumn id="15" xr3:uid="{653CCA98-6315-4963-9A14-FA20A8305C54}" name="EMBALMING RECEIPT" dataDxfId="55" totalsRowDxfId="56"/>
    <tableColumn id="16" xr3:uid="{BEBED1B8-FBF9-4A5A-9367-725B689C9BEE}" name="COLDROOM RECEIPT" dataDxfId="53" totalsRowDxfId="54"/>
    <tableColumn id="17" xr3:uid="{38112BE3-A9B3-4624-A662-9134ABC7CB56}" name="DIFFERENCE" dataDxfId="51" totalsRowDxfId="52">
      <calculatedColumnFormula>IF(DATA[[#This Row],[STORAGE FEE]]=0,"NULL",DATA[[#This Row],[COLDROOM FEE]])-DATA[[#This Row],[STORAGE FEE]]</calculatedColumnFormula>
    </tableColumn>
    <tableColumn id="18" xr3:uid="{2FA8C005-C2DE-4DA6-96A7-20A2B80D9D45}" name="STORAGE FEE" totalsRowFunction="sum" dataDxfId="49" totalsRowDxfId="50"/>
    <tableColumn id="19" xr3:uid="{D44EC875-C9A7-4D32-ADC1-A4C6859AF3B4}" name="STATUS" dataDxfId="47" totalsRowDxfId="48">
      <calculatedColumnFormula>IF(ISBLANK(DATA[[#This Row],[COLDROOM RECEIPT]]), "IN CUSTODY", "DISCHARGED")</calculatedColumnFormula>
    </tableColumn>
    <tableColumn id="20" xr3:uid="{E27BD42C-6A7B-4647-97AC-B5BAECC0779F}" name="CASES" dataDxfId="45" totalsRowDxfId="46">
      <calculatedColumnFormula>COUNTA(A:A)-2</calculatedColumnFormula>
    </tableColumn>
    <tableColumn id="21" xr3:uid="{678F3C6D-B597-480A-B395-F18E70D3DB00}" name="YEARS" dataDxfId="43" totalsRowDxfId="44">
      <calculatedColumnFormula>YEAR(DATA[[#This Row],[ADMISSION DATE]])</calculatedColumnFormula>
    </tableColumn>
    <tableColumn id="22" xr3:uid="{93D2E317-71A0-4955-8FCB-0F1407C718ED}" name="MONTHS" dataDxfId="41" totalsRowDxfId="42">
      <calculatedColumnFormula>TEXT(DATA[[#This Row],[ADMISSION DATE]],"mmm")</calculatedColumnFormula>
    </tableColumn>
    <tableColumn id="23" xr3:uid="{B45B5995-BB6B-4FCE-8361-6CE416753AA8}" name="YEARS2" dataDxfId="39" totalsRowDxfId="40">
      <calculatedColumnFormula>YEAR(DATA[[#This Row],[DISCHARGE DATE]])</calculatedColumnFormula>
    </tableColumn>
    <tableColumn id="24" xr3:uid="{D5470901-6310-4261-AA55-8629C857AF82}" name="MONTHS2" totalsRowFunction="count" dataDxfId="37" totalsRowDxfId="38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36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2:G13" totalsRowShown="0">
  <autoFilter ref="A12:G13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35"/>
    <tableColumn id="4" xr3:uid="{A8C46356-3B15-4471-9AB2-0CAB987C9E9D}" name="PHONE" dataDxfId="34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33"/>
    <tableColumn id="2" xr3:uid="{7F9A6D7D-AA1F-43B8-A547-B63704F53309}" name="NAME" dataDxfId="32"/>
    <tableColumn id="3" xr3:uid="{1E9DE884-581E-45D1-AFCC-BA6FFB6A85C9}" name="RECEIPT" dataDxfId="31"/>
  </tableColumns>
  <tableStyleInfo name="TableStyleLight16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0EBD3-DE77-4784-86FB-06E6A11177F5}" name="Table2" displayName="Table2" ref="A1:Q18" totalsRowCount="1" dataDxfId="30">
  <autoFilter ref="A1:Q17" xr:uid="{A110EBD3-DE77-4784-86FB-06E6A11177F5}"/>
  <sortState xmlns:xlrd2="http://schemas.microsoft.com/office/spreadsheetml/2017/richdata2" ref="A2:Q17">
    <sortCondition ref="B1:B17"/>
  </sortState>
  <tableColumns count="17">
    <tableColumn id="1" xr3:uid="{F5F0B69C-EDAD-477E-9A03-E3D6D0C71B4F}" name="S/N" totalsRowLabel="Total" dataDxfId="29"/>
    <tableColumn id="17" xr3:uid="{65C0ADA8-DA63-4AC2-8070-D4C17618B1D7}" name="TAG" dataDxfId="28"/>
    <tableColumn id="9" xr3:uid="{D189FF03-A06D-421D-A007-88C835076D2F}" name="NAME"/>
    <tableColumn id="2" xr3:uid="{2E50A4AD-2FD3-4F60-A785-C078F300DFF5}" name="GENDER" dataDxfId="26" totalsRowDxfId="27"/>
    <tableColumn id="3" xr3:uid="{D0B386DF-F1AB-4043-83A3-B28A1E61F484}" name="DETTOL" dataDxfId="24" totalsRowDxfId="25"/>
    <tableColumn id="4" xr3:uid="{EE56E0A7-F3F4-4C91-82D7-30F162E006BF}" name="SOAP" dataDxfId="22" totalsRowDxfId="23"/>
    <tableColumn id="5" xr3:uid="{B78D551B-FD0A-4869-B2F2-DDA6DEAF3C8F}" name="TOWEL" dataDxfId="20" totalsRowDxfId="21"/>
    <tableColumn id="6" xr3:uid="{1D0BDDCA-EB64-465D-B0D9-FE3D3A1FF48F}" name="SPONGE" dataDxfId="18" totalsRowDxfId="19"/>
    <tableColumn id="7" xr3:uid="{71CBC83D-35A5-4520-A7DF-D7A25BEA0EA6}" name="PANT" dataDxfId="16" totalsRowDxfId="17"/>
    <tableColumn id="8" xr3:uid="{69C9F7E0-D2A3-4403-8104-364B83FBC7CA}" name="POWDER" dataDxfId="14" totalsRowDxfId="15"/>
    <tableColumn id="12" xr3:uid="{EB9EC828-0A08-425E-BB1B-0480D8BAF488}" name="SOAP &amp; DETTOL" totalsRowFunction="sum" dataDxfId="12" totalsRowDxfId="13"/>
    <tableColumn id="10" xr3:uid="{04ED3435-CDEF-4240-8FC2-3CAB2A3A9958}" name="OTHER ITEMS FEE" totalsRowFunction="sum" dataDxfId="10" totalsRowDxfId="11"/>
    <tableColumn id="11" xr3:uid="{00D2AA11-5384-45D7-B3EB-24D62EAC794C}" name="DISCHARGE FEE" totalsRowFunction="sum" dataDxfId="8" totalsRowDxfId="9"/>
    <tableColumn id="13" xr3:uid="{34625351-5A35-4E03-B782-48B94755531A}" name="BODY BAG" totalsRowFunction="sum" dataDxfId="6" totalsRowDxfId="7"/>
    <tableColumn id="14" xr3:uid="{DFF296DB-2B0C-460A-BA5F-E467EDF714D7}" name="BATHING" totalsRowFunction="sum" dataDxfId="4" totalsRowDxfId="5"/>
    <tableColumn id="15" xr3:uid="{4E1471BA-0CA9-4DA4-88BF-F9CB4FDC3586}" name="PANT2" totalsRowFunction="sum" dataDxfId="2" totalsRowDxfId="3"/>
    <tableColumn id="16" xr3:uid="{D1AF7BB6-5E6C-4338-8298-088209785241}" name="MISCELLANEOUS" totalsRowFunction="sum" dataDxfId="0" totalsRowDxfId="1">
      <calculatedColumnFormula>SUM(Table2[[#This Row],[SOAP &amp; DETTOL]:[PANT2]])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hyperlink" Target="https://x.com/manishamishra24/status/2049927489494073762?s=20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1.xml"/><Relationship Id="rId11" Type="http://schemas.openxmlformats.org/officeDocument/2006/relationships/table" Target="../tables/table26.xml"/><Relationship Id="rId5" Type="http://schemas.openxmlformats.org/officeDocument/2006/relationships/table" Target="../tables/table20.xml"/><Relationship Id="rId10" Type="http://schemas.openxmlformats.org/officeDocument/2006/relationships/table" Target="../tables/table25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table" Target="../tables/table2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zoomScale="80" zoomScaleNormal="80" workbookViewId="0">
      <selection activeCell="I5" sqref="I5"/>
    </sheetView>
  </sheetViews>
  <sheetFormatPr defaultColWidth="9.140625" defaultRowHeight="15"/>
  <cols>
    <col min="1" max="1" width="9.140625" style="172" customWidth="1"/>
    <col min="2" max="2" width="1.85546875" style="172" bestFit="1" customWidth="1"/>
    <col min="3" max="4" width="9.140625" style="172"/>
    <col min="5" max="5" width="11.140625" style="172" customWidth="1"/>
    <col min="6" max="7" width="9.140625" style="172"/>
    <col min="8" max="8" width="58.85546875" style="172" customWidth="1"/>
    <col min="9" max="9" width="68.5703125" style="172" bestFit="1" customWidth="1"/>
    <col min="10" max="16384" width="9.140625" style="172"/>
  </cols>
  <sheetData>
    <row r="1" spans="3:13">
      <c r="C1" s="206"/>
      <c r="D1" s="206"/>
      <c r="E1" s="206"/>
      <c r="F1" s="206"/>
      <c r="G1" s="206"/>
      <c r="H1" s="206"/>
      <c r="I1" s="206"/>
      <c r="J1" s="206"/>
    </row>
    <row r="2" spans="3:13">
      <c r="C2" s="206"/>
      <c r="D2" s="206"/>
      <c r="E2" s="206"/>
      <c r="F2" s="206"/>
      <c r="G2" s="206"/>
      <c r="H2" s="206"/>
      <c r="I2" s="206"/>
      <c r="J2" s="206"/>
    </row>
    <row r="3" spans="3:13" ht="15.75" thickBot="1">
      <c r="C3" s="206"/>
      <c r="D3" s="206"/>
      <c r="E3" s="206"/>
      <c r="F3" s="206"/>
      <c r="G3" s="206"/>
      <c r="H3" s="206"/>
      <c r="I3" s="206"/>
      <c r="J3" s="206"/>
    </row>
    <row r="4" spans="3:13" ht="15.75" thickBot="1">
      <c r="G4" s="173"/>
      <c r="H4" s="174"/>
      <c r="I4" s="174"/>
      <c r="J4" s="175"/>
    </row>
    <row r="5" spans="3:13" ht="38.25" thickBot="1">
      <c r="G5" s="176"/>
      <c r="H5" s="177" t="s">
        <v>0</v>
      </c>
      <c r="I5" s="105" t="s">
        <v>1</v>
      </c>
      <c r="J5" s="178"/>
    </row>
    <row r="6" spans="3:13">
      <c r="G6" s="176"/>
      <c r="H6" s="179"/>
      <c r="I6" s="179"/>
      <c r="J6" s="178"/>
    </row>
    <row r="7" spans="3:13">
      <c r="G7" s="176"/>
      <c r="H7" s="179"/>
      <c r="I7" s="179"/>
      <c r="J7" s="178"/>
    </row>
    <row r="8" spans="3:13">
      <c r="G8" s="176"/>
      <c r="H8" s="179"/>
      <c r="I8" s="179"/>
      <c r="J8" s="178"/>
    </row>
    <row r="9" spans="3:13">
      <c r="G9" s="176"/>
      <c r="H9" s="179"/>
      <c r="I9" s="179"/>
      <c r="J9" s="178"/>
    </row>
    <row r="10" spans="3:13">
      <c r="G10" s="176"/>
      <c r="H10" s="179"/>
      <c r="I10" s="179"/>
      <c r="J10" s="178"/>
    </row>
    <row r="11" spans="3:13">
      <c r="G11" s="176"/>
      <c r="H11" s="179"/>
      <c r="I11" s="179"/>
      <c r="J11" s="178"/>
    </row>
    <row r="12" spans="3:13">
      <c r="G12" s="176"/>
      <c r="H12" s="179"/>
      <c r="I12" s="179"/>
      <c r="J12" s="178"/>
      <c r="M12" s="172" t="s">
        <v>2</v>
      </c>
    </row>
    <row r="13" spans="3:13">
      <c r="G13" s="176"/>
      <c r="H13" s="179"/>
      <c r="I13" s="179"/>
      <c r="J13" s="178"/>
    </row>
    <row r="14" spans="3:13">
      <c r="D14" s="172" t="s">
        <v>2</v>
      </c>
      <c r="G14" s="176"/>
      <c r="H14" s="179"/>
      <c r="I14" s="179"/>
      <c r="J14" s="178"/>
    </row>
    <row r="15" spans="3:13" ht="15.75" thickBot="1">
      <c r="D15" s="172" t="s">
        <v>2</v>
      </c>
      <c r="G15" s="180"/>
      <c r="H15" s="181"/>
      <c r="I15" s="181"/>
      <c r="J15" s="182"/>
    </row>
  </sheetData>
  <sheetProtection algorithmName="SHA-512" hashValue="s+VJaQsqeNYVLZ1/czw0ZyhT6DObn8TxF0hl6hYthnufCHI0BvzCRvx3nH+zeafxRnIrYj0AlI4y6ZF7dkZpqQ==" saltValue="CNpLAosVIrDUeOF14Qq9S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6350</xdr:colOff>
                    <xdr:row>5</xdr:row>
                    <xdr:rowOff>177800</xdr:rowOff>
                  </from>
                  <to>
                    <xdr:col>7</xdr:col>
                    <xdr:colOff>1377950</xdr:colOff>
                    <xdr:row>10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31750</xdr:rowOff>
                  </from>
                  <to>
                    <xdr:col>9</xdr:col>
                    <xdr:colOff>0</xdr:colOff>
                    <xdr:row>10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120650</xdr:rowOff>
                  </from>
                  <to>
                    <xdr:col>5</xdr:col>
                    <xdr:colOff>260350</xdr:colOff>
                    <xdr:row>8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1898650</xdr:colOff>
                    <xdr:row>10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120650</xdr:rowOff>
                  </from>
                  <to>
                    <xdr:col>7</xdr:col>
                    <xdr:colOff>3511550</xdr:colOff>
                    <xdr:row>14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596900</xdr:colOff>
                    <xdr:row>15</xdr:row>
                    <xdr:rowOff>44450</xdr:rowOff>
                  </from>
                  <to>
                    <xdr:col>7</xdr:col>
                    <xdr:colOff>3041650</xdr:colOff>
                    <xdr:row>18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44450</xdr:rowOff>
                  </from>
                  <to>
                    <xdr:col>10</xdr:col>
                    <xdr:colOff>25400</xdr:colOff>
                    <xdr:row>18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184150</xdr:rowOff>
                  </from>
                  <to>
                    <xdr:col>5</xdr:col>
                    <xdr:colOff>260350</xdr:colOff>
                    <xdr:row>13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3568700</xdr:colOff>
                    <xdr:row>11</xdr:row>
                    <xdr:rowOff>120650</xdr:rowOff>
                  </from>
                  <to>
                    <xdr:col>9</xdr:col>
                    <xdr:colOff>31750</xdr:colOff>
                    <xdr:row>14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1454150</xdr:colOff>
                    <xdr:row>5</xdr:row>
                    <xdr:rowOff>158750</xdr:rowOff>
                  </from>
                  <to>
                    <xdr:col>7</xdr:col>
                    <xdr:colOff>2813050</xdr:colOff>
                    <xdr:row>10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374650</xdr:colOff>
                    <xdr:row>10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44450</xdr:rowOff>
                  </from>
                  <to>
                    <xdr:col>5</xdr:col>
                    <xdr:colOff>260350</xdr:colOff>
                    <xdr:row>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6350</xdr:rowOff>
                  </from>
                  <to>
                    <xdr:col>5</xdr:col>
                    <xdr:colOff>260350</xdr:colOff>
                    <xdr:row>18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topLeftCell="F1" zoomScaleNormal="100" workbookViewId="0">
      <selection sqref="A1:XFD1048576"/>
    </sheetView>
  </sheetViews>
  <sheetFormatPr defaultRowHeight="1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4BB4-88C0-4C0B-A81D-7E06769EE25B}">
  <sheetPr codeName="Sheet22"/>
  <dimension ref="A1:B5"/>
  <sheetViews>
    <sheetView zoomScale="180" zoomScaleNormal="180" workbookViewId="0">
      <selection activeCell="B4" sqref="B4"/>
    </sheetView>
  </sheetViews>
  <sheetFormatPr defaultRowHeight="15"/>
  <cols>
    <col min="1" max="1" width="9.140625" bestFit="1" customWidth="1"/>
    <col min="2" max="2" width="27.85546875" bestFit="1" customWidth="1"/>
  </cols>
  <sheetData>
    <row r="1" spans="1:2">
      <c r="A1" s="98" t="s">
        <v>3</v>
      </c>
      <c r="B1" s="98" t="s">
        <v>4</v>
      </c>
    </row>
    <row r="2" spans="1:2" ht="68.25">
      <c r="A2" s="98">
        <v>348</v>
      </c>
      <c r="B2" s="99" t="s">
        <v>5</v>
      </c>
    </row>
    <row r="3" spans="1:2">
      <c r="A3" s="98">
        <v>367</v>
      </c>
      <c r="B3" s="98" t="s">
        <v>6</v>
      </c>
    </row>
    <row r="4" spans="1:2">
      <c r="A4" s="98">
        <v>359</v>
      </c>
      <c r="B4" s="98"/>
    </row>
    <row r="5" spans="1:2">
      <c r="A5" s="98">
        <v>325</v>
      </c>
      <c r="B5" s="98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2"/>
  <sheetViews>
    <sheetView showGridLines="0" workbookViewId="0">
      <selection activeCell="C2" sqref="C2"/>
    </sheetView>
  </sheetViews>
  <sheetFormatPr defaultRowHeight="15"/>
  <cols>
    <col min="2" max="2" width="12.5703125" bestFit="1" customWidth="1"/>
    <col min="3" max="3" width="20.5703125" bestFit="1" customWidth="1"/>
    <col min="4" max="4" width="12.7109375" bestFit="1" customWidth="1"/>
    <col min="5" max="5" width="12.5703125" bestFit="1" customWidth="1"/>
    <col min="6" max="6" width="20.42578125" bestFit="1" customWidth="1"/>
    <col min="7" max="7" width="13.85546875" bestFit="1" customWidth="1"/>
    <col min="8" max="8" width="12.5703125" bestFit="1" customWidth="1"/>
    <col min="9" max="9" width="15" bestFit="1" customWidth="1"/>
    <col min="11" max="11" width="12.5703125" bestFit="1" customWidth="1"/>
    <col min="12" max="12" width="15" bestFit="1" customWidth="1"/>
    <col min="13" max="307" width="4" bestFit="1" customWidth="1"/>
    <col min="308" max="308" width="11.28515625" bestFit="1" customWidth="1"/>
  </cols>
  <sheetData>
    <row r="2" spans="2:12">
      <c r="B2" s="74" t="s">
        <v>7</v>
      </c>
      <c r="C2" t="s">
        <v>8</v>
      </c>
      <c r="E2" s="74" t="s">
        <v>7</v>
      </c>
      <c r="F2" t="s">
        <v>9</v>
      </c>
      <c r="H2" s="74" t="s">
        <v>7</v>
      </c>
      <c r="I2" t="s">
        <v>10</v>
      </c>
    </row>
    <row r="3" spans="2:12">
      <c r="B3" s="72">
        <v>2024</v>
      </c>
      <c r="C3" s="73">
        <v>24500</v>
      </c>
      <c r="D3" s="73">
        <f>GETPIVOTDATA("EMBALMING FEE",$B$2,"YEARS",2024)</f>
        <v>24500</v>
      </c>
      <c r="E3" s="72">
        <v>2024</v>
      </c>
      <c r="F3" s="73">
        <v>19234</v>
      </c>
      <c r="G3" s="73">
        <f>GETPIVOTDATA("COLDROOM FEE",$E$2,"YEARS2",2024)</f>
        <v>19234</v>
      </c>
      <c r="H3" s="72" t="s">
        <v>11</v>
      </c>
      <c r="I3" s="183">
        <v>197</v>
      </c>
      <c r="K3" s="74" t="s">
        <v>7</v>
      </c>
      <c r="L3" t="s">
        <v>10</v>
      </c>
    </row>
    <row r="4" spans="2:12">
      <c r="B4" s="72">
        <v>2025</v>
      </c>
      <c r="C4" s="73">
        <v>71750</v>
      </c>
      <c r="D4" s="73">
        <f>GETPIVOTDATA("EMBALMING FEE",$B$2,"YEARS",2025)</f>
        <v>71750</v>
      </c>
      <c r="E4" s="72">
        <v>2025</v>
      </c>
      <c r="F4" s="73">
        <v>308632</v>
      </c>
      <c r="G4" s="73">
        <f>GETPIVOTDATA("COLDROOM FEE",$E$2,"YEARS2",2025)</f>
        <v>308632</v>
      </c>
      <c r="H4" s="72" t="s">
        <v>12</v>
      </c>
      <c r="I4" s="183">
        <v>212</v>
      </c>
      <c r="K4" s="72" t="s">
        <v>13</v>
      </c>
      <c r="L4" s="183">
        <v>205</v>
      </c>
    </row>
    <row r="5" spans="2:12">
      <c r="B5" s="72">
        <v>2026</v>
      </c>
      <c r="C5" s="73">
        <v>46900</v>
      </c>
      <c r="D5" s="73">
        <f>GETPIVOTDATA("EMBALMING FEE",$B$2,"YEARS",2026)</f>
        <v>46900</v>
      </c>
      <c r="E5" s="72">
        <v>2026</v>
      </c>
      <c r="F5" s="73">
        <v>226422</v>
      </c>
      <c r="G5" s="73">
        <f>GETPIVOTDATA("COLDROOM FEE",$E$2,"YEARS2",2026)</f>
        <v>226422</v>
      </c>
      <c r="H5" s="72" t="s">
        <v>14</v>
      </c>
      <c r="I5" s="183">
        <v>409</v>
      </c>
      <c r="K5" s="72" t="s">
        <v>15</v>
      </c>
      <c r="L5" s="183">
        <v>60</v>
      </c>
    </row>
    <row r="6" spans="2:12">
      <c r="B6" s="72" t="s">
        <v>14</v>
      </c>
      <c r="C6" s="73">
        <v>143150</v>
      </c>
      <c r="E6" s="72" t="s">
        <v>14</v>
      </c>
      <c r="F6" s="73">
        <v>554288</v>
      </c>
      <c r="K6" s="72" t="s">
        <v>16</v>
      </c>
      <c r="L6" s="183">
        <v>56</v>
      </c>
    </row>
    <row r="7" spans="2:12">
      <c r="H7" s="74" t="s">
        <v>7</v>
      </c>
      <c r="I7" t="s">
        <v>10</v>
      </c>
      <c r="K7" s="72" t="s">
        <v>17</v>
      </c>
      <c r="L7" s="183">
        <v>16</v>
      </c>
    </row>
    <row r="8" spans="2:12">
      <c r="H8" s="72" t="s">
        <v>18</v>
      </c>
      <c r="I8" s="183">
        <v>321</v>
      </c>
      <c r="K8" s="72" t="s">
        <v>19</v>
      </c>
      <c r="L8" s="183">
        <v>9</v>
      </c>
    </row>
    <row r="9" spans="2:12">
      <c r="H9" s="72" t="s">
        <v>20</v>
      </c>
      <c r="I9" s="183">
        <v>88</v>
      </c>
      <c r="K9" s="72" t="s">
        <v>21</v>
      </c>
      <c r="L9" s="183">
        <v>9</v>
      </c>
    </row>
    <row r="10" spans="2:12">
      <c r="H10" s="72" t="s">
        <v>14</v>
      </c>
      <c r="I10" s="183">
        <v>409</v>
      </c>
      <c r="K10" s="72" t="s">
        <v>22</v>
      </c>
      <c r="L10" s="183">
        <v>8</v>
      </c>
    </row>
    <row r="11" spans="2:12">
      <c r="K11" s="72" t="s">
        <v>23</v>
      </c>
      <c r="L11" s="183">
        <v>8</v>
      </c>
    </row>
    <row r="12" spans="2:12" ht="15.75" thickBot="1">
      <c r="H12" s="76" t="s">
        <v>24</v>
      </c>
      <c r="I12" s="77" t="s">
        <v>25</v>
      </c>
      <c r="K12" s="72" t="s">
        <v>26</v>
      </c>
      <c r="L12" s="183">
        <v>5</v>
      </c>
    </row>
    <row r="13" spans="2:12">
      <c r="H13" s="78" t="s">
        <v>27</v>
      </c>
      <c r="I13" s="79">
        <f>COUNTIF(DATA[AGE], "&lt;60")</f>
        <v>162</v>
      </c>
      <c r="K13" s="72" t="s">
        <v>28</v>
      </c>
      <c r="L13" s="183">
        <v>4</v>
      </c>
    </row>
    <row r="14" spans="2:12">
      <c r="G14" t="s">
        <v>29</v>
      </c>
      <c r="H14" s="80" t="s">
        <v>30</v>
      </c>
      <c r="I14" s="75">
        <f>COUNTIF(DATA[AGE], "&gt;=60")</f>
        <v>257</v>
      </c>
      <c r="K14" s="72" t="s">
        <v>31</v>
      </c>
      <c r="L14" s="183">
        <v>3</v>
      </c>
    </row>
    <row r="15" spans="2:12">
      <c r="K15" s="72" t="s">
        <v>32</v>
      </c>
      <c r="L15" s="183">
        <v>3</v>
      </c>
    </row>
    <row r="16" spans="2:12">
      <c r="H16" s="74" t="s">
        <v>7</v>
      </c>
      <c r="I16" t="s">
        <v>10</v>
      </c>
      <c r="K16" s="72" t="s">
        <v>33</v>
      </c>
      <c r="L16" s="183">
        <v>3</v>
      </c>
    </row>
    <row r="17" spans="8:12">
      <c r="H17" s="72" t="s">
        <v>34</v>
      </c>
      <c r="I17" s="183">
        <v>343</v>
      </c>
      <c r="K17" s="72" t="s">
        <v>35</v>
      </c>
      <c r="L17" s="183">
        <v>2</v>
      </c>
    </row>
    <row r="18" spans="8:12">
      <c r="H18" s="72" t="s">
        <v>36</v>
      </c>
      <c r="I18" s="183">
        <v>66</v>
      </c>
      <c r="K18" s="72" t="s">
        <v>37</v>
      </c>
      <c r="L18" s="183">
        <v>2</v>
      </c>
    </row>
    <row r="19" spans="8:12">
      <c r="H19" s="72" t="s">
        <v>14</v>
      </c>
      <c r="I19" s="183">
        <v>409</v>
      </c>
      <c r="K19" s="72" t="s">
        <v>38</v>
      </c>
      <c r="L19" s="183">
        <v>2</v>
      </c>
    </row>
    <row r="20" spans="8:12">
      <c r="K20" s="72" t="s">
        <v>39</v>
      </c>
      <c r="L20" s="183">
        <v>2</v>
      </c>
    </row>
    <row r="21" spans="8:12">
      <c r="K21" s="72" t="s">
        <v>40</v>
      </c>
      <c r="L21" s="183">
        <v>2</v>
      </c>
    </row>
    <row r="22" spans="8:12">
      <c r="K22" s="72" t="s">
        <v>41</v>
      </c>
      <c r="L22" s="183">
        <v>1</v>
      </c>
    </row>
    <row r="23" spans="8:12">
      <c r="K23" s="72" t="s">
        <v>42</v>
      </c>
      <c r="L23" s="183">
        <v>1</v>
      </c>
    </row>
    <row r="24" spans="8:12">
      <c r="K24" s="72" t="s">
        <v>43</v>
      </c>
      <c r="L24" s="183">
        <v>1</v>
      </c>
    </row>
    <row r="25" spans="8:12">
      <c r="K25" s="72" t="s">
        <v>44</v>
      </c>
      <c r="L25" s="183">
        <v>1</v>
      </c>
    </row>
    <row r="26" spans="8:12">
      <c r="K26" s="72" t="s">
        <v>45</v>
      </c>
      <c r="L26" s="183">
        <v>1</v>
      </c>
    </row>
    <row r="27" spans="8:12">
      <c r="K27" s="72" t="s">
        <v>46</v>
      </c>
      <c r="L27" s="183">
        <v>1</v>
      </c>
    </row>
    <row r="28" spans="8:12">
      <c r="K28" s="72" t="s">
        <v>47</v>
      </c>
      <c r="L28" s="183">
        <v>1</v>
      </c>
    </row>
    <row r="29" spans="8:12">
      <c r="K29" s="72" t="s">
        <v>48</v>
      </c>
      <c r="L29" s="183">
        <v>1</v>
      </c>
    </row>
    <row r="30" spans="8:12">
      <c r="K30" s="72" t="s">
        <v>49</v>
      </c>
      <c r="L30" s="183">
        <v>1</v>
      </c>
    </row>
    <row r="31" spans="8:12">
      <c r="K31" s="72" t="s">
        <v>50</v>
      </c>
      <c r="L31" s="183">
        <v>1</v>
      </c>
    </row>
    <row r="32" spans="8:12">
      <c r="K32" s="72" t="s">
        <v>14</v>
      </c>
      <c r="L32" s="183">
        <v>409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C18" sqref="C18"/>
    </sheetView>
  </sheetViews>
  <sheetFormatPr defaultRowHeight="1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6350</xdr:rowOff>
                  </from>
                  <to>
                    <xdr:col>4</xdr:col>
                    <xdr:colOff>139700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30" zoomScaleNormal="130" workbookViewId="0">
      <pane ySplit="1" topLeftCell="A4" activePane="bottomLeft" state="frozen"/>
      <selection pane="bottomLeft" activeCell="D3" sqref="D3"/>
      <selection activeCell="A3" sqref="A3"/>
    </sheetView>
  </sheetViews>
  <sheetFormatPr defaultRowHeight="15"/>
  <cols>
    <col min="2" max="2" width="28.7109375" bestFit="1" customWidth="1"/>
    <col min="3" max="3" width="24.5703125" bestFit="1" customWidth="1"/>
    <col min="4" max="4" width="13.85546875" bestFit="1" customWidth="1"/>
    <col min="5" max="5" width="29" bestFit="1" customWidth="1"/>
    <col min="6" max="6" width="12.7109375" bestFit="1" customWidth="1"/>
    <col min="7" max="7" width="23.7109375" bestFit="1" customWidth="1"/>
    <col min="8" max="8" width="14.5703125" bestFit="1" customWidth="1"/>
  </cols>
  <sheetData>
    <row r="2" spans="2:8" ht="19.5" customHeight="1" thickBot="1"/>
    <row r="3" spans="2:8" ht="24.75" customHeight="1" thickBot="1">
      <c r="D3" s="7" t="s">
        <v>51</v>
      </c>
    </row>
    <row r="4" spans="2:8" ht="15.75" thickBot="1"/>
    <row r="5" spans="2:8" ht="21.75" thickBot="1">
      <c r="B5" s="2" t="s">
        <v>52</v>
      </c>
      <c r="C5" s="14" t="s">
        <v>53</v>
      </c>
      <c r="E5" s="2" t="s">
        <v>54</v>
      </c>
      <c r="F5" s="14" t="s">
        <v>15</v>
      </c>
    </row>
    <row r="6" spans="2:8" ht="12.95" customHeight="1" thickBot="1">
      <c r="C6" s="1"/>
      <c r="E6" s="2"/>
      <c r="F6" s="3"/>
    </row>
    <row r="7" spans="2:8" ht="21.75" thickBot="1">
      <c r="B7" s="2" t="s">
        <v>55</v>
      </c>
      <c r="C7" s="14">
        <v>49</v>
      </c>
      <c r="E7" s="2" t="s">
        <v>56</v>
      </c>
      <c r="F7" s="16">
        <v>0.37708333333333333</v>
      </c>
    </row>
    <row r="8" spans="2:8" ht="9.6" customHeight="1" thickBot="1">
      <c r="B8" s="2"/>
      <c r="C8" s="3"/>
      <c r="E8" s="2"/>
      <c r="F8" s="3"/>
    </row>
    <row r="9" spans="2:8" ht="21.75" thickBot="1">
      <c r="B9" s="2" t="s">
        <v>57</v>
      </c>
      <c r="C9" s="14" t="s">
        <v>11</v>
      </c>
      <c r="E9" s="2" t="s">
        <v>58</v>
      </c>
      <c r="F9" s="8" t="s">
        <v>18</v>
      </c>
      <c r="H9" s="6"/>
    </row>
    <row r="10" spans="2:8" ht="9.9499999999999993" customHeight="1" thickBot="1">
      <c r="B10" s="2"/>
      <c r="C10" s="3"/>
      <c r="E10" s="2"/>
      <c r="F10" s="3"/>
    </row>
    <row r="11" spans="2:8" ht="21.75" thickBot="1">
      <c r="B11" s="2" t="s">
        <v>59</v>
      </c>
      <c r="C11" s="14" t="s">
        <v>60</v>
      </c>
      <c r="E11" s="2" t="s">
        <v>61</v>
      </c>
      <c r="F11" s="15">
        <v>46074</v>
      </c>
    </row>
    <row r="12" spans="2:8" ht="12" customHeight="1" thickBot="1">
      <c r="B12" s="2"/>
      <c r="C12" s="3"/>
      <c r="E12" s="2"/>
      <c r="F12" s="4"/>
    </row>
    <row r="13" spans="2:8" ht="21.75" thickBot="1">
      <c r="B13" s="2" t="s">
        <v>62</v>
      </c>
      <c r="C13" s="48">
        <v>532054258</v>
      </c>
      <c r="E13" s="2" t="s">
        <v>63</v>
      </c>
      <c r="F13" s="15">
        <v>46269</v>
      </c>
    </row>
    <row r="14" spans="2:8" ht="8.1" customHeight="1" thickBot="1">
      <c r="C14" s="3"/>
    </row>
    <row r="15" spans="2:8" ht="21.75" thickBot="1">
      <c r="B15" s="2" t="s">
        <v>64</v>
      </c>
      <c r="C15" s="52" t="s">
        <v>34</v>
      </c>
      <c r="E15" s="2" t="s">
        <v>65</v>
      </c>
      <c r="F15" s="51" t="s">
        <v>66</v>
      </c>
    </row>
    <row r="16" spans="2:8" ht="9" customHeight="1" thickBot="1"/>
    <row r="17" spans="2:3" ht="21.75" thickBot="1">
      <c r="B17" s="2" t="s">
        <v>67</v>
      </c>
      <c r="C17" s="55">
        <v>305</v>
      </c>
    </row>
  </sheetData>
  <conditionalFormatting sqref="F9">
    <cfRule type="containsText" dxfId="456" priority="1" operator="containsText" text="VIP">
      <formula>NOT(ISERROR(SEARCH("VIP",F9)))</formula>
    </cfRule>
    <cfRule type="containsText" dxfId="455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387350</xdr:colOff>
                    <xdr:row>6</xdr:row>
                    <xdr:rowOff>114300</xdr:rowOff>
                  </from>
                  <to>
                    <xdr:col>7</xdr:col>
                    <xdr:colOff>292100</xdr:colOff>
                    <xdr:row>11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F7" sqref="F7"/>
    </sheetView>
  </sheetViews>
  <sheetFormatPr defaultRowHeight="1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" bestFit="1" customWidth="1"/>
    <col min="7" max="7" width="23.7109375" bestFit="1" customWidth="1"/>
    <col min="8" max="8" width="2" bestFit="1" customWidth="1"/>
  </cols>
  <sheetData>
    <row r="2" spans="2:7" ht="15" customHeight="1" thickBot="1"/>
    <row r="3" spans="2:7" ht="27.75" thickBot="1">
      <c r="D3" s="17" t="s">
        <v>68</v>
      </c>
    </row>
    <row r="4" spans="2:7" ht="15.75" thickBot="1"/>
    <row r="5" spans="2:7" ht="27.75" thickBot="1">
      <c r="B5" s="2" t="s">
        <v>69</v>
      </c>
      <c r="C5" s="18" t="s">
        <v>70</v>
      </c>
      <c r="E5" s="2" t="s">
        <v>71</v>
      </c>
      <c r="F5" s="19">
        <v>26</v>
      </c>
    </row>
    <row r="6" spans="2:7" ht="21.75" thickBot="1">
      <c r="C6" s="1"/>
      <c r="E6" s="2"/>
      <c r="F6" s="5"/>
    </row>
    <row r="7" spans="2:7" ht="27.75" thickBot="1">
      <c r="B7" s="2" t="s">
        <v>58</v>
      </c>
      <c r="C7" s="18" t="s">
        <v>20</v>
      </c>
      <c r="E7" s="2" t="s">
        <v>72</v>
      </c>
      <c r="F7" s="20">
        <v>520</v>
      </c>
      <c r="G7" s="107"/>
    </row>
    <row r="8" spans="2:7" ht="21">
      <c r="B8" s="2"/>
      <c r="C8" s="3"/>
      <c r="E8" s="2"/>
      <c r="F8" s="5"/>
    </row>
    <row r="10" spans="2:7" ht="21">
      <c r="B10" s="2"/>
      <c r="C10" s="3"/>
      <c r="F10" s="83"/>
      <c r="G10" s="83"/>
    </row>
    <row r="11" spans="2:7" ht="21">
      <c r="B11" s="2"/>
      <c r="C11" s="4"/>
      <c r="E11" t="s">
        <v>73</v>
      </c>
      <c r="F11" s="83"/>
    </row>
    <row r="12" spans="2:7" ht="21">
      <c r="B12" s="2"/>
      <c r="C12" s="3"/>
      <c r="E12" s="2"/>
      <c r="F12" s="96"/>
      <c r="G12" s="83"/>
    </row>
    <row r="13" spans="2:7" ht="21">
      <c r="E13" s="2"/>
    </row>
  </sheetData>
  <sheetProtection algorithmName="SHA-512" hashValue="DRa9IFz/zFZuC9j5xoGSLkIZygzPLrURKp/HUtvvJG6t9TQ86kGJpiGWUddB4YK1bUXWc8bCG/Y+EiETrNGggQ==" saltValue="PGcRNbIz3qEJeW1zeFuZTg==" spinCount="100000" sheet="1" objects="1" scenarios="1"/>
  <conditionalFormatting sqref="C7">
    <cfRule type="containsText" dxfId="454" priority="1" operator="containsText" text="VIP">
      <formula>NOT(ISERROR(SEARCH("VIP",C7)))</formula>
    </cfRule>
    <cfRule type="containsText" dxfId="453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1054100</xdr:colOff>
                    <xdr:row>7</xdr:row>
                    <xdr:rowOff>234950</xdr:rowOff>
                  </from>
                  <to>
                    <xdr:col>4</xdr:col>
                    <xdr:colOff>641350</xdr:colOff>
                    <xdr:row>11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83"/>
  <sheetViews>
    <sheetView tabSelected="1" zoomScaleNormal="100" workbookViewId="0">
      <pane ySplit="1" topLeftCell="A396" activePane="bottomLeft" state="frozen"/>
      <selection pane="bottomLeft" activeCell="I426" sqref="I426"/>
      <selection activeCell="I5" sqref="I5"/>
    </sheetView>
  </sheetViews>
  <sheetFormatPr defaultColWidth="9.140625" defaultRowHeight="17.25"/>
  <cols>
    <col min="1" max="1" width="13" style="42" bestFit="1" customWidth="1"/>
    <col min="2" max="2" width="36" style="38" customWidth="1"/>
    <col min="3" max="3" width="9.28515625" style="43" customWidth="1"/>
    <col min="4" max="4" width="13.140625" style="39" customWidth="1"/>
    <col min="5" max="5" width="36" style="42" customWidth="1"/>
    <col min="6" max="6" width="26.42578125" style="44" customWidth="1"/>
    <col min="7" max="7" width="14.42578125" style="42" customWidth="1"/>
    <col min="8" max="8" width="21.140625" style="23" customWidth="1"/>
    <col min="9" max="9" width="10" style="29" customWidth="1"/>
    <col min="10" max="10" width="21.7109375" style="62" customWidth="1"/>
    <col min="11" max="11" width="22" style="62" customWidth="1"/>
    <col min="12" max="12" width="19.7109375" style="45" customWidth="1"/>
    <col min="13" max="13" width="20.7109375" style="32" customWidth="1"/>
    <col min="14" max="14" width="20.42578125" style="40" customWidth="1"/>
    <col min="15" max="15" width="25.140625" style="41" customWidth="1"/>
    <col min="16" max="16" width="24.85546875" style="68" customWidth="1"/>
    <col min="17" max="17" width="18.7109375" style="38" customWidth="1"/>
    <col min="18" max="18" width="18" style="38" customWidth="1"/>
    <col min="19" max="19" width="14.85546875" style="70" customWidth="1"/>
    <col min="20" max="20" width="10.5703125" style="58" customWidth="1"/>
    <col min="21" max="21" width="11.42578125" customWidth="1"/>
    <col min="22" max="22" width="13.7109375" style="69" customWidth="1"/>
    <col min="23" max="23" width="12.5703125" customWidth="1"/>
    <col min="24" max="24" width="14.85546875" style="69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7" customFormat="1" ht="27.75" customHeight="1">
      <c r="A1" s="56" t="s">
        <v>74</v>
      </c>
      <c r="B1" s="56" t="s">
        <v>75</v>
      </c>
      <c r="C1" s="56" t="s">
        <v>76</v>
      </c>
      <c r="D1" s="56" t="s">
        <v>77</v>
      </c>
      <c r="E1" s="56" t="s">
        <v>78</v>
      </c>
      <c r="F1" s="56" t="s">
        <v>79</v>
      </c>
      <c r="G1" s="56" t="s">
        <v>80</v>
      </c>
      <c r="H1" s="56" t="s">
        <v>81</v>
      </c>
      <c r="I1" s="56" t="s">
        <v>82</v>
      </c>
      <c r="J1" s="56" t="s">
        <v>83</v>
      </c>
      <c r="K1" s="56" t="s">
        <v>84</v>
      </c>
      <c r="L1" s="56" t="s">
        <v>85</v>
      </c>
      <c r="M1" s="56" t="s">
        <v>86</v>
      </c>
      <c r="N1" s="56" t="s">
        <v>87</v>
      </c>
      <c r="O1" s="56" t="s">
        <v>88</v>
      </c>
      <c r="P1" s="171" t="s">
        <v>89</v>
      </c>
      <c r="Q1" s="56" t="s">
        <v>90</v>
      </c>
      <c r="R1" s="56" t="s">
        <v>91</v>
      </c>
      <c r="S1" s="56" t="s">
        <v>92</v>
      </c>
      <c r="T1" s="58" t="s">
        <v>93</v>
      </c>
      <c r="U1" s="56" t="s">
        <v>94</v>
      </c>
      <c r="V1" s="57" t="s">
        <v>95</v>
      </c>
      <c r="W1" s="56" t="s">
        <v>96</v>
      </c>
      <c r="X1" s="57" t="s">
        <v>97</v>
      </c>
    </row>
    <row r="2" spans="1:24" s="53" customFormat="1" ht="14.25" hidden="1" customHeight="1">
      <c r="A2" s="150" t="s">
        <v>98</v>
      </c>
      <c r="B2" s="151" t="s">
        <v>99</v>
      </c>
      <c r="C2" s="151">
        <v>85</v>
      </c>
      <c r="D2" s="152" t="s">
        <v>12</v>
      </c>
      <c r="E2" s="152" t="s">
        <v>100</v>
      </c>
      <c r="F2" s="153">
        <v>542052248</v>
      </c>
      <c r="G2" s="152" t="s">
        <v>13</v>
      </c>
      <c r="H2" s="154">
        <v>0.3125</v>
      </c>
      <c r="I2" s="152" t="s">
        <v>18</v>
      </c>
      <c r="J2" s="155">
        <v>45503</v>
      </c>
      <c r="K2" s="155">
        <v>45533</v>
      </c>
      <c r="L2" s="151">
        <f>IF(ISBLANK(DATA[[#This Row],[DISCHARGE DATE]]),"NO DATE", DATA[[#This Row],[DISCHARGE DATE]]-DATA[[#This Row],[ADMISSION DATE]]+1)</f>
        <v>31</v>
      </c>
      <c r="M2" s="156">
        <v>350</v>
      </c>
      <c r="N2" s="156">
        <v>403</v>
      </c>
      <c r="O2" s="157" t="s">
        <v>101</v>
      </c>
      <c r="P2" s="157" t="s">
        <v>101</v>
      </c>
      <c r="Q2" s="158">
        <f>IF(DATA[[#This Row],[STORAGE FEE]]=0,"NULL",DATA[[#This Row],[COLDROOM FEE]])-DATA[[#This Row],[STORAGE FEE]]</f>
        <v>0</v>
      </c>
      <c r="R2" s="158">
        <f>IF(ISBLANK(DATA[[#This Row],[DISCHARGE DATE]]),0,IF(DATA[[#This Row],[TYPE]]="VIP",20*DATA[[#This Row],[STORAGE DAYS]],13*DATA[[#This Row],[STORAGE DAYS]]))</f>
        <v>403</v>
      </c>
      <c r="S2" s="71" t="str">
        <f>IF(ISBLANK(DATA[[#This Row],[COLDROOM RECEIPT]]), "IN CUSTODY", "DISCHARGED")</f>
        <v>DISCHARGED</v>
      </c>
      <c r="T2" s="58">
        <f>COUNTA(A:A)-2</f>
        <v>419</v>
      </c>
      <c r="U2" s="59">
        <f>YEAR(DATA[[#This Row],[ADMISSION DATE]])</f>
        <v>2024</v>
      </c>
      <c r="V2" s="60" t="str">
        <f>TEXT(DATA[[#This Row],[ADMISSION DATE]],"mmm")</f>
        <v>Jul</v>
      </c>
      <c r="W2" s="59">
        <f>YEAR(DATA[[#This Row],[DISCHARGE DATE]])</f>
        <v>2024</v>
      </c>
      <c r="X2" s="60" t="str">
        <f>TEXT(DATA[[#This Row],[DISCHARGE DATE]],"mmm")</f>
        <v>Aug</v>
      </c>
    </row>
    <row r="3" spans="1:24" s="27" customFormat="1" ht="19.5" hidden="1">
      <c r="A3" s="152" t="s">
        <v>102</v>
      </c>
      <c r="B3" s="151" t="s">
        <v>103</v>
      </c>
      <c r="C3" s="151">
        <v>100</v>
      </c>
      <c r="D3" s="152" t="s">
        <v>12</v>
      </c>
      <c r="E3" s="152" t="s">
        <v>104</v>
      </c>
      <c r="F3" s="153">
        <v>548191078</v>
      </c>
      <c r="G3" s="152" t="s">
        <v>19</v>
      </c>
      <c r="H3" s="154">
        <v>0.5</v>
      </c>
      <c r="I3" s="152" t="s">
        <v>18</v>
      </c>
      <c r="J3" s="155">
        <v>45505</v>
      </c>
      <c r="K3" s="155">
        <v>45534</v>
      </c>
      <c r="L3" s="151">
        <f>IF(ISBLANK(DATA[[#This Row],[DISCHARGE DATE]]),"NO DATE", DATA[[#This Row],[DISCHARGE DATE]]-DATA[[#This Row],[ADMISSION DATE]]+1)</f>
        <v>30</v>
      </c>
      <c r="M3" s="156">
        <v>350</v>
      </c>
      <c r="N3" s="156">
        <v>403</v>
      </c>
      <c r="O3" s="157" t="s">
        <v>105</v>
      </c>
      <c r="P3" s="157" t="s">
        <v>105</v>
      </c>
      <c r="Q3" s="158">
        <f>IF(DATA[[#This Row],[STORAGE FEE]]=0,"NULL",DATA[[#This Row],[COLDROOM FEE]])-DATA[[#This Row],[STORAGE FEE]]</f>
        <v>13</v>
      </c>
      <c r="R3" s="158">
        <f>IF(ISBLANK(DATA[[#This Row],[DISCHARGE DATE]]),0,IF(DATA[[#This Row],[TYPE]]="VIP",20*DATA[[#This Row],[STORAGE DAYS]],13*DATA[[#This Row],[STORAGE DAYS]]))</f>
        <v>390</v>
      </c>
      <c r="S3" s="71" t="str">
        <f>IF(ISBLANK(DATA[[#This Row],[COLDROOM RECEIPT]]), "IN CUSTODY", "DISCHARGED")</f>
        <v>DISCHARGED</v>
      </c>
      <c r="T3" s="58">
        <f>COUNTA(A:A)-2</f>
        <v>419</v>
      </c>
      <c r="U3" s="59">
        <f>YEAR(DATA[[#This Row],[ADMISSION DATE]])</f>
        <v>2024</v>
      </c>
      <c r="V3" s="60" t="str">
        <f>TEXT(DATA[[#This Row],[ADMISSION DATE]],"mmm")</f>
        <v>Aug</v>
      </c>
      <c r="W3" s="59">
        <f>YEAR(DATA[[#This Row],[DISCHARGE DATE]])</f>
        <v>2024</v>
      </c>
      <c r="X3" s="60" t="str">
        <f>TEXT(DATA[[#This Row],[DISCHARGE DATE]],"mmm")</f>
        <v>Aug</v>
      </c>
    </row>
    <row r="4" spans="1:24" s="27" customFormat="1" ht="19.5" hidden="1">
      <c r="A4" s="152" t="s">
        <v>106</v>
      </c>
      <c r="B4" s="151" t="s">
        <v>107</v>
      </c>
      <c r="C4" s="151">
        <v>77</v>
      </c>
      <c r="D4" s="152" t="s">
        <v>12</v>
      </c>
      <c r="E4" s="152" t="s">
        <v>108</v>
      </c>
      <c r="F4" s="153">
        <v>594177443</v>
      </c>
      <c r="G4" s="152" t="s">
        <v>16</v>
      </c>
      <c r="H4" s="154">
        <v>0.92361111111111116</v>
      </c>
      <c r="I4" s="152" t="s">
        <v>18</v>
      </c>
      <c r="J4" s="155">
        <v>45508</v>
      </c>
      <c r="K4" s="155">
        <v>45597</v>
      </c>
      <c r="L4" s="151">
        <f>IF(ISBLANK(DATA[[#This Row],[DISCHARGE DATE]]),"NO DATE", DATA[[#This Row],[DISCHARGE DATE]]-DATA[[#This Row],[ADMISSION DATE]]+1)</f>
        <v>90</v>
      </c>
      <c r="M4" s="156">
        <v>350</v>
      </c>
      <c r="N4" s="156">
        <v>1170</v>
      </c>
      <c r="O4" s="157" t="s">
        <v>109</v>
      </c>
      <c r="P4" s="157" t="s">
        <v>110</v>
      </c>
      <c r="Q4" s="158">
        <f>IF(DATA[[#This Row],[STORAGE FEE]]=0,"NULL",DATA[[#This Row],[COLDROOM FEE]])-DATA[[#This Row],[STORAGE FEE]]</f>
        <v>0</v>
      </c>
      <c r="R4" s="158">
        <f>IF(ISBLANK(DATA[[#This Row],[DISCHARGE DATE]]),0,IF(DATA[[#This Row],[TYPE]]="VIP",20*DATA[[#This Row],[STORAGE DAYS]],13*DATA[[#This Row],[STORAGE DAYS]]))</f>
        <v>1170</v>
      </c>
      <c r="S4" s="71" t="str">
        <f>IF(ISBLANK(DATA[[#This Row],[COLDROOM RECEIPT]]), "IN CUSTODY", "DISCHARGED")</f>
        <v>DISCHARGED</v>
      </c>
      <c r="T4" s="58">
        <f>COUNTA(A:A)-2</f>
        <v>419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9.5" hidden="1">
      <c r="A5" s="152" t="s">
        <v>111</v>
      </c>
      <c r="B5" s="151" t="s">
        <v>112</v>
      </c>
      <c r="C5" s="151">
        <v>64</v>
      </c>
      <c r="D5" s="152" t="s">
        <v>11</v>
      </c>
      <c r="E5" s="152" t="s">
        <v>113</v>
      </c>
      <c r="F5" s="153">
        <v>248465456</v>
      </c>
      <c r="G5" s="152" t="s">
        <v>15</v>
      </c>
      <c r="H5" s="154">
        <v>0.40347222222222223</v>
      </c>
      <c r="I5" s="152" t="s">
        <v>18</v>
      </c>
      <c r="J5" s="155">
        <v>45513</v>
      </c>
      <c r="K5" s="155">
        <v>45555</v>
      </c>
      <c r="L5" s="151">
        <f>IF(ISBLANK(DATA[[#This Row],[DISCHARGE DATE]]),"NO DATE", DATA[[#This Row],[DISCHARGE DATE]]-DATA[[#This Row],[ADMISSION DATE]]+1)</f>
        <v>43</v>
      </c>
      <c r="M5" s="156">
        <v>350</v>
      </c>
      <c r="N5" s="156">
        <v>559</v>
      </c>
      <c r="O5" s="157" t="s">
        <v>114</v>
      </c>
      <c r="P5" s="157" t="s">
        <v>115</v>
      </c>
      <c r="Q5" s="158">
        <f>IF(DATA[[#This Row],[STORAGE FEE]]=0,"NULL",DATA[[#This Row],[COLDROOM FEE]])-DATA[[#This Row],[STORAGE FEE]]</f>
        <v>0</v>
      </c>
      <c r="R5" s="158">
        <f>IF(ISBLANK(DATA[[#This Row],[DISCHARGE DATE]]),0,IF(DATA[[#This Row],[TYPE]]="VIP",20*DATA[[#This Row],[STORAGE DAYS]],13*DATA[[#This Row],[STORAGE DAYS]]))</f>
        <v>559</v>
      </c>
      <c r="S5" s="71" t="str">
        <f>IF(ISBLANK(DATA[[#This Row],[COLDROOM RECEIPT]]), "IN CUSTODY", "DISCHARGED")</f>
        <v>DISCHARGED</v>
      </c>
      <c r="T5" s="58">
        <f>COUNTA(A:A)-2</f>
        <v>419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</v>
      </c>
    </row>
    <row r="6" spans="1:24" s="27" customFormat="1" ht="19.5" hidden="1">
      <c r="A6" s="152" t="s">
        <v>116</v>
      </c>
      <c r="B6" s="151" t="s">
        <v>117</v>
      </c>
      <c r="C6" s="151">
        <v>45</v>
      </c>
      <c r="D6" s="152" t="s">
        <v>12</v>
      </c>
      <c r="E6" s="152" t="s">
        <v>118</v>
      </c>
      <c r="F6" s="153">
        <v>554596352</v>
      </c>
      <c r="G6" s="152" t="s">
        <v>13</v>
      </c>
      <c r="H6" s="154">
        <v>0.97916666666666663</v>
      </c>
      <c r="I6" s="152" t="s">
        <v>18</v>
      </c>
      <c r="J6" s="155">
        <v>45519</v>
      </c>
      <c r="K6" s="155">
        <v>45541</v>
      </c>
      <c r="L6" s="151">
        <f>IF(ISBLANK(DATA[[#This Row],[DISCHARGE DATE]]),"NO DATE", DATA[[#This Row],[DISCHARGE DATE]]-DATA[[#This Row],[ADMISSION DATE]]+1)</f>
        <v>23</v>
      </c>
      <c r="M6" s="156">
        <v>350</v>
      </c>
      <c r="N6" s="156">
        <v>299</v>
      </c>
      <c r="O6" s="157" t="s">
        <v>115</v>
      </c>
      <c r="P6" s="157" t="s">
        <v>114</v>
      </c>
      <c r="Q6" s="158">
        <f>IF(DATA[[#This Row],[STORAGE FEE]]=0,"NULL",DATA[[#This Row],[COLDROOM FEE]])-DATA[[#This Row],[STORAGE FEE]]</f>
        <v>0</v>
      </c>
      <c r="R6" s="158">
        <f>IF(ISBLANK(DATA[[#This Row],[DISCHARGE DATE]]),0,IF(DATA[[#This Row],[TYPE]]="VIP",20*DATA[[#This Row],[STORAGE DAYS]],13*DATA[[#This Row],[STORAGE DAYS]]))</f>
        <v>299</v>
      </c>
      <c r="S6" s="71" t="str">
        <f>IF(ISBLANK(DATA[[#This Row],[COLDROOM RECEIPT]]), "IN CUSTODY", "DISCHARGED")</f>
        <v>DISCHARGED</v>
      </c>
      <c r="T6" s="58">
        <f>COUNTA(A:A)-2</f>
        <v>419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</v>
      </c>
    </row>
    <row r="7" spans="1:24" s="27" customFormat="1" ht="19.5" hidden="1">
      <c r="A7" s="152" t="s">
        <v>119</v>
      </c>
      <c r="B7" s="151" t="s">
        <v>120</v>
      </c>
      <c r="C7" s="151">
        <v>85</v>
      </c>
      <c r="D7" s="152" t="s">
        <v>12</v>
      </c>
      <c r="E7" s="152" t="s">
        <v>121</v>
      </c>
      <c r="F7" s="153">
        <v>247194693</v>
      </c>
      <c r="G7" s="152" t="s">
        <v>13</v>
      </c>
      <c r="H7" s="154">
        <v>0.3125</v>
      </c>
      <c r="I7" s="152" t="s">
        <v>18</v>
      </c>
      <c r="J7" s="155">
        <v>45520</v>
      </c>
      <c r="K7" s="155">
        <v>45543</v>
      </c>
      <c r="L7" s="151">
        <f>IF(ISBLANK(DATA[[#This Row],[DISCHARGE DATE]]),"NO DATE", DATA[[#This Row],[DISCHARGE DATE]]-DATA[[#This Row],[ADMISSION DATE]]+1)</f>
        <v>24</v>
      </c>
      <c r="M7" s="156">
        <v>350</v>
      </c>
      <c r="N7" s="156">
        <v>1105</v>
      </c>
      <c r="O7" s="157" t="s">
        <v>122</v>
      </c>
      <c r="P7" s="157" t="s">
        <v>123</v>
      </c>
      <c r="Q7" s="158">
        <f>IF(DATA[[#This Row],[STORAGE FEE]]=0,"NULL",DATA[[#This Row],[COLDROOM FEE]])-DATA[[#This Row],[STORAGE FEE]]</f>
        <v>793</v>
      </c>
      <c r="R7" s="158">
        <f>IF(ISBLANK(DATA[[#This Row],[DISCHARGE DATE]]),0,IF(DATA[[#This Row],[TYPE]]="VIP",20*DATA[[#This Row],[STORAGE DAYS]],13*DATA[[#This Row],[STORAGE DAYS]]))</f>
        <v>312</v>
      </c>
      <c r="S7" s="71" t="str">
        <f>IF(ISBLANK(DATA[[#This Row],[COLDROOM RECEIPT]]), "IN CUSTODY", "DISCHARGED")</f>
        <v>DISCHARGED</v>
      </c>
      <c r="T7" s="58">
        <f>COUNTA(A:A)-2</f>
        <v>419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</v>
      </c>
    </row>
    <row r="8" spans="1:24" s="27" customFormat="1" ht="21.75" hidden="1" customHeight="1">
      <c r="A8" s="152" t="s">
        <v>124</v>
      </c>
      <c r="B8" s="151" t="s">
        <v>125</v>
      </c>
      <c r="C8" s="151">
        <v>61</v>
      </c>
      <c r="D8" s="152" t="s">
        <v>12</v>
      </c>
      <c r="E8" s="152" t="s">
        <v>126</v>
      </c>
      <c r="F8" s="153">
        <v>557518754</v>
      </c>
      <c r="G8" s="152" t="s">
        <v>16</v>
      </c>
      <c r="H8" s="154">
        <v>0.5</v>
      </c>
      <c r="I8" s="152" t="s">
        <v>18</v>
      </c>
      <c r="J8" s="155">
        <v>45520</v>
      </c>
      <c r="K8" s="155">
        <v>45625</v>
      </c>
      <c r="L8" s="151">
        <f>IF(ISBLANK(DATA[[#This Row],[DISCHARGE DATE]]),"NO DATE", DATA[[#This Row],[DISCHARGE DATE]]-DATA[[#This Row],[ADMISSION DATE]]+1)</f>
        <v>106</v>
      </c>
      <c r="M8" s="156">
        <v>350</v>
      </c>
      <c r="N8" s="156">
        <v>1378</v>
      </c>
      <c r="O8" s="157" t="s">
        <v>127</v>
      </c>
      <c r="P8" s="157" t="s">
        <v>128</v>
      </c>
      <c r="Q8" s="158">
        <f>IF(DATA[[#This Row],[STORAGE FEE]]=0,"NULL",DATA[[#This Row],[COLDROOM FEE]])-DATA[[#This Row],[STORAGE FEE]]</f>
        <v>0</v>
      </c>
      <c r="R8" s="158">
        <f>IF(ISBLANK(DATA[[#This Row],[DISCHARGE DATE]]),0,IF(DATA[[#This Row],[TYPE]]="VIP",20*DATA[[#This Row],[STORAGE DAYS]],13*DATA[[#This Row],[STORAGE DAYS]]))</f>
        <v>1378</v>
      </c>
      <c r="S8" s="71" t="str">
        <f>IF(ISBLANK(DATA[[#This Row],[COLDROOM RECEIPT]]), "IN CUSTODY", "DISCHARGED")</f>
        <v>DISCHARGED</v>
      </c>
      <c r="T8" s="58">
        <f>COUNTA(A:A)-2</f>
        <v>419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9.5" hidden="1">
      <c r="A9" s="152" t="s">
        <v>129</v>
      </c>
      <c r="B9" s="151" t="s">
        <v>130</v>
      </c>
      <c r="C9" s="151">
        <v>36</v>
      </c>
      <c r="D9" s="152" t="s">
        <v>11</v>
      </c>
      <c r="E9" s="152" t="s">
        <v>131</v>
      </c>
      <c r="F9" s="153">
        <v>247916087</v>
      </c>
      <c r="G9" s="152" t="s">
        <v>13</v>
      </c>
      <c r="H9" s="154">
        <v>0.33263888888888887</v>
      </c>
      <c r="I9" s="152" t="s">
        <v>18</v>
      </c>
      <c r="J9" s="155">
        <v>45522</v>
      </c>
      <c r="K9" s="155">
        <v>45535</v>
      </c>
      <c r="L9" s="151">
        <f>IF(ISBLANK(DATA[[#This Row],[DISCHARGE DATE]]),"NO DATE", DATA[[#This Row],[DISCHARGE DATE]]-DATA[[#This Row],[ADMISSION DATE]]+1)</f>
        <v>14</v>
      </c>
      <c r="M9" s="156">
        <v>350</v>
      </c>
      <c r="N9" s="156">
        <v>182</v>
      </c>
      <c r="O9" s="157" t="s">
        <v>132</v>
      </c>
      <c r="P9" s="157" t="s">
        <v>109</v>
      </c>
      <c r="Q9" s="158">
        <f>IF(DATA[[#This Row],[STORAGE FEE]]=0,"NULL",DATA[[#This Row],[COLDROOM FEE]])-DATA[[#This Row],[STORAGE FEE]]</f>
        <v>0</v>
      </c>
      <c r="R9" s="158">
        <f>IF(ISBLANK(DATA[[#This Row],[DISCHARGE DATE]]),0,IF(DATA[[#This Row],[TYPE]]="VIP",20*DATA[[#This Row],[STORAGE DAYS]],13*DATA[[#This Row],[STORAGE DAYS]]))</f>
        <v>182</v>
      </c>
      <c r="S9" s="71" t="str">
        <f>IF(ISBLANK(DATA[[#This Row],[COLDROOM RECEIPT]]), "IN CUSTODY", "DISCHARGED")</f>
        <v>DISCHARGED</v>
      </c>
      <c r="T9" s="58">
        <f>COUNTA(A:A)-2</f>
        <v>419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9.5" hidden="1">
      <c r="A10" s="152" t="s">
        <v>133</v>
      </c>
      <c r="B10" s="151" t="s">
        <v>134</v>
      </c>
      <c r="C10" s="151">
        <v>82</v>
      </c>
      <c r="D10" s="152" t="s">
        <v>12</v>
      </c>
      <c r="E10" s="152" t="s">
        <v>135</v>
      </c>
      <c r="F10" s="153">
        <v>241282104</v>
      </c>
      <c r="G10" s="152" t="s">
        <v>16</v>
      </c>
      <c r="H10" s="154">
        <v>0.23958333333333334</v>
      </c>
      <c r="I10" s="152" t="s">
        <v>18</v>
      </c>
      <c r="J10" s="155">
        <v>45524</v>
      </c>
      <c r="K10" s="155">
        <v>45723</v>
      </c>
      <c r="L10" s="151">
        <f>IF(ISBLANK(DATA[[#This Row],[DISCHARGE DATE]]),"NO DATE", DATA[[#This Row],[DISCHARGE DATE]]-DATA[[#This Row],[ADMISSION DATE]]+1)</f>
        <v>200</v>
      </c>
      <c r="M10" s="156">
        <v>350</v>
      </c>
      <c r="N10" s="156">
        <v>2600</v>
      </c>
      <c r="O10" s="157" t="s">
        <v>136</v>
      </c>
      <c r="P10" s="157" t="s">
        <v>137</v>
      </c>
      <c r="Q10" s="158">
        <f>IF(DATA[[#This Row],[STORAGE FEE]]=0,"NULL",DATA[[#This Row],[COLDROOM FEE]])-DATA[[#This Row],[STORAGE FEE]]</f>
        <v>0</v>
      </c>
      <c r="R10" s="158">
        <f>IF(ISBLANK(DATA[[#This Row],[DISCHARGE DATE]]),0,IF(DATA[[#This Row],[TYPE]]="VIP",20*DATA[[#This Row],[STORAGE DAYS]],13*DATA[[#This Row],[STORAGE DAYS]]))</f>
        <v>2600</v>
      </c>
      <c r="S10" s="71" t="str">
        <f>IF(ISBLANK(DATA[[#This Row],[COLDROOM RECEIPT]]), "IN CUSTODY", "DISCHARGED")</f>
        <v>DISCHARGED</v>
      </c>
      <c r="T10" s="58">
        <f>COUNTA(A:A)-2</f>
        <v>419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9.5" hidden="1">
      <c r="A11" s="152" t="s">
        <v>138</v>
      </c>
      <c r="B11" s="151" t="s">
        <v>139</v>
      </c>
      <c r="C11" s="151">
        <v>86</v>
      </c>
      <c r="D11" s="152" t="s">
        <v>12</v>
      </c>
      <c r="E11" s="152" t="s">
        <v>140</v>
      </c>
      <c r="F11" s="153">
        <v>241406611</v>
      </c>
      <c r="G11" s="152" t="s">
        <v>13</v>
      </c>
      <c r="H11" s="154">
        <v>0.53125</v>
      </c>
      <c r="I11" s="152" t="s">
        <v>18</v>
      </c>
      <c r="J11" s="155">
        <v>45529</v>
      </c>
      <c r="K11" s="155">
        <v>45625</v>
      </c>
      <c r="L11" s="151">
        <f>IF(ISBLANK(DATA[[#This Row],[DISCHARGE DATE]]),"NO DATE", DATA[[#This Row],[DISCHARGE DATE]]-DATA[[#This Row],[ADMISSION DATE]]+1)</f>
        <v>97</v>
      </c>
      <c r="M11" s="156">
        <v>350</v>
      </c>
      <c r="N11" s="156">
        <v>1261</v>
      </c>
      <c r="O11" s="157" t="s">
        <v>141</v>
      </c>
      <c r="P11" s="157" t="s">
        <v>142</v>
      </c>
      <c r="Q11" s="158">
        <f>IF(DATA[[#This Row],[STORAGE FEE]]=0,"NULL",DATA[[#This Row],[COLDROOM FEE]])-DATA[[#This Row],[STORAGE FEE]]</f>
        <v>0</v>
      </c>
      <c r="R11" s="158">
        <f>IF(ISBLANK(DATA[[#This Row],[DISCHARGE DATE]]),0,IF(DATA[[#This Row],[TYPE]]="VIP",20*DATA[[#This Row],[STORAGE DAYS]],13*DATA[[#This Row],[STORAGE DAYS]]))</f>
        <v>1261</v>
      </c>
      <c r="S11" s="71" t="str">
        <f>IF(ISBLANK(DATA[[#This Row],[COLDROOM RECEIPT]]), "IN CUSTODY", "DISCHARGED")</f>
        <v>DISCHARGED</v>
      </c>
      <c r="T11" s="58">
        <f>COUNTA(A:A)-2</f>
        <v>419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9.5" hidden="1">
      <c r="A12" s="152" t="s">
        <v>143</v>
      </c>
      <c r="B12" s="151" t="s">
        <v>144</v>
      </c>
      <c r="C12" s="151">
        <v>67</v>
      </c>
      <c r="D12" s="152" t="s">
        <v>11</v>
      </c>
      <c r="E12" s="152" t="s">
        <v>145</v>
      </c>
      <c r="F12" s="153">
        <v>247422898</v>
      </c>
      <c r="G12" s="152" t="s">
        <v>13</v>
      </c>
      <c r="H12" s="154">
        <v>0.61944444444444446</v>
      </c>
      <c r="I12" s="152" t="s">
        <v>18</v>
      </c>
      <c r="J12" s="155">
        <v>45532</v>
      </c>
      <c r="K12" s="155">
        <v>45744</v>
      </c>
      <c r="L12" s="151">
        <f>IF(ISBLANK(DATA[[#This Row],[DISCHARGE DATE]]),"NO DATE", DATA[[#This Row],[DISCHARGE DATE]]-DATA[[#This Row],[ADMISSION DATE]]+1)</f>
        <v>213</v>
      </c>
      <c r="M12" s="156">
        <v>350</v>
      </c>
      <c r="N12" s="156">
        <v>2769</v>
      </c>
      <c r="O12" s="157" t="s">
        <v>146</v>
      </c>
      <c r="P12" s="157" t="s">
        <v>147</v>
      </c>
      <c r="Q12" s="158">
        <f>IF(DATA[[#This Row],[STORAGE FEE]]=0,"NULL",DATA[[#This Row],[COLDROOM FEE]])-DATA[[#This Row],[STORAGE FEE]]</f>
        <v>0</v>
      </c>
      <c r="R12" s="158">
        <f>IF(ISBLANK(DATA[[#This Row],[DISCHARGE DATE]]),0,IF(DATA[[#This Row],[TYPE]]="VIP",20*DATA[[#This Row],[STORAGE DAYS]],13*DATA[[#This Row],[STORAGE DAYS]]))</f>
        <v>2769</v>
      </c>
      <c r="S12" s="71" t="str">
        <f>IF(ISBLANK(DATA[[#This Row],[COLDROOM RECEIPT]]), "IN CUSTODY", "DISCHARGED")</f>
        <v>DISCHARGED</v>
      </c>
      <c r="T12" s="58">
        <f>COUNTA(A:A)-2</f>
        <v>419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9.5" hidden="1">
      <c r="A13" s="152" t="s">
        <v>148</v>
      </c>
      <c r="B13" s="151" t="s">
        <v>149</v>
      </c>
      <c r="C13" s="151">
        <v>60</v>
      </c>
      <c r="D13" s="152" t="s">
        <v>11</v>
      </c>
      <c r="E13" s="152" t="s">
        <v>150</v>
      </c>
      <c r="F13" s="153">
        <v>244658173</v>
      </c>
      <c r="G13" s="152" t="s">
        <v>16</v>
      </c>
      <c r="H13" s="154">
        <v>0.89930555555555558</v>
      </c>
      <c r="I13" s="152" t="s">
        <v>18</v>
      </c>
      <c r="J13" s="155">
        <v>45532</v>
      </c>
      <c r="K13" s="155">
        <v>45772</v>
      </c>
      <c r="L13" s="151">
        <f>IF(ISBLANK(DATA[[#This Row],[DISCHARGE DATE]]),"NO DATE", DATA[[#This Row],[DISCHARGE DATE]]-DATA[[#This Row],[ADMISSION DATE]]+1)</f>
        <v>241</v>
      </c>
      <c r="M13" s="156">
        <v>350</v>
      </c>
      <c r="N13" s="156">
        <v>3133</v>
      </c>
      <c r="O13" s="157" t="s">
        <v>110</v>
      </c>
      <c r="P13" s="157" t="s">
        <v>151</v>
      </c>
      <c r="Q13" s="158">
        <f>IF(DATA[[#This Row],[STORAGE FEE]]=0,"NULL",DATA[[#This Row],[COLDROOM FEE]])-DATA[[#This Row],[STORAGE FEE]]</f>
        <v>0</v>
      </c>
      <c r="R13" s="158">
        <f>IF(ISBLANK(DATA[[#This Row],[DISCHARGE DATE]]),0,IF(DATA[[#This Row],[TYPE]]="VIP",20*DATA[[#This Row],[STORAGE DAYS]],13*DATA[[#This Row],[STORAGE DAYS]]))</f>
        <v>3133</v>
      </c>
      <c r="S13" s="71" t="str">
        <f>IF(ISBLANK(DATA[[#This Row],[COLDROOM RECEIPT]]), "IN CUSTODY", "DISCHARGED")</f>
        <v>DISCHARGED</v>
      </c>
      <c r="T13" s="58">
        <f>COUNTA(A:A)-2</f>
        <v>419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19.5" hidden="1">
      <c r="A14" s="152" t="s">
        <v>152</v>
      </c>
      <c r="B14" s="151" t="s">
        <v>153</v>
      </c>
      <c r="C14" s="151">
        <v>66</v>
      </c>
      <c r="D14" s="152" t="s">
        <v>12</v>
      </c>
      <c r="E14" s="152" t="s">
        <v>154</v>
      </c>
      <c r="F14" s="153">
        <v>537288927</v>
      </c>
      <c r="G14" s="152" t="s">
        <v>13</v>
      </c>
      <c r="H14" s="154">
        <v>0.61458333333333337</v>
      </c>
      <c r="I14" s="152" t="s">
        <v>18</v>
      </c>
      <c r="J14" s="155">
        <v>45534</v>
      </c>
      <c r="K14" s="155">
        <v>45597</v>
      </c>
      <c r="L14" s="151">
        <f>IF(ISBLANK(DATA[[#This Row],[DISCHARGE DATE]]),"NO DATE", DATA[[#This Row],[DISCHARGE DATE]]-DATA[[#This Row],[ADMISSION DATE]]+1)</f>
        <v>64</v>
      </c>
      <c r="M14" s="156">
        <v>350</v>
      </c>
      <c r="N14" s="156">
        <v>832</v>
      </c>
      <c r="O14" s="157" t="s">
        <v>155</v>
      </c>
      <c r="P14" s="157" t="s">
        <v>155</v>
      </c>
      <c r="Q14" s="158">
        <f>IF(DATA[[#This Row],[STORAGE FEE]]=0,"NULL",DATA[[#This Row],[COLDROOM FEE]])-DATA[[#This Row],[STORAGE FEE]]</f>
        <v>0</v>
      </c>
      <c r="R14" s="158">
        <f>IF(ISBLANK(DATA[[#This Row],[DISCHARGE DATE]]),0,IF(DATA[[#This Row],[TYPE]]="VIP",20*DATA[[#This Row],[STORAGE DAYS]],13*DATA[[#This Row],[STORAGE DAYS]]))</f>
        <v>832</v>
      </c>
      <c r="S14" s="71" t="str">
        <f>IF(ISBLANK(DATA[[#This Row],[COLDROOM RECEIPT]]), "IN CUSTODY", "DISCHARGED")</f>
        <v>DISCHARGED</v>
      </c>
      <c r="T14" s="58">
        <f>COUNTA(A:A)-2</f>
        <v>419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19.5" hidden="1">
      <c r="A15" s="152" t="s">
        <v>156</v>
      </c>
      <c r="B15" s="151" t="s">
        <v>157</v>
      </c>
      <c r="C15" s="151">
        <v>56</v>
      </c>
      <c r="D15" s="152" t="s">
        <v>12</v>
      </c>
      <c r="E15" s="152" t="s">
        <v>158</v>
      </c>
      <c r="F15" s="153">
        <v>249016355</v>
      </c>
      <c r="G15" s="152" t="s">
        <v>17</v>
      </c>
      <c r="H15" s="154">
        <v>0.43055555555555558</v>
      </c>
      <c r="I15" s="152" t="s">
        <v>18</v>
      </c>
      <c r="J15" s="155">
        <v>45536</v>
      </c>
      <c r="K15" s="155">
        <v>45625</v>
      </c>
      <c r="L15" s="151">
        <f>IF(ISBLANK(DATA[[#This Row],[DISCHARGE DATE]]),"NO DATE", DATA[[#This Row],[DISCHARGE DATE]]-DATA[[#This Row],[ADMISSION DATE]]+1)</f>
        <v>90</v>
      </c>
      <c r="M15" s="156">
        <v>350</v>
      </c>
      <c r="N15" s="156">
        <v>1170</v>
      </c>
      <c r="O15" s="157" t="s">
        <v>123</v>
      </c>
      <c r="P15" s="157" t="s">
        <v>159</v>
      </c>
      <c r="Q15" s="158">
        <f>IF(DATA[[#This Row],[STORAGE FEE]]=0,"NULL",DATA[[#This Row],[COLDROOM FEE]])-DATA[[#This Row],[STORAGE FEE]]</f>
        <v>0</v>
      </c>
      <c r="R15" s="158">
        <f>IF(ISBLANK(DATA[[#This Row],[DISCHARGE DATE]]),0,IF(DATA[[#This Row],[TYPE]]="VIP",20*DATA[[#This Row],[STORAGE DAYS]],13*DATA[[#This Row],[STORAGE DAYS]]))</f>
        <v>1170</v>
      </c>
      <c r="S15" s="71" t="str">
        <f>IF(ISBLANK(DATA[[#This Row],[COLDROOM RECEIPT]]), "IN CUSTODY", "DISCHARGED")</f>
        <v>DISCHARGED</v>
      </c>
      <c r="T15" s="58">
        <f>COUNTA(A:A)-2</f>
        <v>419</v>
      </c>
      <c r="U15" s="59">
        <f>YEAR(DATA[[#This Row],[ADMISSION DATE]])</f>
        <v>2024</v>
      </c>
      <c r="V15" s="60" t="str">
        <f>TEXT(DATA[[#This Row],[ADMISSION DATE]],"mmm")</f>
        <v>Sep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19.5" hidden="1">
      <c r="A16" s="152" t="s">
        <v>160</v>
      </c>
      <c r="B16" s="151" t="s">
        <v>161</v>
      </c>
      <c r="C16" s="151">
        <v>45</v>
      </c>
      <c r="D16" s="152" t="s">
        <v>12</v>
      </c>
      <c r="E16" s="152" t="s">
        <v>162</v>
      </c>
      <c r="F16" s="153">
        <v>538512798</v>
      </c>
      <c r="G16" s="152" t="s">
        <v>15</v>
      </c>
      <c r="H16" s="154">
        <v>0.73611111111111116</v>
      </c>
      <c r="I16" s="152" t="s">
        <v>18</v>
      </c>
      <c r="J16" s="155">
        <v>45538</v>
      </c>
      <c r="K16" s="155">
        <v>45744</v>
      </c>
      <c r="L16" s="151">
        <f>IF(ISBLANK(DATA[[#This Row],[DISCHARGE DATE]]),"NO DATE", DATA[[#This Row],[DISCHARGE DATE]]-DATA[[#This Row],[ADMISSION DATE]]+1)</f>
        <v>207</v>
      </c>
      <c r="M16" s="156">
        <v>350</v>
      </c>
      <c r="N16" s="156">
        <v>2691</v>
      </c>
      <c r="O16" s="157" t="s">
        <v>163</v>
      </c>
      <c r="P16" s="157" t="s">
        <v>164</v>
      </c>
      <c r="Q16" s="158">
        <f>IF(DATA[[#This Row],[STORAGE FEE]]=0,"NULL",DATA[[#This Row],[COLDROOM FEE]])-DATA[[#This Row],[STORAGE FEE]]</f>
        <v>0</v>
      </c>
      <c r="R16" s="158">
        <f>IF(ISBLANK(DATA[[#This Row],[DISCHARGE DATE]]),0,IF(DATA[[#This Row],[TYPE]]="VIP",20*DATA[[#This Row],[STORAGE DAYS]],13*DATA[[#This Row],[STORAGE DAYS]]))</f>
        <v>2691</v>
      </c>
      <c r="S16" s="71" t="str">
        <f>IF(ISBLANK(DATA[[#This Row],[COLDROOM RECEIPT]]), "IN CUSTODY", "DISCHARGED")</f>
        <v>DISCHARGED</v>
      </c>
      <c r="T16" s="58">
        <f>COUNTA(A:A)-2</f>
        <v>419</v>
      </c>
      <c r="U16" s="59">
        <f>YEAR(DATA[[#This Row],[ADMISSION DATE]])</f>
        <v>2024</v>
      </c>
      <c r="V16" s="60" t="str">
        <f>TEXT(DATA[[#This Row],[ADMISSION DATE]],"mmm")</f>
        <v>Sep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19.5" hidden="1">
      <c r="A17" s="152" t="s">
        <v>165</v>
      </c>
      <c r="B17" s="151" t="s">
        <v>166</v>
      </c>
      <c r="C17" s="151">
        <v>31</v>
      </c>
      <c r="D17" s="152" t="s">
        <v>12</v>
      </c>
      <c r="E17" s="152" t="s">
        <v>167</v>
      </c>
      <c r="F17" s="153">
        <v>541731399</v>
      </c>
      <c r="G17" s="152" t="s">
        <v>13</v>
      </c>
      <c r="H17" s="154">
        <v>0.61250000000000004</v>
      </c>
      <c r="I17" s="152" t="s">
        <v>18</v>
      </c>
      <c r="J17" s="155">
        <v>45539</v>
      </c>
      <c r="K17" s="155">
        <v>45625</v>
      </c>
      <c r="L17" s="151">
        <f>IF(ISBLANK(DATA[[#This Row],[DISCHARGE DATE]]),"NO DATE", DATA[[#This Row],[DISCHARGE DATE]]-DATA[[#This Row],[ADMISSION DATE]]+1)</f>
        <v>87</v>
      </c>
      <c r="M17" s="156">
        <v>350</v>
      </c>
      <c r="N17" s="156">
        <v>1131</v>
      </c>
      <c r="O17" s="157" t="s">
        <v>168</v>
      </c>
      <c r="P17" s="157" t="s">
        <v>169</v>
      </c>
      <c r="Q17" s="158">
        <f>IF(DATA[[#This Row],[STORAGE FEE]]=0,"NULL",DATA[[#This Row],[COLDROOM FEE]])-DATA[[#This Row],[STORAGE FEE]]</f>
        <v>0</v>
      </c>
      <c r="R17" s="158">
        <f>IF(ISBLANK(DATA[[#This Row],[DISCHARGE DATE]]),0,IF(DATA[[#This Row],[TYPE]]="VIP",20*DATA[[#This Row],[STORAGE DAYS]],13*DATA[[#This Row],[STORAGE DAYS]]))</f>
        <v>1131</v>
      </c>
      <c r="S17" s="71" t="str">
        <f>IF(ISBLANK(DATA[[#This Row],[COLDROOM RECEIPT]]), "IN CUSTODY", "DISCHARGED")</f>
        <v>DISCHARGED</v>
      </c>
      <c r="T17" s="58">
        <f>COUNTA(A:A)-2</f>
        <v>419</v>
      </c>
      <c r="U17" s="59">
        <f>YEAR(DATA[[#This Row],[ADMISSION DATE]])</f>
        <v>2024</v>
      </c>
      <c r="V17" s="60" t="str">
        <f>TEXT(DATA[[#This Row],[ADMISSION DATE]],"mmm")</f>
        <v>Sep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19.5" hidden="1">
      <c r="A18" s="152" t="s">
        <v>170</v>
      </c>
      <c r="B18" s="151" t="s">
        <v>171</v>
      </c>
      <c r="C18" s="151">
        <v>37</v>
      </c>
      <c r="D18" s="152" t="s">
        <v>12</v>
      </c>
      <c r="E18" s="152" t="s">
        <v>172</v>
      </c>
      <c r="F18" s="153">
        <v>242348436</v>
      </c>
      <c r="G18" s="152" t="s">
        <v>13</v>
      </c>
      <c r="H18" s="154">
        <v>0.72916666666666663</v>
      </c>
      <c r="I18" s="152" t="s">
        <v>18</v>
      </c>
      <c r="J18" s="155">
        <v>45537</v>
      </c>
      <c r="K18" s="155">
        <v>45597</v>
      </c>
      <c r="L18" s="151">
        <f>IF(ISBLANK(DATA[[#This Row],[DISCHARGE DATE]]),"NO DATE", DATA[[#This Row],[DISCHARGE DATE]]-DATA[[#This Row],[ADMISSION DATE]]+1)</f>
        <v>61</v>
      </c>
      <c r="M18" s="156">
        <v>350</v>
      </c>
      <c r="N18" s="156">
        <v>793</v>
      </c>
      <c r="O18" s="157" t="s">
        <v>169</v>
      </c>
      <c r="P18" s="157" t="s">
        <v>136</v>
      </c>
      <c r="Q18" s="158">
        <f>IF(DATA[[#This Row],[STORAGE FEE]]=0,"NULL",DATA[[#This Row],[COLDROOM FEE]])-DATA[[#This Row],[STORAGE FEE]]</f>
        <v>0</v>
      </c>
      <c r="R18" s="158">
        <f>IF(ISBLANK(DATA[[#This Row],[DISCHARGE DATE]]),0,IF(DATA[[#This Row],[TYPE]]="VIP",20*DATA[[#This Row],[STORAGE DAYS]],13*DATA[[#This Row],[STORAGE DAYS]]))</f>
        <v>793</v>
      </c>
      <c r="S18" s="71" t="str">
        <f>IF(ISBLANK(DATA[[#This Row],[COLDROOM RECEIPT]]), "IN CUSTODY", "DISCHARGED")</f>
        <v>DISCHARGED</v>
      </c>
      <c r="T18" s="58">
        <f>COUNTA(A:A)-2</f>
        <v>419</v>
      </c>
      <c r="U18" s="59">
        <f>YEAR(DATA[[#This Row],[ADMISSION DATE]])</f>
        <v>2024</v>
      </c>
      <c r="V18" s="60" t="str">
        <f>TEXT(DATA[[#This Row],[ADMISSION DATE]],"mmm")</f>
        <v>Sep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19.5" hidden="1">
      <c r="A19" s="152" t="s">
        <v>173</v>
      </c>
      <c r="B19" s="151" t="s">
        <v>174</v>
      </c>
      <c r="C19" s="151">
        <v>78</v>
      </c>
      <c r="D19" s="152" t="s">
        <v>12</v>
      </c>
      <c r="E19" s="152" t="s">
        <v>175</v>
      </c>
      <c r="F19" s="153">
        <v>242089665</v>
      </c>
      <c r="G19" s="152" t="s">
        <v>13</v>
      </c>
      <c r="H19" s="154">
        <v>0.41666666666666669</v>
      </c>
      <c r="I19" s="152" t="s">
        <v>18</v>
      </c>
      <c r="J19" s="155">
        <v>45543</v>
      </c>
      <c r="K19" s="155">
        <v>45597</v>
      </c>
      <c r="L19" s="151">
        <f>IF(ISBLANK(DATA[[#This Row],[DISCHARGE DATE]]),"NO DATE", DATA[[#This Row],[DISCHARGE DATE]]-DATA[[#This Row],[ADMISSION DATE]]+1)</f>
        <v>55</v>
      </c>
      <c r="M19" s="156">
        <v>350</v>
      </c>
      <c r="N19" s="156">
        <v>715</v>
      </c>
      <c r="O19" s="157" t="s">
        <v>159</v>
      </c>
      <c r="P19" s="157" t="s">
        <v>127</v>
      </c>
      <c r="Q19" s="158">
        <f>IF(DATA[[#This Row],[STORAGE FEE]]=0,"NULL",DATA[[#This Row],[COLDROOM FEE]])-DATA[[#This Row],[STORAGE FEE]]</f>
        <v>0</v>
      </c>
      <c r="R19" s="158">
        <f>IF(ISBLANK(DATA[[#This Row],[DISCHARGE DATE]]),0,IF(DATA[[#This Row],[TYPE]]="VIP",20*DATA[[#This Row],[STORAGE DAYS]],13*DATA[[#This Row],[STORAGE DAYS]]))</f>
        <v>715</v>
      </c>
      <c r="S19" s="71" t="str">
        <f>IF(ISBLANK(DATA[[#This Row],[COLDROOM RECEIPT]]), "IN CUSTODY", "DISCHARGED")</f>
        <v>DISCHARGED</v>
      </c>
      <c r="T19" s="58">
        <f>COUNTA(A:A)-2</f>
        <v>419</v>
      </c>
      <c r="U19" s="59">
        <f>YEAR(DATA[[#This Row],[ADMISSION DATE]])</f>
        <v>2024</v>
      </c>
      <c r="V19" s="60" t="str">
        <f>TEXT(DATA[[#This Row],[ADMISSION DATE]],"mmm")</f>
        <v>Sep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19.5" hidden="1">
      <c r="A20" s="152" t="s">
        <v>176</v>
      </c>
      <c r="B20" s="151" t="s">
        <v>177</v>
      </c>
      <c r="C20" s="151">
        <v>75</v>
      </c>
      <c r="D20" s="152" t="s">
        <v>11</v>
      </c>
      <c r="E20" s="152" t="s">
        <v>178</v>
      </c>
      <c r="F20" s="153">
        <v>243672593</v>
      </c>
      <c r="G20" s="152" t="s">
        <v>13</v>
      </c>
      <c r="H20" s="154">
        <v>0.6875</v>
      </c>
      <c r="I20" s="152" t="s">
        <v>18</v>
      </c>
      <c r="J20" s="155">
        <v>45543</v>
      </c>
      <c r="K20" s="155">
        <v>45772</v>
      </c>
      <c r="L20" s="151">
        <f>IF(ISBLANK(DATA[[#This Row],[DISCHARGE DATE]]),"NO DATE", DATA[[#This Row],[DISCHARGE DATE]]-DATA[[#This Row],[ADMISSION DATE]]+1)</f>
        <v>230</v>
      </c>
      <c r="M20" s="156">
        <v>350</v>
      </c>
      <c r="N20" s="156">
        <v>2990</v>
      </c>
      <c r="O20" s="157" t="s">
        <v>142</v>
      </c>
      <c r="P20" s="157" t="s">
        <v>179</v>
      </c>
      <c r="Q20" s="158">
        <f>IF(DATA[[#This Row],[STORAGE FEE]]=0,"NULL",DATA[[#This Row],[COLDROOM FEE]])-DATA[[#This Row],[STORAGE FEE]]</f>
        <v>0</v>
      </c>
      <c r="R20" s="158">
        <f>IF(ISBLANK(DATA[[#This Row],[DISCHARGE DATE]]),0,IF(DATA[[#This Row],[TYPE]]="VIP",20*DATA[[#This Row],[STORAGE DAYS]],13*DATA[[#This Row],[STORAGE DAYS]]))</f>
        <v>2990</v>
      </c>
      <c r="S20" s="71" t="str">
        <f>IF(ISBLANK(DATA[[#This Row],[COLDROOM RECEIPT]]), "IN CUSTODY", "DISCHARGED")</f>
        <v>DISCHARGED</v>
      </c>
      <c r="T20" s="58">
        <f>COUNTA(A:A)-2</f>
        <v>419</v>
      </c>
      <c r="U20" s="59">
        <f>YEAR(DATA[[#This Row],[ADMISSION DATE]])</f>
        <v>2024</v>
      </c>
      <c r="V20" s="60" t="str">
        <f>TEXT(DATA[[#This Row],[ADMISSION DATE]],"mmm")</f>
        <v>Sep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s="27" customFormat="1" ht="19.5" hidden="1">
      <c r="A21" s="152" t="s">
        <v>180</v>
      </c>
      <c r="B21" s="151" t="s">
        <v>181</v>
      </c>
      <c r="C21" s="151">
        <v>77</v>
      </c>
      <c r="D21" s="152" t="s">
        <v>12</v>
      </c>
      <c r="E21" s="152" t="s">
        <v>182</v>
      </c>
      <c r="F21" s="153">
        <v>243919853</v>
      </c>
      <c r="G21" s="152" t="s">
        <v>13</v>
      </c>
      <c r="H21" s="154">
        <v>0.27083333333333331</v>
      </c>
      <c r="I21" s="152" t="s">
        <v>18</v>
      </c>
      <c r="J21" s="155">
        <v>45545</v>
      </c>
      <c r="K21" s="155">
        <v>45807</v>
      </c>
      <c r="L21" s="151">
        <f>IF(ISBLANK(DATA[[#This Row],[DISCHARGE DATE]]),"NO DATE", DATA[[#This Row],[DISCHARGE DATE]]-DATA[[#This Row],[ADMISSION DATE]]+1)</f>
        <v>263</v>
      </c>
      <c r="M21" s="156">
        <v>350</v>
      </c>
      <c r="N21" s="156">
        <v>3419</v>
      </c>
      <c r="O21" s="157" t="s">
        <v>183</v>
      </c>
      <c r="P21" s="157" t="s">
        <v>184</v>
      </c>
      <c r="Q21" s="158">
        <f>IF(DATA[[#This Row],[STORAGE FEE]]=0,"NULL",DATA[[#This Row],[COLDROOM FEE]])-DATA[[#This Row],[STORAGE FEE]]</f>
        <v>0</v>
      </c>
      <c r="R21" s="158">
        <f>IF(ISBLANK(DATA[[#This Row],[DISCHARGE DATE]]),0,IF(DATA[[#This Row],[TYPE]]="VIP",20*DATA[[#This Row],[STORAGE DAYS]],13*DATA[[#This Row],[STORAGE DAYS]]))</f>
        <v>3419</v>
      </c>
      <c r="S21" s="71" t="str">
        <f>IF(ISBLANK(DATA[[#This Row],[COLDROOM RECEIPT]]), "IN CUSTODY", "DISCHARGED")</f>
        <v>DISCHARGED</v>
      </c>
      <c r="T21" s="58">
        <f>COUNTA(A:A)-2</f>
        <v>419</v>
      </c>
      <c r="U21" s="59">
        <f>YEAR(DATA[[#This Row],[ADMISSION DATE]])</f>
        <v>2024</v>
      </c>
      <c r="V21" s="60" t="str">
        <f>TEXT(DATA[[#This Row],[ADMISSION DATE]],"mmm")</f>
        <v>Sep</v>
      </c>
      <c r="W21" s="59">
        <f>YEAR(DATA[[#This Row],[DISCHARGE DATE]])</f>
        <v>2025</v>
      </c>
      <c r="X21" s="60" t="str">
        <f>TEXT(DATA[[#This Row],[DISCHARGE DATE]],"mmm")</f>
        <v>May</v>
      </c>
    </row>
    <row r="22" spans="1:24" s="27" customFormat="1" ht="19.5" hidden="1">
      <c r="A22" s="152" t="s">
        <v>185</v>
      </c>
      <c r="B22" s="151" t="s">
        <v>186</v>
      </c>
      <c r="C22" s="151">
        <v>45</v>
      </c>
      <c r="D22" s="152" t="s">
        <v>11</v>
      </c>
      <c r="E22" s="152" t="s">
        <v>187</v>
      </c>
      <c r="F22" s="153">
        <v>241621310</v>
      </c>
      <c r="G22" s="152" t="s">
        <v>19</v>
      </c>
      <c r="H22" s="154">
        <v>0.83333333333333337</v>
      </c>
      <c r="I22" s="152" t="s">
        <v>18</v>
      </c>
      <c r="J22" s="155">
        <v>45544</v>
      </c>
      <c r="K22" s="155">
        <v>45562</v>
      </c>
      <c r="L22" s="151">
        <f>IF(ISBLANK(DATA[[#This Row],[DISCHARGE DATE]]),"NO DATE", DATA[[#This Row],[DISCHARGE DATE]]-DATA[[#This Row],[ADMISSION DATE]]+1)</f>
        <v>19</v>
      </c>
      <c r="M22" s="156">
        <v>350</v>
      </c>
      <c r="N22" s="156">
        <v>247</v>
      </c>
      <c r="O22" s="157" t="s">
        <v>188</v>
      </c>
      <c r="P22" s="157" t="s">
        <v>122</v>
      </c>
      <c r="Q22" s="158">
        <f>IF(DATA[[#This Row],[STORAGE FEE]]=0,"NULL",DATA[[#This Row],[COLDROOM FEE]])-DATA[[#This Row],[STORAGE FEE]]</f>
        <v>0</v>
      </c>
      <c r="R22" s="158">
        <f>IF(ISBLANK(DATA[[#This Row],[DISCHARGE DATE]]),0,IF(DATA[[#This Row],[TYPE]]="VIP",20*DATA[[#This Row],[STORAGE DAYS]],13*DATA[[#This Row],[STORAGE DAYS]]))</f>
        <v>247</v>
      </c>
      <c r="S22" s="71" t="str">
        <f>IF(ISBLANK(DATA[[#This Row],[COLDROOM RECEIPT]]), "IN CUSTODY", "DISCHARGED")</f>
        <v>DISCHARGED</v>
      </c>
      <c r="T22" s="58">
        <f>COUNTA(A:A)-2</f>
        <v>419</v>
      </c>
      <c r="U22" s="59">
        <f>YEAR(DATA[[#This Row],[ADMISSION DATE]])</f>
        <v>2024</v>
      </c>
      <c r="V22" s="60" t="str">
        <f>TEXT(DATA[[#This Row],[ADMISSION DATE]],"mmm")</f>
        <v>Sep</v>
      </c>
      <c r="W22" s="59">
        <f>YEAR(DATA[[#This Row],[DISCHARGE DATE]])</f>
        <v>2024</v>
      </c>
      <c r="X22" s="60" t="str">
        <f>TEXT(DATA[[#This Row],[DISCHARGE DATE]],"mmm")</f>
        <v>Sep</v>
      </c>
    </row>
    <row r="23" spans="1:24" s="27" customFormat="1" ht="19.5" hidden="1">
      <c r="A23" s="152" t="s">
        <v>189</v>
      </c>
      <c r="B23" s="151" t="s">
        <v>190</v>
      </c>
      <c r="C23" s="151">
        <v>73</v>
      </c>
      <c r="D23" s="152" t="s">
        <v>12</v>
      </c>
      <c r="E23" s="152" t="s">
        <v>191</v>
      </c>
      <c r="F23" s="153">
        <v>249942477</v>
      </c>
      <c r="G23" s="152" t="s">
        <v>15</v>
      </c>
      <c r="H23" s="154">
        <v>0.89583333333333337</v>
      </c>
      <c r="I23" s="152" t="s">
        <v>18</v>
      </c>
      <c r="J23" s="155">
        <v>45546</v>
      </c>
      <c r="K23" s="155">
        <v>45597</v>
      </c>
      <c r="L23" s="151">
        <f>IF(ISBLANK(DATA[[#This Row],[DISCHARGE DATE]]),"NO DATE", DATA[[#This Row],[DISCHARGE DATE]]-DATA[[#This Row],[ADMISSION DATE]]+1)</f>
        <v>52</v>
      </c>
      <c r="M23" s="156">
        <v>350</v>
      </c>
      <c r="N23" s="156">
        <v>676</v>
      </c>
      <c r="O23" s="157" t="s">
        <v>192</v>
      </c>
      <c r="P23" s="157" t="s">
        <v>141</v>
      </c>
      <c r="Q23" s="158">
        <f>IF(DATA[[#This Row],[STORAGE FEE]]=0,"NULL",DATA[[#This Row],[COLDROOM FEE]])-DATA[[#This Row],[STORAGE FEE]]</f>
        <v>0</v>
      </c>
      <c r="R23" s="158">
        <f>IF(ISBLANK(DATA[[#This Row],[DISCHARGE DATE]]),0,IF(DATA[[#This Row],[TYPE]]="VIP",20*DATA[[#This Row],[STORAGE DAYS]],13*DATA[[#This Row],[STORAGE DAYS]]))</f>
        <v>676</v>
      </c>
      <c r="S23" s="71" t="str">
        <f>IF(ISBLANK(DATA[[#This Row],[COLDROOM RECEIPT]]), "IN CUSTODY", "DISCHARGED")</f>
        <v>DISCHARGED</v>
      </c>
      <c r="T23" s="58">
        <f>COUNTA(A:A)-2</f>
        <v>419</v>
      </c>
      <c r="U23" s="59">
        <f>YEAR(DATA[[#This Row],[ADMISSION DATE]])</f>
        <v>2024</v>
      </c>
      <c r="V23" s="60" t="str">
        <f>TEXT(DATA[[#This Row],[ADMISSION DATE]],"mmm")</f>
        <v>Sep</v>
      </c>
      <c r="W23" s="59">
        <f>YEAR(DATA[[#This Row],[DISCHARGE DATE]])</f>
        <v>2024</v>
      </c>
      <c r="X23" s="60" t="str">
        <f>TEXT(DATA[[#This Row],[DISCHARGE DATE]],"mmm")</f>
        <v>Nov</v>
      </c>
    </row>
    <row r="24" spans="1:24" s="27" customFormat="1" ht="19.5" hidden="1">
      <c r="A24" s="152" t="s">
        <v>193</v>
      </c>
      <c r="B24" s="151" t="s">
        <v>194</v>
      </c>
      <c r="C24" s="151">
        <v>76</v>
      </c>
      <c r="D24" s="152" t="s">
        <v>12</v>
      </c>
      <c r="E24" s="152" t="s">
        <v>195</v>
      </c>
      <c r="F24" s="153">
        <v>547641510</v>
      </c>
      <c r="G24" s="152" t="s">
        <v>13</v>
      </c>
      <c r="H24" s="154">
        <v>0.72916666666666663</v>
      </c>
      <c r="I24" s="152" t="s">
        <v>18</v>
      </c>
      <c r="J24" s="155">
        <v>45546</v>
      </c>
      <c r="K24" s="155">
        <v>45625</v>
      </c>
      <c r="L24" s="151">
        <f>IF(ISBLANK(DATA[[#This Row],[DISCHARGE DATE]]),"NO DATE", DATA[[#This Row],[DISCHARGE DATE]]-DATA[[#This Row],[ADMISSION DATE]]+1)</f>
        <v>80</v>
      </c>
      <c r="M24" s="156">
        <v>350</v>
      </c>
      <c r="N24" s="156">
        <v>1040</v>
      </c>
      <c r="O24" s="157" t="s">
        <v>196</v>
      </c>
      <c r="P24" s="157" t="s">
        <v>188</v>
      </c>
      <c r="Q24" s="158">
        <f>IF(DATA[[#This Row],[STORAGE FEE]]=0,"NULL",DATA[[#This Row],[COLDROOM FEE]])-DATA[[#This Row],[STORAGE FEE]]</f>
        <v>0</v>
      </c>
      <c r="R24" s="158">
        <f>IF(ISBLANK(DATA[[#This Row],[DISCHARGE DATE]]),0,IF(DATA[[#This Row],[TYPE]]="VIP",20*DATA[[#This Row],[STORAGE DAYS]],13*DATA[[#This Row],[STORAGE DAYS]]))</f>
        <v>1040</v>
      </c>
      <c r="S24" s="71" t="str">
        <f>IF(ISBLANK(DATA[[#This Row],[COLDROOM RECEIPT]]), "IN CUSTODY", "DISCHARGED")</f>
        <v>DISCHARGED</v>
      </c>
      <c r="T24" s="58">
        <f>COUNTA(A:A)-2</f>
        <v>419</v>
      </c>
      <c r="U24" s="59">
        <f>YEAR(DATA[[#This Row],[ADMISSION DATE]])</f>
        <v>2024</v>
      </c>
      <c r="V24" s="60" t="str">
        <f>TEXT(DATA[[#This Row],[ADMISSION DATE]],"mmm")</f>
        <v>Sep</v>
      </c>
      <c r="W24" s="59">
        <f>YEAR(DATA[[#This Row],[DISCHARGE DATE]])</f>
        <v>2024</v>
      </c>
      <c r="X24" s="60" t="str">
        <f>TEXT(DATA[[#This Row],[DISCHARGE DATE]],"mmm")</f>
        <v>Nov</v>
      </c>
    </row>
    <row r="25" spans="1:24" s="27" customFormat="1" ht="19.5" hidden="1">
      <c r="A25" s="152" t="s">
        <v>197</v>
      </c>
      <c r="B25" s="151" t="s">
        <v>198</v>
      </c>
      <c r="C25" s="151">
        <v>53</v>
      </c>
      <c r="D25" s="152" t="s">
        <v>11</v>
      </c>
      <c r="E25" s="152" t="s">
        <v>199</v>
      </c>
      <c r="F25" s="153">
        <v>243625448</v>
      </c>
      <c r="G25" s="152" t="s">
        <v>13</v>
      </c>
      <c r="H25" s="154">
        <v>0.47222222222222221</v>
      </c>
      <c r="I25" s="152" t="s">
        <v>18</v>
      </c>
      <c r="J25" s="155">
        <v>45552</v>
      </c>
      <c r="K25" s="155">
        <v>45576</v>
      </c>
      <c r="L25" s="151">
        <f>IF(ISBLANK(DATA[[#This Row],[DISCHARGE DATE]]),"NO DATE", DATA[[#This Row],[DISCHARGE DATE]]-DATA[[#This Row],[ADMISSION DATE]]+1)</f>
        <v>25</v>
      </c>
      <c r="M25" s="156">
        <v>350</v>
      </c>
      <c r="N25" s="156">
        <v>325</v>
      </c>
      <c r="O25" s="157" t="s">
        <v>128</v>
      </c>
      <c r="P25" s="157" t="s">
        <v>132</v>
      </c>
      <c r="Q25" s="158">
        <f>IF(DATA[[#This Row],[STORAGE FEE]]=0,"NULL",DATA[[#This Row],[COLDROOM FEE]])-DATA[[#This Row],[STORAGE FEE]]</f>
        <v>0</v>
      </c>
      <c r="R25" s="158">
        <f>IF(ISBLANK(DATA[[#This Row],[DISCHARGE DATE]]),0,IF(DATA[[#This Row],[TYPE]]="VIP",20*DATA[[#This Row],[STORAGE DAYS]],13*DATA[[#This Row],[STORAGE DAYS]]))</f>
        <v>325</v>
      </c>
      <c r="S25" s="71" t="str">
        <f>IF(ISBLANK(DATA[[#This Row],[COLDROOM RECEIPT]]), "IN CUSTODY", "DISCHARGED")</f>
        <v>DISCHARGED</v>
      </c>
      <c r="T25" s="58">
        <f>COUNTA(A:A)-2</f>
        <v>419</v>
      </c>
      <c r="U25" s="59">
        <f>YEAR(DATA[[#This Row],[ADMISSION DATE]])</f>
        <v>2024</v>
      </c>
      <c r="V25" s="60" t="str">
        <f>TEXT(DATA[[#This Row],[ADMISSION DATE]],"mmm")</f>
        <v>Sep</v>
      </c>
      <c r="W25" s="59">
        <f>YEAR(DATA[[#This Row],[DISCHARGE DATE]])</f>
        <v>2024</v>
      </c>
      <c r="X25" s="60" t="str">
        <f>TEXT(DATA[[#This Row],[DISCHARGE DATE]],"mmm")</f>
        <v>Oct</v>
      </c>
    </row>
    <row r="26" spans="1:24" s="27" customFormat="1" ht="19.5" hidden="1">
      <c r="A26" s="152" t="s">
        <v>200</v>
      </c>
      <c r="B26" s="151" t="s">
        <v>201</v>
      </c>
      <c r="C26" s="151">
        <v>83</v>
      </c>
      <c r="D26" s="152" t="s">
        <v>12</v>
      </c>
      <c r="E26" s="152" t="s">
        <v>202</v>
      </c>
      <c r="F26" s="153">
        <v>553066025</v>
      </c>
      <c r="G26" s="152" t="s">
        <v>13</v>
      </c>
      <c r="H26" s="154">
        <v>0.77083333333333337</v>
      </c>
      <c r="I26" s="152" t="s">
        <v>18</v>
      </c>
      <c r="J26" s="155">
        <v>45552</v>
      </c>
      <c r="K26" s="155">
        <v>45625</v>
      </c>
      <c r="L26" s="151">
        <f>IF(ISBLANK(DATA[[#This Row],[DISCHARGE DATE]]),"NO DATE", DATA[[#This Row],[DISCHARGE DATE]]-DATA[[#This Row],[ADMISSION DATE]]+1)</f>
        <v>74</v>
      </c>
      <c r="M26" s="156">
        <v>350</v>
      </c>
      <c r="N26" s="156">
        <v>962</v>
      </c>
      <c r="O26" s="157" t="s">
        <v>203</v>
      </c>
      <c r="P26" s="157" t="s">
        <v>183</v>
      </c>
      <c r="Q26" s="158">
        <f>IF(DATA[[#This Row],[STORAGE FEE]]=0,"NULL",DATA[[#This Row],[COLDROOM FEE]])-DATA[[#This Row],[STORAGE FEE]]</f>
        <v>0</v>
      </c>
      <c r="R26" s="158">
        <f>IF(ISBLANK(DATA[[#This Row],[DISCHARGE DATE]]),0,IF(DATA[[#This Row],[TYPE]]="VIP",20*DATA[[#This Row],[STORAGE DAYS]],13*DATA[[#This Row],[STORAGE DAYS]]))</f>
        <v>962</v>
      </c>
      <c r="S26" s="71" t="str">
        <f>IF(ISBLANK(DATA[[#This Row],[COLDROOM RECEIPT]]), "IN CUSTODY", "DISCHARGED")</f>
        <v>DISCHARGED</v>
      </c>
      <c r="T26" s="58">
        <f>COUNTA(A:A)-2</f>
        <v>419</v>
      </c>
      <c r="U26" s="59">
        <f>YEAR(DATA[[#This Row],[ADMISSION DATE]])</f>
        <v>2024</v>
      </c>
      <c r="V26" s="60" t="str">
        <f>TEXT(DATA[[#This Row],[ADMISSION DATE]],"mmm")</f>
        <v>Sep</v>
      </c>
      <c r="W26" s="59">
        <f>YEAR(DATA[[#This Row],[DISCHARGE DATE]])</f>
        <v>2024</v>
      </c>
      <c r="X26" s="60" t="str">
        <f>TEXT(DATA[[#This Row],[DISCHARGE DATE]],"mmm")</f>
        <v>Nov</v>
      </c>
    </row>
    <row r="27" spans="1:24" s="27" customFormat="1" ht="19.5" hidden="1">
      <c r="A27" s="152" t="s">
        <v>204</v>
      </c>
      <c r="B27" s="151" t="s">
        <v>205</v>
      </c>
      <c r="C27" s="151">
        <v>35</v>
      </c>
      <c r="D27" s="152" t="s">
        <v>12</v>
      </c>
      <c r="E27" s="152" t="s">
        <v>206</v>
      </c>
      <c r="F27" s="153">
        <v>244127358</v>
      </c>
      <c r="G27" s="152" t="s">
        <v>19</v>
      </c>
      <c r="H27" s="154">
        <v>0.3125</v>
      </c>
      <c r="I27" s="152" t="s">
        <v>18</v>
      </c>
      <c r="J27" s="155">
        <v>45560</v>
      </c>
      <c r="K27" s="155">
        <v>45625</v>
      </c>
      <c r="L27" s="151">
        <f>IF(ISBLANK(DATA[[#This Row],[DISCHARGE DATE]]),"NO DATE", DATA[[#This Row],[DISCHARGE DATE]]-DATA[[#This Row],[ADMISSION DATE]]+1)</f>
        <v>66</v>
      </c>
      <c r="M27" s="156">
        <v>350</v>
      </c>
      <c r="N27" s="156">
        <v>858</v>
      </c>
      <c r="O27" s="157" t="s">
        <v>207</v>
      </c>
      <c r="P27" s="157" t="s">
        <v>196</v>
      </c>
      <c r="Q27" s="158">
        <f>IF(DATA[[#This Row],[STORAGE FEE]]=0,"NULL",DATA[[#This Row],[COLDROOM FEE]])-DATA[[#This Row],[STORAGE FEE]]</f>
        <v>0</v>
      </c>
      <c r="R27" s="158">
        <f>IF(ISBLANK(DATA[[#This Row],[DISCHARGE DATE]]),0,IF(DATA[[#This Row],[TYPE]]="VIP",20*DATA[[#This Row],[STORAGE DAYS]],13*DATA[[#This Row],[STORAGE DAYS]]))</f>
        <v>858</v>
      </c>
      <c r="S27" s="71" t="str">
        <f>IF(ISBLANK(DATA[[#This Row],[COLDROOM RECEIPT]]), "IN CUSTODY", "DISCHARGED")</f>
        <v>DISCHARGED</v>
      </c>
      <c r="T27" s="58">
        <f>COUNTA(A:A)-2</f>
        <v>419</v>
      </c>
      <c r="U27" s="59">
        <f>YEAR(DATA[[#This Row],[ADMISSION DATE]])</f>
        <v>2024</v>
      </c>
      <c r="V27" s="60" t="str">
        <f>TEXT(DATA[[#This Row],[ADMISSION DATE]],"mmm")</f>
        <v>Sep</v>
      </c>
      <c r="W27" s="59">
        <f>YEAR(DATA[[#This Row],[DISCHARGE DATE]])</f>
        <v>2024</v>
      </c>
      <c r="X27" s="60" t="str">
        <f>TEXT(DATA[[#This Row],[DISCHARGE DATE]],"mmm")</f>
        <v>Nov</v>
      </c>
    </row>
    <row r="28" spans="1:24" s="27" customFormat="1" ht="19.5" hidden="1">
      <c r="A28" s="152" t="s">
        <v>208</v>
      </c>
      <c r="B28" s="151" t="s">
        <v>209</v>
      </c>
      <c r="C28" s="151">
        <v>42</v>
      </c>
      <c r="D28" s="152" t="s">
        <v>11</v>
      </c>
      <c r="E28" s="152" t="s">
        <v>210</v>
      </c>
      <c r="F28" s="153">
        <v>551133790</v>
      </c>
      <c r="G28" s="152" t="s">
        <v>13</v>
      </c>
      <c r="H28" s="154">
        <v>0.77083333333333337</v>
      </c>
      <c r="I28" s="152" t="s">
        <v>18</v>
      </c>
      <c r="J28" s="155">
        <v>45560</v>
      </c>
      <c r="K28" s="155">
        <v>45625</v>
      </c>
      <c r="L28" s="151">
        <f>IF(ISBLANK(DATA[[#This Row],[DISCHARGE DATE]]),"NO DATE", DATA[[#This Row],[DISCHARGE DATE]]-DATA[[#This Row],[ADMISSION DATE]]+1)</f>
        <v>66</v>
      </c>
      <c r="M28" s="156">
        <v>350</v>
      </c>
      <c r="N28" s="156">
        <v>858</v>
      </c>
      <c r="O28" s="157" t="s">
        <v>211</v>
      </c>
      <c r="P28" s="157" t="s">
        <v>203</v>
      </c>
      <c r="Q28" s="158">
        <f>IF(DATA[[#This Row],[STORAGE FEE]]=0,"NULL",DATA[[#This Row],[COLDROOM FEE]])-DATA[[#This Row],[STORAGE FEE]]</f>
        <v>0</v>
      </c>
      <c r="R28" s="158">
        <f>IF(ISBLANK(DATA[[#This Row],[DISCHARGE DATE]]),0,IF(DATA[[#This Row],[TYPE]]="VIP",20*DATA[[#This Row],[STORAGE DAYS]],13*DATA[[#This Row],[STORAGE DAYS]]))</f>
        <v>858</v>
      </c>
      <c r="S28" s="71" t="str">
        <f>IF(ISBLANK(DATA[[#This Row],[COLDROOM RECEIPT]]), "IN CUSTODY", "DISCHARGED")</f>
        <v>DISCHARGED</v>
      </c>
      <c r="T28" s="58">
        <f>COUNTA(A:A)-2</f>
        <v>419</v>
      </c>
      <c r="U28" s="59">
        <f>YEAR(DATA[[#This Row],[ADMISSION DATE]])</f>
        <v>2024</v>
      </c>
      <c r="V28" s="60" t="str">
        <f>TEXT(DATA[[#This Row],[ADMISSION DATE]],"mmm")</f>
        <v>Sep</v>
      </c>
      <c r="W28" s="59">
        <f>YEAR(DATA[[#This Row],[DISCHARGE DATE]])</f>
        <v>2024</v>
      </c>
      <c r="X28" s="60" t="str">
        <f>TEXT(DATA[[#This Row],[DISCHARGE DATE]],"mmm")</f>
        <v>Nov</v>
      </c>
    </row>
    <row r="29" spans="1:24" s="27" customFormat="1" ht="19.5" hidden="1">
      <c r="A29" s="152" t="s">
        <v>212</v>
      </c>
      <c r="B29" s="151" t="s">
        <v>213</v>
      </c>
      <c r="C29" s="151">
        <v>49</v>
      </c>
      <c r="D29" s="152" t="s">
        <v>12</v>
      </c>
      <c r="E29" s="152" t="s">
        <v>214</v>
      </c>
      <c r="F29" s="153">
        <v>246930176</v>
      </c>
      <c r="G29" s="152" t="s">
        <v>15</v>
      </c>
      <c r="H29" s="154">
        <v>0.66666666666666663</v>
      </c>
      <c r="I29" s="152" t="s">
        <v>18</v>
      </c>
      <c r="J29" s="155">
        <v>45565</v>
      </c>
      <c r="K29" s="155">
        <v>45625</v>
      </c>
      <c r="L29" s="151">
        <f>IF(ISBLANK(DATA[[#This Row],[DISCHARGE DATE]]),"NO DATE", DATA[[#This Row],[DISCHARGE DATE]]-DATA[[#This Row],[ADMISSION DATE]]+1)</f>
        <v>61</v>
      </c>
      <c r="M29" s="156">
        <v>350</v>
      </c>
      <c r="N29" s="156">
        <v>793</v>
      </c>
      <c r="O29" s="157" t="s">
        <v>215</v>
      </c>
      <c r="P29" s="157" t="s">
        <v>192</v>
      </c>
      <c r="Q29" s="158">
        <f>IF(DATA[[#This Row],[STORAGE FEE]]=0,"NULL",DATA[[#This Row],[COLDROOM FEE]])-DATA[[#This Row],[STORAGE FEE]]</f>
        <v>0</v>
      </c>
      <c r="R29" s="158">
        <f>IF(ISBLANK(DATA[[#This Row],[DISCHARGE DATE]]),0,IF(DATA[[#This Row],[TYPE]]="VIP",20*DATA[[#This Row],[STORAGE DAYS]],13*DATA[[#This Row],[STORAGE DAYS]]))</f>
        <v>793</v>
      </c>
      <c r="S29" s="71" t="str">
        <f>IF(ISBLANK(DATA[[#This Row],[COLDROOM RECEIPT]]), "IN CUSTODY", "DISCHARGED")</f>
        <v>DISCHARGED</v>
      </c>
      <c r="T29" s="58">
        <f>COUNTA(A:A)-2</f>
        <v>419</v>
      </c>
      <c r="U29" s="59">
        <f>YEAR(DATA[[#This Row],[ADMISSION DATE]])</f>
        <v>2024</v>
      </c>
      <c r="V29" s="60" t="str">
        <f>TEXT(DATA[[#This Row],[ADMISSION DATE]],"mmm")</f>
        <v>Sep</v>
      </c>
      <c r="W29" s="59">
        <f>YEAR(DATA[[#This Row],[DISCHARGE DATE]])</f>
        <v>2024</v>
      </c>
      <c r="X29" s="60" t="str">
        <f>TEXT(DATA[[#This Row],[DISCHARGE DATE]],"mmm")</f>
        <v>Nov</v>
      </c>
    </row>
    <row r="30" spans="1:24" s="27" customFormat="1" ht="19.5" hidden="1">
      <c r="A30" s="152" t="s">
        <v>216</v>
      </c>
      <c r="B30" s="151" t="s">
        <v>217</v>
      </c>
      <c r="C30" s="151">
        <v>53</v>
      </c>
      <c r="D30" s="152" t="s">
        <v>12</v>
      </c>
      <c r="E30" s="152" t="s">
        <v>218</v>
      </c>
      <c r="F30" s="153">
        <v>242857647</v>
      </c>
      <c r="G30" s="152" t="s">
        <v>26</v>
      </c>
      <c r="H30" s="154">
        <v>0.46944444444444444</v>
      </c>
      <c r="I30" s="152" t="s">
        <v>18</v>
      </c>
      <c r="J30" s="155">
        <v>45566</v>
      </c>
      <c r="K30" s="155">
        <v>45618</v>
      </c>
      <c r="L30" s="151">
        <f>IF(ISBLANK(DATA[[#This Row],[DISCHARGE DATE]]),"NO DATE", DATA[[#This Row],[DISCHARGE DATE]]-DATA[[#This Row],[ADMISSION DATE]]+1)</f>
        <v>53</v>
      </c>
      <c r="M30" s="156">
        <v>350</v>
      </c>
      <c r="N30" s="156">
        <v>1060</v>
      </c>
      <c r="O30" s="157" t="s">
        <v>219</v>
      </c>
      <c r="P30" s="157" t="s">
        <v>168</v>
      </c>
      <c r="Q30" s="158">
        <f>IF(DATA[[#This Row],[STORAGE FEE]]=0,"NULL",DATA[[#This Row],[COLDROOM FEE]])-DATA[[#This Row],[STORAGE FEE]]</f>
        <v>371</v>
      </c>
      <c r="R30" s="158">
        <f>IF(ISBLANK(DATA[[#This Row],[DISCHARGE DATE]]),0,IF(DATA[[#This Row],[TYPE]]="VIP",20*DATA[[#This Row],[STORAGE DAYS]],13*DATA[[#This Row],[STORAGE DAYS]]))</f>
        <v>689</v>
      </c>
      <c r="S30" s="71" t="str">
        <f>IF(ISBLANK(DATA[[#This Row],[COLDROOM RECEIPT]]), "IN CUSTODY", "DISCHARGED")</f>
        <v>DISCHARGED</v>
      </c>
      <c r="T30" s="58">
        <f>COUNTA(A:A)-2</f>
        <v>419</v>
      </c>
      <c r="U30" s="59">
        <f>YEAR(DATA[[#This Row],[ADMISSION DATE]])</f>
        <v>2024</v>
      </c>
      <c r="V30" s="60" t="str">
        <f>TEXT(DATA[[#This Row],[ADMISSION DATE]],"mmm")</f>
        <v>Oct</v>
      </c>
      <c r="W30" s="59">
        <f>YEAR(DATA[[#This Row],[DISCHARGE DATE]])</f>
        <v>2024</v>
      </c>
      <c r="X30" s="60" t="str">
        <f>TEXT(DATA[[#This Row],[DISCHARGE DATE]],"mmm")</f>
        <v>Nov</v>
      </c>
    </row>
    <row r="31" spans="1:24" s="27" customFormat="1" ht="19.5" hidden="1">
      <c r="A31" s="152" t="s">
        <v>220</v>
      </c>
      <c r="B31" s="151" t="s">
        <v>221</v>
      </c>
      <c r="C31" s="151">
        <v>62</v>
      </c>
      <c r="D31" s="152" t="s">
        <v>11</v>
      </c>
      <c r="E31" s="152" t="s">
        <v>222</v>
      </c>
      <c r="F31" s="153">
        <v>244788073</v>
      </c>
      <c r="G31" s="152" t="s">
        <v>15</v>
      </c>
      <c r="H31" s="154">
        <v>0.61805555555555558</v>
      </c>
      <c r="I31" s="152" t="s">
        <v>18</v>
      </c>
      <c r="J31" s="155">
        <v>45567</v>
      </c>
      <c r="K31" s="155">
        <v>45723</v>
      </c>
      <c r="L31" s="151">
        <f>IF(ISBLANK(DATA[[#This Row],[DISCHARGE DATE]]),"NO DATE", DATA[[#This Row],[DISCHARGE DATE]]-DATA[[#This Row],[ADMISSION DATE]]+1)</f>
        <v>157</v>
      </c>
      <c r="M31" s="156">
        <v>350</v>
      </c>
      <c r="N31" s="156">
        <v>2132</v>
      </c>
      <c r="O31" s="157" t="s">
        <v>223</v>
      </c>
      <c r="P31" s="157" t="s">
        <v>224</v>
      </c>
      <c r="Q31" s="158">
        <f>IF(DATA[[#This Row],[STORAGE FEE]]=0,"NULL",DATA[[#This Row],[COLDROOM FEE]])-DATA[[#This Row],[STORAGE FEE]]</f>
        <v>91</v>
      </c>
      <c r="R31" s="158">
        <f>IF(ISBLANK(DATA[[#This Row],[DISCHARGE DATE]]),0,IF(DATA[[#This Row],[TYPE]]="VIP",20*DATA[[#This Row],[STORAGE DAYS]],13*DATA[[#This Row],[STORAGE DAYS]]))</f>
        <v>2041</v>
      </c>
      <c r="S31" s="71" t="str">
        <f>IF(ISBLANK(DATA[[#This Row],[COLDROOM RECEIPT]]), "IN CUSTODY", "DISCHARGED")</f>
        <v>DISCHARGED</v>
      </c>
      <c r="T31" s="58">
        <f>COUNTA(A:A)-2</f>
        <v>419</v>
      </c>
      <c r="U31" s="59">
        <f>YEAR(DATA[[#This Row],[ADMISSION DATE]])</f>
        <v>2024</v>
      </c>
      <c r="V31" s="60" t="str">
        <f>TEXT(DATA[[#This Row],[ADMISSION DATE]],"mmm")</f>
        <v>Oct</v>
      </c>
      <c r="W31" s="59">
        <f>YEAR(DATA[[#This Row],[DISCHARGE DATE]])</f>
        <v>2025</v>
      </c>
      <c r="X31" s="60" t="str">
        <f>TEXT(DATA[[#This Row],[DISCHARGE DATE]],"mmm")</f>
        <v>Mar</v>
      </c>
    </row>
    <row r="32" spans="1:24" s="27" customFormat="1" ht="19.5" hidden="1">
      <c r="A32" s="152" t="s">
        <v>225</v>
      </c>
      <c r="B32" s="151" t="s">
        <v>226</v>
      </c>
      <c r="C32" s="151">
        <v>65</v>
      </c>
      <c r="D32" s="152" t="s">
        <v>12</v>
      </c>
      <c r="E32" s="152" t="s">
        <v>227</v>
      </c>
      <c r="F32" s="153">
        <v>543253088</v>
      </c>
      <c r="G32" s="152" t="s">
        <v>41</v>
      </c>
      <c r="H32" s="154">
        <v>0.72569444444444442</v>
      </c>
      <c r="I32" s="152" t="s">
        <v>18</v>
      </c>
      <c r="J32" s="155">
        <v>45571</v>
      </c>
      <c r="K32" s="155">
        <v>45611</v>
      </c>
      <c r="L32" s="151">
        <f>IF(ISBLANK(DATA[[#This Row],[DISCHARGE DATE]]),"NO DATE", DATA[[#This Row],[DISCHARGE DATE]]-DATA[[#This Row],[ADMISSION DATE]]+1)</f>
        <v>41</v>
      </c>
      <c r="M32" s="156">
        <v>350</v>
      </c>
      <c r="N32" s="156">
        <v>533</v>
      </c>
      <c r="O32" s="157" t="s">
        <v>228</v>
      </c>
      <c r="P32" s="157" t="s">
        <v>163</v>
      </c>
      <c r="Q32" s="158">
        <f>IF(DATA[[#This Row],[STORAGE FEE]]=0,"NULL",DATA[[#This Row],[COLDROOM FEE]])-DATA[[#This Row],[STORAGE FEE]]</f>
        <v>0</v>
      </c>
      <c r="R32" s="158">
        <f>IF(ISBLANK(DATA[[#This Row],[DISCHARGE DATE]]),0,IF(DATA[[#This Row],[TYPE]]="VIP",20*DATA[[#This Row],[STORAGE DAYS]],13*DATA[[#This Row],[STORAGE DAYS]]))</f>
        <v>533</v>
      </c>
      <c r="S32" s="71" t="str">
        <f>IF(ISBLANK(DATA[[#This Row],[COLDROOM RECEIPT]]), "IN CUSTODY", "DISCHARGED")</f>
        <v>DISCHARGED</v>
      </c>
      <c r="T32" s="58">
        <f>COUNTA(A:A)-2</f>
        <v>419</v>
      </c>
      <c r="U32" s="59">
        <f>YEAR(DATA[[#This Row],[ADMISSION DATE]])</f>
        <v>2024</v>
      </c>
      <c r="V32" s="60" t="str">
        <f>TEXT(DATA[[#This Row],[ADMISSION DATE]],"mmm")</f>
        <v>Oct</v>
      </c>
      <c r="W32" s="59">
        <f>YEAR(DATA[[#This Row],[DISCHARGE DATE]])</f>
        <v>2024</v>
      </c>
      <c r="X32" s="60" t="str">
        <f>TEXT(DATA[[#This Row],[DISCHARGE DATE]],"mmm")</f>
        <v>Nov</v>
      </c>
    </row>
    <row r="33" spans="1:24" s="27" customFormat="1" ht="19.5" hidden="1">
      <c r="A33" s="152" t="s">
        <v>229</v>
      </c>
      <c r="B33" s="151" t="s">
        <v>230</v>
      </c>
      <c r="C33" s="151">
        <v>90</v>
      </c>
      <c r="D33" s="152" t="s">
        <v>11</v>
      </c>
      <c r="E33" s="152" t="s">
        <v>231</v>
      </c>
      <c r="F33" s="153">
        <v>246758274</v>
      </c>
      <c r="G33" s="152" t="s">
        <v>13</v>
      </c>
      <c r="H33" s="154">
        <v>0.72916666666666663</v>
      </c>
      <c r="I33" s="152" t="s">
        <v>18</v>
      </c>
      <c r="J33" s="155">
        <v>45572</v>
      </c>
      <c r="K33" s="155">
        <v>45744</v>
      </c>
      <c r="L33" s="151">
        <f>IF(ISBLANK(DATA[[#This Row],[DISCHARGE DATE]]),"NO DATE", DATA[[#This Row],[DISCHARGE DATE]]-DATA[[#This Row],[ADMISSION DATE]]+1)</f>
        <v>173</v>
      </c>
      <c r="M33" s="156">
        <v>350</v>
      </c>
      <c r="N33" s="156">
        <v>2249</v>
      </c>
      <c r="O33" s="157" t="s">
        <v>232</v>
      </c>
      <c r="P33" s="157" t="s">
        <v>233</v>
      </c>
      <c r="Q33" s="158">
        <f>IF(DATA[[#This Row],[STORAGE FEE]]=0,"NULL",DATA[[#This Row],[COLDROOM FEE]])-DATA[[#This Row],[STORAGE FEE]]</f>
        <v>0</v>
      </c>
      <c r="R33" s="158">
        <f>IF(ISBLANK(DATA[[#This Row],[DISCHARGE DATE]]),0,IF(DATA[[#This Row],[TYPE]]="VIP",20*DATA[[#This Row],[STORAGE DAYS]],13*DATA[[#This Row],[STORAGE DAYS]]))</f>
        <v>2249</v>
      </c>
      <c r="S33" s="71" t="str">
        <f>IF(ISBLANK(DATA[[#This Row],[COLDROOM RECEIPT]]), "IN CUSTODY", "DISCHARGED")</f>
        <v>DISCHARGED</v>
      </c>
      <c r="T33" s="58">
        <f>COUNTA(A:A)-2</f>
        <v>419</v>
      </c>
      <c r="U33" s="59">
        <f>YEAR(DATA[[#This Row],[ADMISSION DATE]])</f>
        <v>2024</v>
      </c>
      <c r="V33" s="60" t="str">
        <f>TEXT(DATA[[#This Row],[ADMISSION DATE]],"mmm")</f>
        <v>Oct</v>
      </c>
      <c r="W33" s="59">
        <f>YEAR(DATA[[#This Row],[DISCHARGE DATE]])</f>
        <v>2025</v>
      </c>
      <c r="X33" s="60" t="str">
        <f>TEXT(DATA[[#This Row],[DISCHARGE DATE]],"mmm")</f>
        <v>Mar</v>
      </c>
    </row>
    <row r="34" spans="1:24" s="27" customFormat="1" ht="19.5" hidden="1">
      <c r="A34" s="152" t="s">
        <v>234</v>
      </c>
      <c r="B34" s="151" t="s">
        <v>235</v>
      </c>
      <c r="C34" s="151">
        <v>70</v>
      </c>
      <c r="D34" s="152" t="s">
        <v>11</v>
      </c>
      <c r="E34" s="152" t="s">
        <v>236</v>
      </c>
      <c r="F34" s="153">
        <v>537892477</v>
      </c>
      <c r="G34" s="152" t="s">
        <v>13</v>
      </c>
      <c r="H34" s="154">
        <v>0.5625</v>
      </c>
      <c r="I34" s="152" t="s">
        <v>20</v>
      </c>
      <c r="J34" s="155">
        <v>45575</v>
      </c>
      <c r="K34" s="155">
        <v>45772</v>
      </c>
      <c r="L34" s="151">
        <f>IF(ISBLANK(DATA[[#This Row],[DISCHARGE DATE]]),"NO DATE", DATA[[#This Row],[DISCHARGE DATE]]-DATA[[#This Row],[ADMISSION DATE]]+1)</f>
        <v>198</v>
      </c>
      <c r="M34" s="156">
        <v>350</v>
      </c>
      <c r="N34" s="156">
        <v>3960</v>
      </c>
      <c r="O34" s="157" t="s">
        <v>237</v>
      </c>
      <c r="P34" s="157" t="s">
        <v>238</v>
      </c>
      <c r="Q34" s="158">
        <f>IF(DATA[[#This Row],[STORAGE FEE]]=0,"NULL",DATA[[#This Row],[COLDROOM FEE]])-DATA[[#This Row],[STORAGE FEE]]</f>
        <v>0</v>
      </c>
      <c r="R34" s="158">
        <f>IF(ISBLANK(DATA[[#This Row],[DISCHARGE DATE]]),0,IF(DATA[[#This Row],[TYPE]]="VIP",20*DATA[[#This Row],[STORAGE DAYS]],13*DATA[[#This Row],[STORAGE DAYS]]))</f>
        <v>3960</v>
      </c>
      <c r="S34" s="71" t="str">
        <f>IF(ISBLANK(DATA[[#This Row],[COLDROOM RECEIPT]]), "IN CUSTODY", "DISCHARGED")</f>
        <v>DISCHARGED</v>
      </c>
      <c r="T34" s="58">
        <f>COUNTA(A:A)-2</f>
        <v>419</v>
      </c>
      <c r="U34" s="59">
        <f>YEAR(DATA[[#This Row],[ADMISSION DATE]])</f>
        <v>2024</v>
      </c>
      <c r="V34" s="60" t="str">
        <f>TEXT(DATA[[#This Row],[ADMISSION DATE]],"mmm")</f>
        <v>Oct</v>
      </c>
      <c r="W34" s="59">
        <f>YEAR(DATA[[#This Row],[DISCHARGE DATE]])</f>
        <v>2025</v>
      </c>
      <c r="X34" s="60" t="str">
        <f>TEXT(DATA[[#This Row],[DISCHARGE DATE]],"mmm")</f>
        <v>Apr</v>
      </c>
    </row>
    <row r="35" spans="1:24" s="27" customFormat="1" ht="19.5" hidden="1">
      <c r="A35" s="152" t="s">
        <v>239</v>
      </c>
      <c r="B35" s="151" t="s">
        <v>240</v>
      </c>
      <c r="C35" s="151">
        <v>23</v>
      </c>
      <c r="D35" s="152" t="s">
        <v>11</v>
      </c>
      <c r="E35" s="152" t="s">
        <v>241</v>
      </c>
      <c r="F35" s="153">
        <v>536658995</v>
      </c>
      <c r="G35" s="152" t="s">
        <v>16</v>
      </c>
      <c r="H35" s="154">
        <v>0.72916666666666663</v>
      </c>
      <c r="I35" s="152" t="s">
        <v>20</v>
      </c>
      <c r="J35" s="155">
        <v>45576</v>
      </c>
      <c r="K35" s="155">
        <v>45743</v>
      </c>
      <c r="L35" s="151">
        <f>IF(ISBLANK(DATA[[#This Row],[DISCHARGE DATE]]),"NO DATE", DATA[[#This Row],[DISCHARGE DATE]]-DATA[[#This Row],[ADMISSION DATE]]+1)</f>
        <v>168</v>
      </c>
      <c r="M35" s="156">
        <v>350</v>
      </c>
      <c r="N35" s="156">
        <v>3360</v>
      </c>
      <c r="O35" s="157" t="s">
        <v>242</v>
      </c>
      <c r="P35" s="157" t="s">
        <v>243</v>
      </c>
      <c r="Q35" s="158">
        <f>IF(DATA[[#This Row],[STORAGE FEE]]=0,"NULL",DATA[[#This Row],[COLDROOM FEE]])-DATA[[#This Row],[STORAGE FEE]]</f>
        <v>0</v>
      </c>
      <c r="R35" s="158">
        <f>IF(ISBLANK(DATA[[#This Row],[DISCHARGE DATE]]),0,IF(DATA[[#This Row],[TYPE]]="VIP",20*DATA[[#This Row],[STORAGE DAYS]],13*DATA[[#This Row],[STORAGE DAYS]]))</f>
        <v>3360</v>
      </c>
      <c r="S35" s="71" t="str">
        <f>IF(ISBLANK(DATA[[#This Row],[COLDROOM RECEIPT]]), "IN CUSTODY", "DISCHARGED")</f>
        <v>DISCHARGED</v>
      </c>
      <c r="T35" s="58">
        <f>COUNTA(A:A)-2</f>
        <v>419</v>
      </c>
      <c r="U35" s="59">
        <f>YEAR(DATA[[#This Row],[ADMISSION DATE]])</f>
        <v>2024</v>
      </c>
      <c r="V35" s="60" t="str">
        <f>TEXT(DATA[[#This Row],[ADMISSION DATE]],"mmm")</f>
        <v>Oct</v>
      </c>
      <c r="W35" s="59">
        <f>YEAR(DATA[[#This Row],[DISCHARGE DATE]])</f>
        <v>2025</v>
      </c>
      <c r="X35" s="60" t="str">
        <f>TEXT(DATA[[#This Row],[DISCHARGE DATE]],"mmm")</f>
        <v>Mar</v>
      </c>
    </row>
    <row r="36" spans="1:24" s="27" customFormat="1" ht="19.5" hidden="1">
      <c r="A36" s="152" t="s">
        <v>244</v>
      </c>
      <c r="B36" s="151" t="s">
        <v>245</v>
      </c>
      <c r="C36" s="151">
        <v>60</v>
      </c>
      <c r="D36" s="152" t="s">
        <v>12</v>
      </c>
      <c r="E36" s="152" t="s">
        <v>246</v>
      </c>
      <c r="F36" s="153">
        <v>543965476</v>
      </c>
      <c r="G36" s="152" t="s">
        <v>23</v>
      </c>
      <c r="H36" s="154">
        <v>0.33333333333333331</v>
      </c>
      <c r="I36" s="152" t="s">
        <v>18</v>
      </c>
      <c r="J36" s="155">
        <v>45577</v>
      </c>
      <c r="K36" s="155">
        <v>45597</v>
      </c>
      <c r="L36" s="151">
        <f>IF(ISBLANK(DATA[[#This Row],[DISCHARGE DATE]]),"NO DATE", DATA[[#This Row],[DISCHARGE DATE]]-DATA[[#This Row],[ADMISSION DATE]]+1)</f>
        <v>21</v>
      </c>
      <c r="M36" s="156">
        <v>350</v>
      </c>
      <c r="N36" s="156">
        <v>273</v>
      </c>
      <c r="O36" s="157" t="s">
        <v>247</v>
      </c>
      <c r="P36" s="157" t="s">
        <v>146</v>
      </c>
      <c r="Q36" s="158">
        <f>IF(DATA[[#This Row],[STORAGE FEE]]=0,"NULL",DATA[[#This Row],[COLDROOM FEE]])-DATA[[#This Row],[STORAGE FEE]]</f>
        <v>0</v>
      </c>
      <c r="R36" s="158">
        <f>IF(ISBLANK(DATA[[#This Row],[DISCHARGE DATE]]),0,IF(DATA[[#This Row],[TYPE]]="VIP",20*DATA[[#This Row],[STORAGE DAYS]],13*DATA[[#This Row],[STORAGE DAYS]]))</f>
        <v>273</v>
      </c>
      <c r="S36" s="71" t="str">
        <f>IF(ISBLANK(DATA[[#This Row],[COLDROOM RECEIPT]]), "IN CUSTODY", "DISCHARGED")</f>
        <v>DISCHARGED</v>
      </c>
      <c r="T36" s="58">
        <f>COUNTA(A:A)-2</f>
        <v>419</v>
      </c>
      <c r="U36" s="59">
        <f>YEAR(DATA[[#This Row],[ADMISSION DATE]])</f>
        <v>2024</v>
      </c>
      <c r="V36" s="60" t="str">
        <f>TEXT(DATA[[#This Row],[ADMISSION DATE]],"mmm")</f>
        <v>Oct</v>
      </c>
      <c r="W36" s="59">
        <f>YEAR(DATA[[#This Row],[DISCHARGE DATE]])</f>
        <v>2024</v>
      </c>
      <c r="X36" s="60" t="str">
        <f>TEXT(DATA[[#This Row],[DISCHARGE DATE]],"mmm")</f>
        <v>Nov</v>
      </c>
    </row>
    <row r="37" spans="1:24" s="27" customFormat="1" ht="19.5" hidden="1">
      <c r="A37" s="152" t="s">
        <v>248</v>
      </c>
      <c r="B37" s="151" t="s">
        <v>249</v>
      </c>
      <c r="C37" s="151">
        <v>55</v>
      </c>
      <c r="D37" s="152" t="s">
        <v>12</v>
      </c>
      <c r="E37" s="152" t="s">
        <v>250</v>
      </c>
      <c r="F37" s="153">
        <v>550267435</v>
      </c>
      <c r="G37" s="152" t="s">
        <v>16</v>
      </c>
      <c r="H37" s="154">
        <v>0.83333333333333337</v>
      </c>
      <c r="I37" s="152" t="s">
        <v>18</v>
      </c>
      <c r="J37" s="155">
        <v>45576</v>
      </c>
      <c r="K37" s="155">
        <v>45709</v>
      </c>
      <c r="L37" s="151">
        <f>IF(ISBLANK(DATA[[#This Row],[DISCHARGE DATE]]),"NO DATE", DATA[[#This Row],[DISCHARGE DATE]]-DATA[[#This Row],[ADMISSION DATE]]+1)</f>
        <v>134</v>
      </c>
      <c r="M37" s="156">
        <v>350</v>
      </c>
      <c r="N37" s="156">
        <v>1742</v>
      </c>
      <c r="O37" s="157" t="s">
        <v>251</v>
      </c>
      <c r="P37" s="157" t="s">
        <v>237</v>
      </c>
      <c r="Q37" s="158">
        <f>IF(DATA[[#This Row],[STORAGE FEE]]=0,"NULL",DATA[[#This Row],[COLDROOM FEE]])-DATA[[#This Row],[STORAGE FEE]]</f>
        <v>0</v>
      </c>
      <c r="R37" s="158">
        <f>IF(ISBLANK(DATA[[#This Row],[DISCHARGE DATE]]),0,IF(DATA[[#This Row],[TYPE]]="VIP",20*DATA[[#This Row],[STORAGE DAYS]],13*DATA[[#This Row],[STORAGE DAYS]]))</f>
        <v>1742</v>
      </c>
      <c r="S37" s="71" t="str">
        <f>IF(ISBLANK(DATA[[#This Row],[COLDROOM RECEIPT]]), "IN CUSTODY", "DISCHARGED")</f>
        <v>DISCHARGED</v>
      </c>
      <c r="T37" s="58">
        <f>COUNTA(A:A)-2</f>
        <v>419</v>
      </c>
      <c r="U37" s="59">
        <f>YEAR(DATA[[#This Row],[ADMISSION DATE]])</f>
        <v>2024</v>
      </c>
      <c r="V37" s="60" t="str">
        <f>TEXT(DATA[[#This Row],[ADMISSION DATE]],"mmm")</f>
        <v>Oct</v>
      </c>
      <c r="W37" s="59">
        <f>YEAR(DATA[[#This Row],[DISCHARGE DATE]])</f>
        <v>2025</v>
      </c>
      <c r="X37" s="60" t="str">
        <f>TEXT(DATA[[#This Row],[DISCHARGE DATE]],"mmm")</f>
        <v>Feb</v>
      </c>
    </row>
    <row r="38" spans="1:24" s="27" customFormat="1" ht="19.5" hidden="1">
      <c r="A38" s="152" t="s">
        <v>252</v>
      </c>
      <c r="B38" s="151" t="s">
        <v>253</v>
      </c>
      <c r="C38" s="151">
        <v>36</v>
      </c>
      <c r="D38" s="152" t="s">
        <v>12</v>
      </c>
      <c r="E38" s="152" t="s">
        <v>254</v>
      </c>
      <c r="F38" s="153">
        <v>592684635</v>
      </c>
      <c r="G38" s="152" t="s">
        <v>16</v>
      </c>
      <c r="H38" s="154">
        <v>0.75</v>
      </c>
      <c r="I38" s="152" t="s">
        <v>18</v>
      </c>
      <c r="J38" s="155">
        <v>45578</v>
      </c>
      <c r="K38" s="155">
        <v>45744</v>
      </c>
      <c r="L38" s="151">
        <f>IF(ISBLANK(DATA[[#This Row],[DISCHARGE DATE]]),"NO DATE", DATA[[#This Row],[DISCHARGE DATE]]-DATA[[#This Row],[ADMISSION DATE]]+1)</f>
        <v>167</v>
      </c>
      <c r="M38" s="156">
        <v>350</v>
      </c>
      <c r="N38" s="156">
        <v>2171</v>
      </c>
      <c r="O38" s="157" t="s">
        <v>255</v>
      </c>
      <c r="P38" s="157" t="s">
        <v>256</v>
      </c>
      <c r="Q38" s="158">
        <f>IF(DATA[[#This Row],[STORAGE FEE]]=0,"NULL",DATA[[#This Row],[COLDROOM FEE]])-DATA[[#This Row],[STORAGE FEE]]</f>
        <v>0</v>
      </c>
      <c r="R38" s="158">
        <f>IF(ISBLANK(DATA[[#This Row],[DISCHARGE DATE]]),0,IF(DATA[[#This Row],[TYPE]]="VIP",20*DATA[[#This Row],[STORAGE DAYS]],13*DATA[[#This Row],[STORAGE DAYS]]))</f>
        <v>2171</v>
      </c>
      <c r="S38" s="71" t="str">
        <f>IF(ISBLANK(DATA[[#This Row],[COLDROOM RECEIPT]]), "IN CUSTODY", "DISCHARGED")</f>
        <v>DISCHARGED</v>
      </c>
      <c r="T38" s="58">
        <f>COUNTA(A:A)-2</f>
        <v>419</v>
      </c>
      <c r="U38" s="59">
        <f>YEAR(DATA[[#This Row],[ADMISSION DATE]])</f>
        <v>2024</v>
      </c>
      <c r="V38" s="60" t="str">
        <f>TEXT(DATA[[#This Row],[ADMISSION DATE]],"mmm")</f>
        <v>Oct</v>
      </c>
      <c r="W38" s="59">
        <f>YEAR(DATA[[#This Row],[DISCHARGE DATE]])</f>
        <v>2025</v>
      </c>
      <c r="X38" s="60" t="str">
        <f>TEXT(DATA[[#This Row],[DISCHARGE DATE]],"mmm")</f>
        <v>Mar</v>
      </c>
    </row>
    <row r="39" spans="1:24" s="27" customFormat="1" ht="19.5" hidden="1">
      <c r="A39" s="152" t="s">
        <v>257</v>
      </c>
      <c r="B39" s="151" t="s">
        <v>258</v>
      </c>
      <c r="C39" s="151">
        <v>80</v>
      </c>
      <c r="D39" s="152" t="s">
        <v>12</v>
      </c>
      <c r="E39" s="152" t="s">
        <v>259</v>
      </c>
      <c r="F39" s="153">
        <v>245078950</v>
      </c>
      <c r="G39" s="152" t="s">
        <v>16</v>
      </c>
      <c r="H39" s="154">
        <v>0.25</v>
      </c>
      <c r="I39" s="152" t="s">
        <v>20</v>
      </c>
      <c r="J39" s="155">
        <v>45583</v>
      </c>
      <c r="K39" s="155">
        <v>45730</v>
      </c>
      <c r="L39" s="151">
        <f>IF(ISBLANK(DATA[[#This Row],[DISCHARGE DATE]]),"NO DATE", DATA[[#This Row],[DISCHARGE DATE]]-DATA[[#This Row],[ADMISSION DATE]]+1)</f>
        <v>148</v>
      </c>
      <c r="M39" s="156">
        <v>350</v>
      </c>
      <c r="N39" s="156">
        <v>2960</v>
      </c>
      <c r="O39" s="157" t="s">
        <v>224</v>
      </c>
      <c r="P39" s="157" t="s">
        <v>260</v>
      </c>
      <c r="Q39" s="158">
        <f>IF(DATA[[#This Row],[STORAGE FEE]]=0,"NULL",DATA[[#This Row],[COLDROOM FEE]])-DATA[[#This Row],[STORAGE FEE]]</f>
        <v>0</v>
      </c>
      <c r="R39" s="158">
        <f>IF(ISBLANK(DATA[[#This Row],[DISCHARGE DATE]]),0,IF(DATA[[#This Row],[TYPE]]="VIP",20*DATA[[#This Row],[STORAGE DAYS]],13*DATA[[#This Row],[STORAGE DAYS]]))</f>
        <v>2960</v>
      </c>
      <c r="S39" s="71" t="str">
        <f>IF(ISBLANK(DATA[[#This Row],[COLDROOM RECEIPT]]), "IN CUSTODY", "DISCHARGED")</f>
        <v>DISCHARGED</v>
      </c>
      <c r="T39" s="58">
        <f>COUNTA(A:A)-2</f>
        <v>419</v>
      </c>
      <c r="U39" s="59">
        <f>YEAR(DATA[[#This Row],[ADMISSION DATE]])</f>
        <v>2024</v>
      </c>
      <c r="V39" s="60" t="str">
        <f>TEXT(DATA[[#This Row],[ADMISSION DATE]],"mmm")</f>
        <v>Oct</v>
      </c>
      <c r="W39" s="59">
        <f>YEAR(DATA[[#This Row],[DISCHARGE DATE]])</f>
        <v>2025</v>
      </c>
      <c r="X39" s="60" t="str">
        <f>TEXT(DATA[[#This Row],[DISCHARGE DATE]],"mmm")</f>
        <v>Mar</v>
      </c>
    </row>
    <row r="40" spans="1:24" s="27" customFormat="1" ht="19.5" hidden="1">
      <c r="A40" s="152" t="s">
        <v>261</v>
      </c>
      <c r="B40" s="151" t="s">
        <v>262</v>
      </c>
      <c r="C40" s="151">
        <v>74</v>
      </c>
      <c r="D40" s="152" t="s">
        <v>11</v>
      </c>
      <c r="E40" s="152" t="s">
        <v>263</v>
      </c>
      <c r="F40" s="153">
        <v>597766781</v>
      </c>
      <c r="G40" s="152" t="s">
        <v>15</v>
      </c>
      <c r="H40" s="154">
        <v>0.875</v>
      </c>
      <c r="I40" s="152" t="s">
        <v>18</v>
      </c>
      <c r="J40" s="155">
        <v>45583</v>
      </c>
      <c r="K40" s="155">
        <v>45744</v>
      </c>
      <c r="L40" s="151">
        <f>IF(ISBLANK(DATA[[#This Row],[DISCHARGE DATE]]),"NO DATE", DATA[[#This Row],[DISCHARGE DATE]]-DATA[[#This Row],[ADMISSION DATE]]+1)</f>
        <v>162</v>
      </c>
      <c r="M40" s="156">
        <v>350</v>
      </c>
      <c r="N40" s="156">
        <v>2106</v>
      </c>
      <c r="O40" s="157" t="s">
        <v>137</v>
      </c>
      <c r="P40" s="157" t="s">
        <v>264</v>
      </c>
      <c r="Q40" s="158">
        <f>IF(DATA[[#This Row],[STORAGE FEE]]=0,"NULL",DATA[[#This Row],[COLDROOM FEE]])-DATA[[#This Row],[STORAGE FEE]]</f>
        <v>0</v>
      </c>
      <c r="R40" s="158">
        <f>IF(ISBLANK(DATA[[#This Row],[DISCHARGE DATE]]),0,IF(DATA[[#This Row],[TYPE]]="VIP",20*DATA[[#This Row],[STORAGE DAYS]],13*DATA[[#This Row],[STORAGE DAYS]]))</f>
        <v>2106</v>
      </c>
      <c r="S40" s="71" t="str">
        <f>IF(ISBLANK(DATA[[#This Row],[COLDROOM RECEIPT]]), "IN CUSTODY", "DISCHARGED")</f>
        <v>DISCHARGED</v>
      </c>
      <c r="T40" s="58">
        <f>COUNTA(A:A)-2</f>
        <v>419</v>
      </c>
      <c r="U40" s="59">
        <f>YEAR(DATA[[#This Row],[ADMISSION DATE]])</f>
        <v>2024</v>
      </c>
      <c r="V40" s="60" t="str">
        <f>TEXT(DATA[[#This Row],[ADMISSION DATE]],"mmm")</f>
        <v>Oct</v>
      </c>
      <c r="W40" s="59">
        <f>YEAR(DATA[[#This Row],[DISCHARGE DATE]])</f>
        <v>2025</v>
      </c>
      <c r="X40" s="60" t="str">
        <f>TEXT(DATA[[#This Row],[DISCHARGE DATE]],"mmm")</f>
        <v>Mar</v>
      </c>
    </row>
    <row r="41" spans="1:24" s="27" customFormat="1" ht="19.5" hidden="1">
      <c r="A41" s="152" t="s">
        <v>265</v>
      </c>
      <c r="B41" s="151" t="s">
        <v>266</v>
      </c>
      <c r="C41" s="151">
        <v>62</v>
      </c>
      <c r="D41" s="152" t="s">
        <v>12</v>
      </c>
      <c r="E41" s="152" t="s">
        <v>267</v>
      </c>
      <c r="F41" s="153">
        <v>243672593</v>
      </c>
      <c r="G41" s="152" t="s">
        <v>13</v>
      </c>
      <c r="H41" s="154">
        <v>0.66666666666666663</v>
      </c>
      <c r="I41" s="152" t="s">
        <v>18</v>
      </c>
      <c r="J41" s="155">
        <v>45586</v>
      </c>
      <c r="K41" s="155">
        <v>45807</v>
      </c>
      <c r="L41" s="151">
        <f>IF(ISBLANK(DATA[[#This Row],[DISCHARGE DATE]]),"NO DATE", DATA[[#This Row],[DISCHARGE DATE]]-DATA[[#This Row],[ADMISSION DATE]]+1)</f>
        <v>222</v>
      </c>
      <c r="M41" s="156">
        <v>350</v>
      </c>
      <c r="N41" s="156">
        <v>2886</v>
      </c>
      <c r="O41" s="157" t="s">
        <v>268</v>
      </c>
      <c r="P41" s="157" t="s">
        <v>269</v>
      </c>
      <c r="Q41" s="158">
        <f>IF(DATA[[#This Row],[STORAGE FEE]]=0,"NULL",DATA[[#This Row],[COLDROOM FEE]])-DATA[[#This Row],[STORAGE FEE]]</f>
        <v>0</v>
      </c>
      <c r="R41" s="158">
        <f>IF(ISBLANK(DATA[[#This Row],[DISCHARGE DATE]]),0,IF(DATA[[#This Row],[TYPE]]="VIP",20*DATA[[#This Row],[STORAGE DAYS]],13*DATA[[#This Row],[STORAGE DAYS]]))</f>
        <v>2886</v>
      </c>
      <c r="S41" s="71" t="str">
        <f>IF(ISBLANK(DATA[[#This Row],[COLDROOM RECEIPT]]), "IN CUSTODY", "DISCHARGED")</f>
        <v>DISCHARGED</v>
      </c>
      <c r="T41" s="58">
        <f>COUNTA(A:A)-2</f>
        <v>419</v>
      </c>
      <c r="U41" s="59">
        <f>YEAR(DATA[[#This Row],[ADMISSION DATE]])</f>
        <v>2024</v>
      </c>
      <c r="V41" s="60" t="str">
        <f>TEXT(DATA[[#This Row],[ADMISSION DATE]],"mmm")</f>
        <v>Oct</v>
      </c>
      <c r="W41" s="59">
        <f>YEAR(DATA[[#This Row],[DISCHARGE DATE]])</f>
        <v>2025</v>
      </c>
      <c r="X41" s="60" t="str">
        <f>TEXT(DATA[[#This Row],[DISCHARGE DATE]],"mmm")</f>
        <v>May</v>
      </c>
    </row>
    <row r="42" spans="1:24" s="27" customFormat="1" ht="19.5" hidden="1">
      <c r="A42" s="152" t="s">
        <v>270</v>
      </c>
      <c r="B42" s="151" t="s">
        <v>271</v>
      </c>
      <c r="C42" s="151">
        <v>80</v>
      </c>
      <c r="D42" s="152" t="s">
        <v>12</v>
      </c>
      <c r="E42" s="152" t="s">
        <v>272</v>
      </c>
      <c r="F42" s="153">
        <v>599702518</v>
      </c>
      <c r="G42" s="152" t="s">
        <v>15</v>
      </c>
      <c r="H42" s="154">
        <v>0.61805555555555558</v>
      </c>
      <c r="I42" s="152" t="s">
        <v>18</v>
      </c>
      <c r="J42" s="155">
        <v>45587</v>
      </c>
      <c r="K42" s="155">
        <v>45744</v>
      </c>
      <c r="L42" s="151">
        <f>IF(ISBLANK(DATA[[#This Row],[DISCHARGE DATE]]),"NO DATE", DATA[[#This Row],[DISCHARGE DATE]]-DATA[[#This Row],[ADMISSION DATE]]+1)</f>
        <v>158</v>
      </c>
      <c r="M42" s="156">
        <v>350</v>
      </c>
      <c r="N42" s="156">
        <v>2054</v>
      </c>
      <c r="O42" s="157" t="s">
        <v>273</v>
      </c>
      <c r="P42" s="157" t="s">
        <v>274</v>
      </c>
      <c r="Q42" s="158">
        <f>IF(DATA[[#This Row],[STORAGE FEE]]=0,"NULL",DATA[[#This Row],[COLDROOM FEE]])-DATA[[#This Row],[STORAGE FEE]]</f>
        <v>0</v>
      </c>
      <c r="R42" s="158">
        <f>IF(ISBLANK(DATA[[#This Row],[DISCHARGE DATE]]),0,IF(DATA[[#This Row],[TYPE]]="VIP",20*DATA[[#This Row],[STORAGE DAYS]],13*DATA[[#This Row],[STORAGE DAYS]]))</f>
        <v>2054</v>
      </c>
      <c r="S42" s="71" t="str">
        <f>IF(ISBLANK(DATA[[#This Row],[COLDROOM RECEIPT]]), "IN CUSTODY", "DISCHARGED")</f>
        <v>DISCHARGED</v>
      </c>
      <c r="T42" s="58">
        <f>COUNTA(A:A)-2</f>
        <v>419</v>
      </c>
      <c r="U42" s="59">
        <f>YEAR(DATA[[#This Row],[ADMISSION DATE]])</f>
        <v>2024</v>
      </c>
      <c r="V42" s="60" t="str">
        <f>TEXT(DATA[[#This Row],[ADMISSION DATE]],"mmm")</f>
        <v>Oct</v>
      </c>
      <c r="W42" s="59">
        <f>YEAR(DATA[[#This Row],[DISCHARGE DATE]])</f>
        <v>2025</v>
      </c>
      <c r="X42" s="60" t="str">
        <f>TEXT(DATA[[#This Row],[DISCHARGE DATE]],"mmm")</f>
        <v>Mar</v>
      </c>
    </row>
    <row r="43" spans="1:24" s="27" customFormat="1" ht="19.5" hidden="1">
      <c r="A43" s="152" t="s">
        <v>275</v>
      </c>
      <c r="B43" s="151" t="s">
        <v>276</v>
      </c>
      <c r="C43" s="151">
        <v>71</v>
      </c>
      <c r="D43" s="152" t="s">
        <v>12</v>
      </c>
      <c r="E43" s="152" t="s">
        <v>277</v>
      </c>
      <c r="F43" s="153">
        <v>549548828</v>
      </c>
      <c r="G43" s="152" t="s">
        <v>16</v>
      </c>
      <c r="H43" s="154">
        <v>0.75</v>
      </c>
      <c r="I43" s="152" t="s">
        <v>18</v>
      </c>
      <c r="J43" s="155">
        <v>45587</v>
      </c>
      <c r="K43" s="155">
        <v>45709</v>
      </c>
      <c r="L43" s="151">
        <f>IF(ISBLANK(DATA[[#This Row],[DISCHARGE DATE]]),"NO DATE", DATA[[#This Row],[DISCHARGE DATE]]-DATA[[#This Row],[ADMISSION DATE]]+1)</f>
        <v>123</v>
      </c>
      <c r="M43" s="156">
        <v>350</v>
      </c>
      <c r="N43" s="156">
        <v>1599</v>
      </c>
      <c r="O43" s="157" t="s">
        <v>260</v>
      </c>
      <c r="P43" s="157" t="s">
        <v>228</v>
      </c>
      <c r="Q43" s="158">
        <f>IF(DATA[[#This Row],[STORAGE FEE]]=0,"NULL",DATA[[#This Row],[COLDROOM FEE]])-DATA[[#This Row],[STORAGE FEE]]</f>
        <v>0</v>
      </c>
      <c r="R43" s="158">
        <f>IF(ISBLANK(DATA[[#This Row],[DISCHARGE DATE]]),0,IF(DATA[[#This Row],[TYPE]]="VIP",20*DATA[[#This Row],[STORAGE DAYS]],13*DATA[[#This Row],[STORAGE DAYS]]))</f>
        <v>1599</v>
      </c>
      <c r="S43" s="71" t="str">
        <f>IF(ISBLANK(DATA[[#This Row],[COLDROOM RECEIPT]]), "IN CUSTODY", "DISCHARGED")</f>
        <v>DISCHARGED</v>
      </c>
      <c r="T43" s="58">
        <f>COUNTA(A:A)-2</f>
        <v>419</v>
      </c>
      <c r="U43" s="59">
        <f>YEAR(DATA[[#This Row],[ADMISSION DATE]])</f>
        <v>2024</v>
      </c>
      <c r="V43" s="60" t="str">
        <f>TEXT(DATA[[#This Row],[ADMISSION DATE]],"mmm")</f>
        <v>Oct</v>
      </c>
      <c r="W43" s="59">
        <f>YEAR(DATA[[#This Row],[DISCHARGE DATE]])</f>
        <v>2025</v>
      </c>
      <c r="X43" s="60" t="str">
        <f>TEXT(DATA[[#This Row],[DISCHARGE DATE]],"mmm")</f>
        <v>Feb</v>
      </c>
    </row>
    <row r="44" spans="1:24" s="27" customFormat="1" ht="19.5" hidden="1">
      <c r="A44" s="152" t="s">
        <v>278</v>
      </c>
      <c r="B44" s="151" t="s">
        <v>279</v>
      </c>
      <c r="C44" s="151">
        <v>55</v>
      </c>
      <c r="D44" s="152" t="s">
        <v>12</v>
      </c>
      <c r="E44" s="152" t="s">
        <v>280</v>
      </c>
      <c r="F44" s="153">
        <v>598796666</v>
      </c>
      <c r="G44" s="152" t="s">
        <v>16</v>
      </c>
      <c r="H44" s="154">
        <v>0.69444444444444442</v>
      </c>
      <c r="I44" s="152" t="s">
        <v>18</v>
      </c>
      <c r="J44" s="155">
        <v>45588</v>
      </c>
      <c r="K44" s="155">
        <v>45807</v>
      </c>
      <c r="L44" s="151">
        <f>IF(ISBLANK(DATA[[#This Row],[DISCHARGE DATE]]),"NO DATE", DATA[[#This Row],[DISCHARGE DATE]]-DATA[[#This Row],[ADMISSION DATE]]+1)</f>
        <v>220</v>
      </c>
      <c r="M44" s="156">
        <v>350</v>
      </c>
      <c r="N44" s="156">
        <v>2860</v>
      </c>
      <c r="O44" s="157" t="s">
        <v>256</v>
      </c>
      <c r="P44" s="157" t="s">
        <v>281</v>
      </c>
      <c r="Q44" s="158">
        <f>IF(DATA[[#This Row],[STORAGE FEE]]=0,"NULL",DATA[[#This Row],[COLDROOM FEE]])-DATA[[#This Row],[STORAGE FEE]]</f>
        <v>0</v>
      </c>
      <c r="R44" s="158">
        <f>IF(ISBLANK(DATA[[#This Row],[DISCHARGE DATE]]),0,IF(DATA[[#This Row],[TYPE]]="VIP",20*DATA[[#This Row],[STORAGE DAYS]],13*DATA[[#This Row],[STORAGE DAYS]]))</f>
        <v>2860</v>
      </c>
      <c r="S44" s="71" t="str">
        <f>IF(ISBLANK(DATA[[#This Row],[COLDROOM RECEIPT]]), "IN CUSTODY", "DISCHARGED")</f>
        <v>DISCHARGED</v>
      </c>
      <c r="T44" s="58">
        <f>COUNTA(A:A)-2</f>
        <v>419</v>
      </c>
      <c r="U44" s="59">
        <f>YEAR(DATA[[#This Row],[ADMISSION DATE]])</f>
        <v>2024</v>
      </c>
      <c r="V44" s="60" t="str">
        <f>TEXT(DATA[[#This Row],[ADMISSION DATE]],"mmm")</f>
        <v>Oct</v>
      </c>
      <c r="W44" s="59">
        <f>YEAR(DATA[[#This Row],[DISCHARGE DATE]])</f>
        <v>2025</v>
      </c>
      <c r="X44" s="60" t="str">
        <f>TEXT(DATA[[#This Row],[DISCHARGE DATE]],"mmm")</f>
        <v>May</v>
      </c>
    </row>
    <row r="45" spans="1:24" s="27" customFormat="1" ht="19.5" hidden="1">
      <c r="A45" s="152" t="s">
        <v>282</v>
      </c>
      <c r="B45" s="151" t="s">
        <v>283</v>
      </c>
      <c r="C45" s="151">
        <v>75</v>
      </c>
      <c r="D45" s="152" t="s">
        <v>12</v>
      </c>
      <c r="E45" s="152" t="s">
        <v>284</v>
      </c>
      <c r="F45" s="153">
        <v>246782477</v>
      </c>
      <c r="G45" s="152" t="s">
        <v>13</v>
      </c>
      <c r="H45" s="154">
        <v>0.44097222222222221</v>
      </c>
      <c r="I45" s="152" t="s">
        <v>18</v>
      </c>
      <c r="J45" s="155">
        <v>45594</v>
      </c>
      <c r="K45" s="155">
        <v>45772</v>
      </c>
      <c r="L45" s="151">
        <f>IF(ISBLANK(DATA[[#This Row],[DISCHARGE DATE]]),"NO DATE", DATA[[#This Row],[DISCHARGE DATE]]-DATA[[#This Row],[ADMISSION DATE]]+1)</f>
        <v>179</v>
      </c>
      <c r="M45" s="156">
        <v>350</v>
      </c>
      <c r="N45" s="156">
        <v>2327</v>
      </c>
      <c r="O45" s="157" t="s">
        <v>285</v>
      </c>
      <c r="P45" s="157" t="s">
        <v>286</v>
      </c>
      <c r="Q45" s="158">
        <f>IF(DATA[[#This Row],[STORAGE FEE]]=0,"NULL",DATA[[#This Row],[COLDROOM FEE]])-DATA[[#This Row],[STORAGE FEE]]</f>
        <v>0</v>
      </c>
      <c r="R45" s="158">
        <f>IF(ISBLANK(DATA[[#This Row],[DISCHARGE DATE]]),0,IF(DATA[[#This Row],[TYPE]]="VIP",20*DATA[[#This Row],[STORAGE DAYS]],13*DATA[[#This Row],[STORAGE DAYS]]))</f>
        <v>2327</v>
      </c>
      <c r="S45" s="71" t="str">
        <f>IF(ISBLANK(DATA[[#This Row],[COLDROOM RECEIPT]]), "IN CUSTODY", "DISCHARGED")</f>
        <v>DISCHARGED</v>
      </c>
      <c r="T45" s="58">
        <f>COUNTA(A:A)-2</f>
        <v>419</v>
      </c>
      <c r="U45" s="59">
        <f>YEAR(DATA[[#This Row],[ADMISSION DATE]])</f>
        <v>2024</v>
      </c>
      <c r="V45" s="60" t="str">
        <f>TEXT(DATA[[#This Row],[ADMISSION DATE]],"mmm")</f>
        <v>Oct</v>
      </c>
      <c r="W45" s="59">
        <f>YEAR(DATA[[#This Row],[DISCHARGE DATE]])</f>
        <v>2025</v>
      </c>
      <c r="X45" s="60" t="str">
        <f>TEXT(DATA[[#This Row],[DISCHARGE DATE]],"mmm")</f>
        <v>Apr</v>
      </c>
    </row>
    <row r="46" spans="1:24" s="27" customFormat="1" ht="19.5" hidden="1">
      <c r="A46" s="152" t="s">
        <v>287</v>
      </c>
      <c r="B46" s="151" t="s">
        <v>288</v>
      </c>
      <c r="C46" s="151">
        <v>60</v>
      </c>
      <c r="D46" s="152" t="s">
        <v>11</v>
      </c>
      <c r="E46" s="152" t="s">
        <v>289</v>
      </c>
      <c r="F46" s="153">
        <v>591411684</v>
      </c>
      <c r="G46" s="152" t="s">
        <v>22</v>
      </c>
      <c r="H46" s="154">
        <v>0.5</v>
      </c>
      <c r="I46" s="152" t="s">
        <v>20</v>
      </c>
      <c r="J46" s="155">
        <v>45597</v>
      </c>
      <c r="K46" s="155">
        <v>45779</v>
      </c>
      <c r="L46" s="151">
        <f>IF(ISBLANK(DATA[[#This Row],[DISCHARGE DATE]]),"NO DATE", DATA[[#This Row],[DISCHARGE DATE]]-DATA[[#This Row],[ADMISSION DATE]]+1)</f>
        <v>183</v>
      </c>
      <c r="M46" s="156">
        <v>350</v>
      </c>
      <c r="N46" s="156">
        <v>3660</v>
      </c>
      <c r="O46" s="157" t="s">
        <v>290</v>
      </c>
      <c r="P46" s="157" t="s">
        <v>291</v>
      </c>
      <c r="Q46" s="158">
        <f>IF(DATA[[#This Row],[STORAGE FEE]]=0,"NULL",DATA[[#This Row],[COLDROOM FEE]])-DATA[[#This Row],[STORAGE FEE]]</f>
        <v>0</v>
      </c>
      <c r="R46" s="158">
        <f>IF(ISBLANK(DATA[[#This Row],[DISCHARGE DATE]]),0,IF(DATA[[#This Row],[TYPE]]="VIP",20*DATA[[#This Row],[STORAGE DAYS]],13*DATA[[#This Row],[STORAGE DAYS]]))</f>
        <v>3660</v>
      </c>
      <c r="S46" s="71" t="str">
        <f>IF(ISBLANK(DATA[[#This Row],[COLDROOM RECEIPT]]), "IN CUSTODY", "DISCHARGED")</f>
        <v>DISCHARGED</v>
      </c>
      <c r="T46" s="58">
        <f>COUNTA(A:A)-2</f>
        <v>419</v>
      </c>
      <c r="U46" s="59">
        <f>YEAR(DATA[[#This Row],[ADMISSION DATE]])</f>
        <v>2024</v>
      </c>
      <c r="V46" s="60" t="str">
        <f>TEXT(DATA[[#This Row],[ADMISSION DATE]],"mmm")</f>
        <v>Nov</v>
      </c>
      <c r="W46" s="59">
        <f>YEAR(DATA[[#This Row],[DISCHARGE DATE]])</f>
        <v>2025</v>
      </c>
      <c r="X46" s="60" t="str">
        <f>TEXT(DATA[[#This Row],[DISCHARGE DATE]],"mmm")</f>
        <v>May</v>
      </c>
    </row>
    <row r="47" spans="1:24" s="27" customFormat="1" ht="19.5" hidden="1">
      <c r="A47" s="152" t="s">
        <v>292</v>
      </c>
      <c r="B47" s="151" t="s">
        <v>293</v>
      </c>
      <c r="C47" s="151">
        <v>85</v>
      </c>
      <c r="D47" s="152" t="s">
        <v>12</v>
      </c>
      <c r="E47" s="152" t="s">
        <v>294</v>
      </c>
      <c r="F47" s="153">
        <v>249608599</v>
      </c>
      <c r="G47" s="152" t="s">
        <v>16</v>
      </c>
      <c r="H47" s="154">
        <v>0.20833333333333334</v>
      </c>
      <c r="I47" s="152" t="s">
        <v>20</v>
      </c>
      <c r="J47" s="155">
        <v>45602</v>
      </c>
      <c r="K47" s="155">
        <v>45772</v>
      </c>
      <c r="L47" s="151">
        <f>IF(ISBLANK(DATA[[#This Row],[DISCHARGE DATE]]),"NO DATE", DATA[[#This Row],[DISCHARGE DATE]]-DATA[[#This Row],[ADMISSION DATE]]+1)</f>
        <v>171</v>
      </c>
      <c r="M47" s="156">
        <v>350</v>
      </c>
      <c r="N47" s="156">
        <v>3420</v>
      </c>
      <c r="O47" s="157" t="s">
        <v>295</v>
      </c>
      <c r="P47" s="157" t="s">
        <v>296</v>
      </c>
      <c r="Q47" s="158">
        <f>IF(DATA[[#This Row],[STORAGE FEE]]=0,"NULL",DATA[[#This Row],[COLDROOM FEE]])-DATA[[#This Row],[STORAGE FEE]]</f>
        <v>0</v>
      </c>
      <c r="R47" s="158">
        <f>IF(ISBLANK(DATA[[#This Row],[DISCHARGE DATE]]),0,IF(DATA[[#This Row],[TYPE]]="VIP",20*DATA[[#This Row],[STORAGE DAYS]],13*DATA[[#This Row],[STORAGE DAYS]]))</f>
        <v>3420</v>
      </c>
      <c r="S47" s="71" t="str">
        <f>IF(ISBLANK(DATA[[#This Row],[COLDROOM RECEIPT]]), "IN CUSTODY", "DISCHARGED")</f>
        <v>DISCHARGED</v>
      </c>
      <c r="T47" s="58">
        <f>COUNTA(A:A)-2</f>
        <v>419</v>
      </c>
      <c r="U47" s="59">
        <f>YEAR(DATA[[#This Row],[ADMISSION DATE]])</f>
        <v>2024</v>
      </c>
      <c r="V47" s="60" t="str">
        <f>TEXT(DATA[[#This Row],[ADMISSION DATE]],"mmm")</f>
        <v>Nov</v>
      </c>
      <c r="W47" s="59">
        <f>YEAR(DATA[[#This Row],[DISCHARGE DATE]])</f>
        <v>2025</v>
      </c>
      <c r="X47" s="60" t="str">
        <f>TEXT(DATA[[#This Row],[DISCHARGE DATE]],"mmm")</f>
        <v>Apr</v>
      </c>
    </row>
    <row r="48" spans="1:24" s="27" customFormat="1" ht="19.5" hidden="1">
      <c r="A48" s="152" t="s">
        <v>297</v>
      </c>
      <c r="B48" s="151" t="s">
        <v>298</v>
      </c>
      <c r="C48" s="151">
        <v>56</v>
      </c>
      <c r="D48" s="152" t="s">
        <v>11</v>
      </c>
      <c r="E48" s="152" t="s">
        <v>299</v>
      </c>
      <c r="F48" s="153">
        <v>592417150</v>
      </c>
      <c r="G48" s="152" t="s">
        <v>15</v>
      </c>
      <c r="H48" s="154">
        <v>0.22916666666666666</v>
      </c>
      <c r="I48" s="152" t="s">
        <v>18</v>
      </c>
      <c r="J48" s="155">
        <v>45604</v>
      </c>
      <c r="K48" s="155">
        <v>45688</v>
      </c>
      <c r="L48" s="151">
        <f>IF(ISBLANK(DATA[[#This Row],[DISCHARGE DATE]]),"NO DATE", DATA[[#This Row],[DISCHARGE DATE]]-DATA[[#This Row],[ADMISSION DATE]]+1)</f>
        <v>85</v>
      </c>
      <c r="M48" s="156">
        <v>350</v>
      </c>
      <c r="N48" s="156">
        <v>1105</v>
      </c>
      <c r="O48" s="157" t="s">
        <v>300</v>
      </c>
      <c r="P48" s="157" t="s">
        <v>211</v>
      </c>
      <c r="Q48" s="158">
        <f>IF(DATA[[#This Row],[STORAGE FEE]]=0,"NULL",DATA[[#This Row],[COLDROOM FEE]])-DATA[[#This Row],[STORAGE FEE]]</f>
        <v>0</v>
      </c>
      <c r="R48" s="158">
        <f>IF(ISBLANK(DATA[[#This Row],[DISCHARGE DATE]]),0,IF(DATA[[#This Row],[TYPE]]="VIP",20*DATA[[#This Row],[STORAGE DAYS]],13*DATA[[#This Row],[STORAGE DAYS]]))</f>
        <v>1105</v>
      </c>
      <c r="S48" s="71" t="str">
        <f>IF(ISBLANK(DATA[[#This Row],[COLDROOM RECEIPT]]), "IN CUSTODY", "DISCHARGED")</f>
        <v>DISCHARGED</v>
      </c>
      <c r="T48" s="58">
        <f>COUNTA(A:A)-2</f>
        <v>419</v>
      </c>
      <c r="U48" s="59">
        <f>YEAR(DATA[[#This Row],[ADMISSION DATE]])</f>
        <v>2024</v>
      </c>
      <c r="V48" s="60" t="str">
        <f>TEXT(DATA[[#This Row],[ADMISSION DATE]],"mmm")</f>
        <v>Nov</v>
      </c>
      <c r="W48" s="59">
        <f>YEAR(DATA[[#This Row],[DISCHARGE DATE]])</f>
        <v>2025</v>
      </c>
      <c r="X48" s="60" t="str">
        <f>TEXT(DATA[[#This Row],[DISCHARGE DATE]],"mmm")</f>
        <v>Jan</v>
      </c>
    </row>
    <row r="49" spans="1:24" s="27" customFormat="1" ht="19.5" hidden="1">
      <c r="A49" s="152" t="s">
        <v>301</v>
      </c>
      <c r="B49" s="151" t="s">
        <v>302</v>
      </c>
      <c r="C49" s="151">
        <v>79</v>
      </c>
      <c r="D49" s="152" t="s">
        <v>11</v>
      </c>
      <c r="E49" s="152" t="s">
        <v>303</v>
      </c>
      <c r="F49" s="153">
        <v>245427262</v>
      </c>
      <c r="G49" s="152" t="s">
        <v>17</v>
      </c>
      <c r="H49" s="154">
        <v>0.54166666666666663</v>
      </c>
      <c r="I49" s="152" t="s">
        <v>18</v>
      </c>
      <c r="J49" s="155">
        <v>45604</v>
      </c>
      <c r="K49" s="155">
        <v>45723</v>
      </c>
      <c r="L49" s="151">
        <f>IF(ISBLANK(DATA[[#This Row],[DISCHARGE DATE]]),"NO DATE", DATA[[#This Row],[DISCHARGE DATE]]-DATA[[#This Row],[ADMISSION DATE]]+1)</f>
        <v>120</v>
      </c>
      <c r="M49" s="156">
        <v>350</v>
      </c>
      <c r="N49" s="156">
        <v>1560</v>
      </c>
      <c r="O49" s="157" t="s">
        <v>304</v>
      </c>
      <c r="P49" s="157" t="s">
        <v>223</v>
      </c>
      <c r="Q49" s="158">
        <f>IF(DATA[[#This Row],[STORAGE FEE]]=0,"NULL",DATA[[#This Row],[COLDROOM FEE]])-DATA[[#This Row],[STORAGE FEE]]</f>
        <v>0</v>
      </c>
      <c r="R49" s="158">
        <f>IF(ISBLANK(DATA[[#This Row],[DISCHARGE DATE]]),0,IF(DATA[[#This Row],[TYPE]]="VIP",20*DATA[[#This Row],[STORAGE DAYS]],13*DATA[[#This Row],[STORAGE DAYS]]))</f>
        <v>1560</v>
      </c>
      <c r="S49" s="71" t="str">
        <f>IF(ISBLANK(DATA[[#This Row],[COLDROOM RECEIPT]]), "IN CUSTODY", "DISCHARGED")</f>
        <v>DISCHARGED</v>
      </c>
      <c r="T49" s="58">
        <f>COUNTA(A:A)-2</f>
        <v>419</v>
      </c>
      <c r="U49" s="59">
        <f>YEAR(DATA[[#This Row],[ADMISSION DATE]])</f>
        <v>2024</v>
      </c>
      <c r="V49" s="60" t="str">
        <f>TEXT(DATA[[#This Row],[ADMISSION DATE]],"mmm")</f>
        <v>Nov</v>
      </c>
      <c r="W49" s="59">
        <f>YEAR(DATA[[#This Row],[DISCHARGE DATE]])</f>
        <v>2025</v>
      </c>
      <c r="X49" s="60" t="str">
        <f>TEXT(DATA[[#This Row],[DISCHARGE DATE]],"mmm")</f>
        <v>Mar</v>
      </c>
    </row>
    <row r="50" spans="1:24" s="27" customFormat="1" ht="19.5" hidden="1">
      <c r="A50" s="152" t="s">
        <v>305</v>
      </c>
      <c r="B50" s="151" t="s">
        <v>306</v>
      </c>
      <c r="C50" s="151">
        <v>73</v>
      </c>
      <c r="D50" s="152" t="s">
        <v>12</v>
      </c>
      <c r="E50" s="152" t="s">
        <v>307</v>
      </c>
      <c r="F50" s="153">
        <v>531488948</v>
      </c>
      <c r="G50" s="152" t="s">
        <v>13</v>
      </c>
      <c r="H50" s="154">
        <v>0.5</v>
      </c>
      <c r="I50" s="152" t="s">
        <v>18</v>
      </c>
      <c r="J50" s="155">
        <v>45612</v>
      </c>
      <c r="K50" s="155">
        <v>45744</v>
      </c>
      <c r="L50" s="151">
        <f>IF(ISBLANK(DATA[[#This Row],[DISCHARGE DATE]]),"NO DATE", DATA[[#This Row],[DISCHARGE DATE]]-DATA[[#This Row],[ADMISSION DATE]]+1)</f>
        <v>133</v>
      </c>
      <c r="M50" s="156">
        <v>350</v>
      </c>
      <c r="N50" s="156">
        <v>1729</v>
      </c>
      <c r="O50" s="157" t="s">
        <v>308</v>
      </c>
      <c r="P50" s="157" t="s">
        <v>309</v>
      </c>
      <c r="Q50" s="158">
        <f>IF(DATA[[#This Row],[STORAGE FEE]]=0,"NULL",DATA[[#This Row],[COLDROOM FEE]])-DATA[[#This Row],[STORAGE FEE]]</f>
        <v>0</v>
      </c>
      <c r="R50" s="158">
        <f>IF(ISBLANK(DATA[[#This Row],[DISCHARGE DATE]]),0,IF(DATA[[#This Row],[TYPE]]="VIP",20*DATA[[#This Row],[STORAGE DAYS]],13*DATA[[#This Row],[STORAGE DAYS]]))</f>
        <v>1729</v>
      </c>
      <c r="S50" s="71" t="str">
        <f>IF(ISBLANK(DATA[[#This Row],[COLDROOM RECEIPT]]), "IN CUSTODY", "DISCHARGED")</f>
        <v>DISCHARGED</v>
      </c>
      <c r="T50" s="58">
        <f>COUNTA(A:A)-2</f>
        <v>419</v>
      </c>
      <c r="U50" s="59">
        <f>YEAR(DATA[[#This Row],[ADMISSION DATE]])</f>
        <v>2024</v>
      </c>
      <c r="V50" s="60" t="str">
        <f>TEXT(DATA[[#This Row],[ADMISSION DATE]],"mmm")</f>
        <v>Nov</v>
      </c>
      <c r="W50" s="59">
        <f>YEAR(DATA[[#This Row],[DISCHARGE DATE]])</f>
        <v>2025</v>
      </c>
      <c r="X50" s="60" t="str">
        <f>TEXT(DATA[[#This Row],[DISCHARGE DATE]],"mmm")</f>
        <v>Mar</v>
      </c>
    </row>
    <row r="51" spans="1:24" s="27" customFormat="1" ht="19.5" hidden="1">
      <c r="A51" s="152" t="s">
        <v>310</v>
      </c>
      <c r="B51" s="151" t="s">
        <v>311</v>
      </c>
      <c r="C51" s="151">
        <v>82</v>
      </c>
      <c r="D51" s="152" t="s">
        <v>12</v>
      </c>
      <c r="E51" s="152" t="s">
        <v>312</v>
      </c>
      <c r="F51" s="153">
        <v>245461941</v>
      </c>
      <c r="G51" s="152" t="s">
        <v>15</v>
      </c>
      <c r="H51" s="154">
        <v>0.72916666666666663</v>
      </c>
      <c r="I51" s="152" t="s">
        <v>20</v>
      </c>
      <c r="J51" s="155">
        <v>45612</v>
      </c>
      <c r="K51" s="155">
        <v>45688</v>
      </c>
      <c r="L51" s="151">
        <f>IF(ISBLANK(DATA[[#This Row],[DISCHARGE DATE]]),"NO DATE", DATA[[#This Row],[DISCHARGE DATE]]-DATA[[#This Row],[ADMISSION DATE]]+1)</f>
        <v>77</v>
      </c>
      <c r="M51" s="156">
        <v>350</v>
      </c>
      <c r="N51" s="156">
        <v>1540</v>
      </c>
      <c r="O51" s="157" t="s">
        <v>313</v>
      </c>
      <c r="P51" s="157" t="s">
        <v>215</v>
      </c>
      <c r="Q51" s="158">
        <f>IF(DATA[[#This Row],[STORAGE FEE]]=0,"NULL",DATA[[#This Row],[COLDROOM FEE]])-DATA[[#This Row],[STORAGE FEE]]</f>
        <v>0</v>
      </c>
      <c r="R51" s="158">
        <f>IF(ISBLANK(DATA[[#This Row],[DISCHARGE DATE]]),0,IF(DATA[[#This Row],[TYPE]]="VIP",20*DATA[[#This Row],[STORAGE DAYS]],13*DATA[[#This Row],[STORAGE DAYS]]))</f>
        <v>1540</v>
      </c>
      <c r="S51" s="71" t="str">
        <f>IF(ISBLANK(DATA[[#This Row],[COLDROOM RECEIPT]]), "IN CUSTODY", "DISCHARGED")</f>
        <v>DISCHARGED</v>
      </c>
      <c r="T51" s="58">
        <f>COUNTA(A:A)-2</f>
        <v>419</v>
      </c>
      <c r="U51" s="59">
        <f>YEAR(DATA[[#This Row],[ADMISSION DATE]])</f>
        <v>2024</v>
      </c>
      <c r="V51" s="60" t="str">
        <f>TEXT(DATA[[#This Row],[ADMISSION DATE]],"mmm")</f>
        <v>Nov</v>
      </c>
      <c r="W51" s="59">
        <f>YEAR(DATA[[#This Row],[DISCHARGE DATE]])</f>
        <v>2025</v>
      </c>
      <c r="X51" s="60" t="str">
        <f>TEXT(DATA[[#This Row],[DISCHARGE DATE]],"mmm")</f>
        <v>Jan</v>
      </c>
    </row>
    <row r="52" spans="1:24" s="27" customFormat="1" ht="19.5" hidden="1">
      <c r="A52" s="152" t="s">
        <v>314</v>
      </c>
      <c r="B52" s="151" t="s">
        <v>315</v>
      </c>
      <c r="C52" s="151">
        <v>40</v>
      </c>
      <c r="D52" s="152" t="s">
        <v>11</v>
      </c>
      <c r="E52" s="152" t="s">
        <v>316</v>
      </c>
      <c r="F52" s="153">
        <v>541938360</v>
      </c>
      <c r="G52" s="152" t="s">
        <v>26</v>
      </c>
      <c r="H52" s="154">
        <v>0.5</v>
      </c>
      <c r="I52" s="152" t="s">
        <v>18</v>
      </c>
      <c r="J52" s="155">
        <v>45614</v>
      </c>
      <c r="K52" s="155">
        <v>45709</v>
      </c>
      <c r="L52" s="151">
        <f>IF(ISBLANK(DATA[[#This Row],[DISCHARGE DATE]]),"NO DATE", DATA[[#This Row],[DISCHARGE DATE]]-DATA[[#This Row],[ADMISSION DATE]]+1)</f>
        <v>96</v>
      </c>
      <c r="M52" s="156">
        <v>350</v>
      </c>
      <c r="N52" s="156">
        <v>1920</v>
      </c>
      <c r="O52" s="157" t="s">
        <v>317</v>
      </c>
      <c r="P52" s="157" t="s">
        <v>242</v>
      </c>
      <c r="Q52" s="158">
        <f>IF(DATA[[#This Row],[STORAGE FEE]]=0,"NULL",DATA[[#This Row],[COLDROOM FEE]])-DATA[[#This Row],[STORAGE FEE]]</f>
        <v>672</v>
      </c>
      <c r="R52" s="158">
        <f>IF(ISBLANK(DATA[[#This Row],[DISCHARGE DATE]]),0,IF(DATA[[#This Row],[TYPE]]="VIP",20*DATA[[#This Row],[STORAGE DAYS]],13*DATA[[#This Row],[STORAGE DAYS]]))</f>
        <v>1248</v>
      </c>
      <c r="S52" s="71" t="str">
        <f>IF(ISBLANK(DATA[[#This Row],[COLDROOM RECEIPT]]), "IN CUSTODY", "DISCHARGED")</f>
        <v>DISCHARGED</v>
      </c>
      <c r="T52" s="58">
        <f>COUNTA(A:A)-2</f>
        <v>419</v>
      </c>
      <c r="U52" s="59">
        <f>YEAR(DATA[[#This Row],[ADMISSION DATE]])</f>
        <v>2024</v>
      </c>
      <c r="V52" s="60" t="str">
        <f>TEXT(DATA[[#This Row],[ADMISSION DATE]],"mmm")</f>
        <v>Nov</v>
      </c>
      <c r="W52" s="59">
        <f>YEAR(DATA[[#This Row],[DISCHARGE DATE]])</f>
        <v>2025</v>
      </c>
      <c r="X52" s="60" t="str">
        <f>TEXT(DATA[[#This Row],[DISCHARGE DATE]],"mmm")</f>
        <v>Feb</v>
      </c>
    </row>
    <row r="53" spans="1:24" s="27" customFormat="1" ht="19.5" hidden="1">
      <c r="A53" s="152" t="s">
        <v>318</v>
      </c>
      <c r="B53" s="151" t="s">
        <v>319</v>
      </c>
      <c r="C53" s="151">
        <v>70</v>
      </c>
      <c r="D53" s="152" t="s">
        <v>11</v>
      </c>
      <c r="E53" s="152" t="s">
        <v>320</v>
      </c>
      <c r="F53" s="153">
        <v>591349206</v>
      </c>
      <c r="G53" s="152" t="s">
        <v>13</v>
      </c>
      <c r="H53" s="154">
        <v>0.25</v>
      </c>
      <c r="I53" s="152" t="s">
        <v>20</v>
      </c>
      <c r="J53" s="155">
        <v>45618</v>
      </c>
      <c r="K53" s="155">
        <v>45807</v>
      </c>
      <c r="L53" s="151">
        <f>IF(ISBLANK(DATA[[#This Row],[DISCHARGE DATE]]),"NO DATE", DATA[[#This Row],[DISCHARGE DATE]]-DATA[[#This Row],[ADMISSION DATE]]+1)</f>
        <v>190</v>
      </c>
      <c r="M53" s="156">
        <v>350</v>
      </c>
      <c r="N53" s="156">
        <v>3800</v>
      </c>
      <c r="O53" s="157" t="s">
        <v>321</v>
      </c>
      <c r="P53" s="157" t="s">
        <v>322</v>
      </c>
      <c r="Q53" s="158">
        <f>IF(DATA[[#This Row],[STORAGE FEE]]=0,"NULL",DATA[[#This Row],[COLDROOM FEE]])-DATA[[#This Row],[STORAGE FEE]]</f>
        <v>0</v>
      </c>
      <c r="R53" s="158">
        <f>IF(ISBLANK(DATA[[#This Row],[DISCHARGE DATE]]),0,IF(DATA[[#This Row],[TYPE]]="VIP",20*DATA[[#This Row],[STORAGE DAYS]],13*DATA[[#This Row],[STORAGE DAYS]]))</f>
        <v>3800</v>
      </c>
      <c r="S53" s="71" t="str">
        <f>IF(ISBLANK(DATA[[#This Row],[COLDROOM RECEIPT]]), "IN CUSTODY", "DISCHARGED")</f>
        <v>DISCHARGED</v>
      </c>
      <c r="T53" s="58">
        <f>COUNTA(A:A)-2</f>
        <v>419</v>
      </c>
      <c r="U53" s="59">
        <f>YEAR(DATA[[#This Row],[ADMISSION DATE]])</f>
        <v>2024</v>
      </c>
      <c r="V53" s="60" t="str">
        <f>TEXT(DATA[[#This Row],[ADMISSION DATE]],"mmm")</f>
        <v>Nov</v>
      </c>
      <c r="W53" s="59">
        <f>YEAR(DATA[[#This Row],[DISCHARGE DATE]])</f>
        <v>2025</v>
      </c>
      <c r="X53" s="60" t="str">
        <f>TEXT(DATA[[#This Row],[DISCHARGE DATE]],"mmm")</f>
        <v>May</v>
      </c>
    </row>
    <row r="54" spans="1:24" s="27" customFormat="1" ht="19.5" hidden="1">
      <c r="A54" s="152" t="s">
        <v>323</v>
      </c>
      <c r="B54" s="151" t="s">
        <v>324</v>
      </c>
      <c r="C54" s="151">
        <v>42</v>
      </c>
      <c r="D54" s="152" t="s">
        <v>11</v>
      </c>
      <c r="E54" s="152" t="s">
        <v>325</v>
      </c>
      <c r="F54" s="153">
        <v>242122292</v>
      </c>
      <c r="G54" s="152" t="s">
        <v>13</v>
      </c>
      <c r="H54" s="154">
        <v>0.25</v>
      </c>
      <c r="I54" s="152" t="s">
        <v>18</v>
      </c>
      <c r="J54" s="155">
        <v>45621</v>
      </c>
      <c r="K54" s="155">
        <v>45709</v>
      </c>
      <c r="L54" s="151">
        <f>IF(ISBLANK(DATA[[#This Row],[DISCHARGE DATE]]),"NO DATE", DATA[[#This Row],[DISCHARGE DATE]]-DATA[[#This Row],[ADMISSION DATE]]+1)</f>
        <v>89</v>
      </c>
      <c r="M54" s="156">
        <v>350</v>
      </c>
      <c r="N54" s="156">
        <v>1157</v>
      </c>
      <c r="O54" s="157" t="s">
        <v>326</v>
      </c>
      <c r="P54" s="157" t="s">
        <v>251</v>
      </c>
      <c r="Q54" s="158">
        <f>IF(DATA[[#This Row],[STORAGE FEE]]=0,"NULL",DATA[[#This Row],[COLDROOM FEE]])-DATA[[#This Row],[STORAGE FEE]]</f>
        <v>0</v>
      </c>
      <c r="R54" s="158">
        <f>IF(ISBLANK(DATA[[#This Row],[DISCHARGE DATE]]),0,IF(DATA[[#This Row],[TYPE]]="VIP",20*DATA[[#This Row],[STORAGE DAYS]],13*DATA[[#This Row],[STORAGE DAYS]]))</f>
        <v>1157</v>
      </c>
      <c r="S54" s="71" t="str">
        <f>IF(ISBLANK(DATA[[#This Row],[COLDROOM RECEIPT]]), "IN CUSTODY", "DISCHARGED")</f>
        <v>DISCHARGED</v>
      </c>
      <c r="T54" s="58">
        <f>COUNTA(A:A)-2</f>
        <v>419</v>
      </c>
      <c r="U54" s="59">
        <f>YEAR(DATA[[#This Row],[ADMISSION DATE]])</f>
        <v>2024</v>
      </c>
      <c r="V54" s="60" t="str">
        <f>TEXT(DATA[[#This Row],[ADMISSION DATE]],"mmm")</f>
        <v>Nov</v>
      </c>
      <c r="W54" s="59">
        <f>YEAR(DATA[[#This Row],[DISCHARGE DATE]])</f>
        <v>2025</v>
      </c>
      <c r="X54" s="60" t="str">
        <f>TEXT(DATA[[#This Row],[DISCHARGE DATE]],"mmm")</f>
        <v>Feb</v>
      </c>
    </row>
    <row r="55" spans="1:24" s="27" customFormat="1" ht="19.5" hidden="1">
      <c r="A55" s="152" t="s">
        <v>327</v>
      </c>
      <c r="B55" s="151" t="s">
        <v>328</v>
      </c>
      <c r="C55" s="151">
        <v>56</v>
      </c>
      <c r="D55" s="152" t="s">
        <v>12</v>
      </c>
      <c r="E55" s="152" t="s">
        <v>329</v>
      </c>
      <c r="F55" s="153">
        <v>591349206</v>
      </c>
      <c r="G55" s="152" t="s">
        <v>13</v>
      </c>
      <c r="H55" s="154">
        <v>0.77083333333333337</v>
      </c>
      <c r="I55" s="152" t="s">
        <v>20</v>
      </c>
      <c r="J55" s="155">
        <v>45619</v>
      </c>
      <c r="K55" s="155">
        <v>45744</v>
      </c>
      <c r="L55" s="151">
        <f>IF(ISBLANK(DATA[[#This Row],[DISCHARGE DATE]]),"NO DATE", DATA[[#This Row],[DISCHARGE DATE]]-DATA[[#This Row],[ADMISSION DATE]]+1)</f>
        <v>126</v>
      </c>
      <c r="M55" s="156">
        <v>350</v>
      </c>
      <c r="N55" s="156">
        <v>2520</v>
      </c>
      <c r="O55" s="157" t="s">
        <v>243</v>
      </c>
      <c r="P55" s="157" t="s">
        <v>330</v>
      </c>
      <c r="Q55" s="158">
        <f>IF(DATA[[#This Row],[STORAGE FEE]]=0,"NULL",DATA[[#This Row],[COLDROOM FEE]])-DATA[[#This Row],[STORAGE FEE]]</f>
        <v>0</v>
      </c>
      <c r="R55" s="158">
        <f>IF(ISBLANK(DATA[[#This Row],[DISCHARGE DATE]]),0,IF(DATA[[#This Row],[TYPE]]="VIP",20*DATA[[#This Row],[STORAGE DAYS]],13*DATA[[#This Row],[STORAGE DAYS]]))</f>
        <v>2520</v>
      </c>
      <c r="S55" s="71" t="str">
        <f>IF(ISBLANK(DATA[[#This Row],[COLDROOM RECEIPT]]), "IN CUSTODY", "DISCHARGED")</f>
        <v>DISCHARGED</v>
      </c>
      <c r="T55" s="58">
        <f>COUNTA(A:A)-2</f>
        <v>419</v>
      </c>
      <c r="U55" s="59">
        <f>YEAR(DATA[[#This Row],[ADMISSION DATE]])</f>
        <v>2024</v>
      </c>
      <c r="V55" s="60" t="str">
        <f>TEXT(DATA[[#This Row],[ADMISSION DATE]],"mmm")</f>
        <v>Nov</v>
      </c>
      <c r="W55" s="59">
        <f>YEAR(DATA[[#This Row],[DISCHARGE DATE]])</f>
        <v>2025</v>
      </c>
      <c r="X55" s="60" t="str">
        <f>TEXT(DATA[[#This Row],[DISCHARGE DATE]],"mmm")</f>
        <v>Mar</v>
      </c>
    </row>
    <row r="56" spans="1:24" s="27" customFormat="1" ht="19.5" hidden="1">
      <c r="A56" s="152" t="s">
        <v>331</v>
      </c>
      <c r="B56" s="151" t="s">
        <v>332</v>
      </c>
      <c r="C56" s="151">
        <v>87</v>
      </c>
      <c r="D56" s="152" t="s">
        <v>11</v>
      </c>
      <c r="E56" s="152" t="s">
        <v>333</v>
      </c>
      <c r="F56" s="153">
        <v>245209916</v>
      </c>
      <c r="G56" s="152" t="s">
        <v>13</v>
      </c>
      <c r="H56" s="154">
        <v>0.52222222222222225</v>
      </c>
      <c r="I56" s="152" t="s">
        <v>18</v>
      </c>
      <c r="J56" s="155">
        <v>45624</v>
      </c>
      <c r="K56" s="155">
        <v>45744</v>
      </c>
      <c r="L56" s="151">
        <f>IF(ISBLANK(DATA[[#This Row],[DISCHARGE DATE]]),"NO DATE", DATA[[#This Row],[DISCHARGE DATE]]-DATA[[#This Row],[ADMISSION DATE]]+1)</f>
        <v>121</v>
      </c>
      <c r="M56" s="156">
        <v>350</v>
      </c>
      <c r="N56" s="156">
        <v>1573</v>
      </c>
      <c r="O56" s="157" t="s">
        <v>274</v>
      </c>
      <c r="P56" s="157" t="s">
        <v>304</v>
      </c>
      <c r="Q56" s="158">
        <f>IF(DATA[[#This Row],[STORAGE FEE]]=0,"NULL",DATA[[#This Row],[COLDROOM FEE]])-DATA[[#This Row],[STORAGE FEE]]</f>
        <v>0</v>
      </c>
      <c r="R56" s="158">
        <f>IF(ISBLANK(DATA[[#This Row],[DISCHARGE DATE]]),0,IF(DATA[[#This Row],[TYPE]]="VIP",20*DATA[[#This Row],[STORAGE DAYS]],13*DATA[[#This Row],[STORAGE DAYS]]))</f>
        <v>1573</v>
      </c>
      <c r="S56" s="71" t="str">
        <f>IF(ISBLANK(DATA[[#This Row],[COLDROOM RECEIPT]]), "IN CUSTODY", "DISCHARGED")</f>
        <v>DISCHARGED</v>
      </c>
      <c r="T56" s="58">
        <f>COUNTA(A:A)-2</f>
        <v>419</v>
      </c>
      <c r="U56" s="59">
        <f>YEAR(DATA[[#This Row],[ADMISSION DATE]])</f>
        <v>2024</v>
      </c>
      <c r="V56" s="60" t="str">
        <f>TEXT(DATA[[#This Row],[ADMISSION DATE]],"mmm")</f>
        <v>Nov</v>
      </c>
      <c r="W56" s="59">
        <f>YEAR(DATA[[#This Row],[DISCHARGE DATE]])</f>
        <v>2025</v>
      </c>
      <c r="X56" s="60" t="str">
        <f>TEXT(DATA[[#This Row],[DISCHARGE DATE]],"mmm")</f>
        <v>Mar</v>
      </c>
    </row>
    <row r="57" spans="1:24" s="27" customFormat="1" ht="19.5" hidden="1">
      <c r="A57" s="152" t="s">
        <v>334</v>
      </c>
      <c r="B57" s="151" t="s">
        <v>335</v>
      </c>
      <c r="C57" s="151">
        <v>80</v>
      </c>
      <c r="D57" s="152" t="s">
        <v>11</v>
      </c>
      <c r="E57" s="152" t="s">
        <v>336</v>
      </c>
      <c r="F57" s="153">
        <v>247570112</v>
      </c>
      <c r="G57" s="152" t="s">
        <v>13</v>
      </c>
      <c r="H57" s="154">
        <v>0.52916666666666667</v>
      </c>
      <c r="I57" s="152" t="s">
        <v>20</v>
      </c>
      <c r="J57" s="155">
        <v>45625</v>
      </c>
      <c r="K57" s="155">
        <v>45723</v>
      </c>
      <c r="L57" s="151">
        <f>IF(ISBLANK(DATA[[#This Row],[DISCHARGE DATE]]),"NO DATE", DATA[[#This Row],[DISCHARGE DATE]]-DATA[[#This Row],[ADMISSION DATE]]+1)</f>
        <v>99</v>
      </c>
      <c r="M57" s="156">
        <v>350</v>
      </c>
      <c r="N57" s="156">
        <v>1980</v>
      </c>
      <c r="O57" s="157" t="s">
        <v>337</v>
      </c>
      <c r="P57" s="157" t="s">
        <v>268</v>
      </c>
      <c r="Q57" s="158">
        <f>IF(DATA[[#This Row],[STORAGE FEE]]=0,"NULL",DATA[[#This Row],[COLDROOM FEE]])-DATA[[#This Row],[STORAGE FEE]]</f>
        <v>0</v>
      </c>
      <c r="R57" s="158">
        <f>IF(ISBLANK(DATA[[#This Row],[DISCHARGE DATE]]),0,IF(DATA[[#This Row],[TYPE]]="VIP",20*DATA[[#This Row],[STORAGE DAYS]],13*DATA[[#This Row],[STORAGE DAYS]]))</f>
        <v>1980</v>
      </c>
      <c r="S57" s="71" t="str">
        <f>IF(ISBLANK(DATA[[#This Row],[COLDROOM RECEIPT]]), "IN CUSTODY", "DISCHARGED")</f>
        <v>DISCHARGED</v>
      </c>
      <c r="T57" s="58">
        <f>COUNTA(A:A)-2</f>
        <v>419</v>
      </c>
      <c r="U57" s="59">
        <f>YEAR(DATA[[#This Row],[ADMISSION DATE]])</f>
        <v>2024</v>
      </c>
      <c r="V57" s="60" t="str">
        <f>TEXT(DATA[[#This Row],[ADMISSION DATE]],"mmm")</f>
        <v>Nov</v>
      </c>
      <c r="W57" s="59">
        <f>YEAR(DATA[[#This Row],[DISCHARGE DATE]])</f>
        <v>2025</v>
      </c>
      <c r="X57" s="60" t="str">
        <f>TEXT(DATA[[#This Row],[DISCHARGE DATE]],"mmm")</f>
        <v>Mar</v>
      </c>
    </row>
    <row r="58" spans="1:24" s="27" customFormat="1" ht="19.5" hidden="1">
      <c r="A58" s="152" t="s">
        <v>338</v>
      </c>
      <c r="B58" s="151" t="s">
        <v>339</v>
      </c>
      <c r="C58" s="151">
        <v>62</v>
      </c>
      <c r="D58" s="152" t="s">
        <v>12</v>
      </c>
      <c r="E58" s="152" t="s">
        <v>340</v>
      </c>
      <c r="F58" s="153">
        <v>544229344</v>
      </c>
      <c r="G58" s="152" t="s">
        <v>15</v>
      </c>
      <c r="H58" s="154">
        <v>0.83333333333333337</v>
      </c>
      <c r="I58" s="152" t="s">
        <v>18</v>
      </c>
      <c r="J58" s="155">
        <v>45627</v>
      </c>
      <c r="K58" s="155">
        <v>45723</v>
      </c>
      <c r="L58" s="151">
        <f>IF(ISBLANK(DATA[[#This Row],[DISCHARGE DATE]]),"NO DATE", DATA[[#This Row],[DISCHARGE DATE]]-DATA[[#This Row],[ADMISSION DATE]]+1)</f>
        <v>97</v>
      </c>
      <c r="M58" s="156">
        <v>350</v>
      </c>
      <c r="N58" s="156">
        <v>1261</v>
      </c>
      <c r="O58" s="157" t="s">
        <v>341</v>
      </c>
      <c r="P58" s="157" t="s">
        <v>255</v>
      </c>
      <c r="Q58" s="158">
        <f>IF(DATA[[#This Row],[STORAGE FEE]]=0,"NULL",DATA[[#This Row],[COLDROOM FEE]])-DATA[[#This Row],[STORAGE FEE]]</f>
        <v>0</v>
      </c>
      <c r="R58" s="158">
        <f>IF(ISBLANK(DATA[[#This Row],[DISCHARGE DATE]]),0,IF(DATA[[#This Row],[TYPE]]="VIP",20*DATA[[#This Row],[STORAGE DAYS]],13*DATA[[#This Row],[STORAGE DAYS]]))</f>
        <v>1261</v>
      </c>
      <c r="S58" s="71" t="str">
        <f>IF(ISBLANK(DATA[[#This Row],[COLDROOM RECEIPT]]), "IN CUSTODY", "DISCHARGED")</f>
        <v>DISCHARGED</v>
      </c>
      <c r="T58" s="58">
        <f>COUNTA(A:A)-2</f>
        <v>419</v>
      </c>
      <c r="U58" s="59">
        <f>YEAR(DATA[[#This Row],[ADMISSION DATE]])</f>
        <v>2024</v>
      </c>
      <c r="V58" s="60" t="str">
        <f>TEXT(DATA[[#This Row],[ADMISSION DATE]],"mmm")</f>
        <v>Dec</v>
      </c>
      <c r="W58" s="59">
        <f>YEAR(DATA[[#This Row],[DISCHARGE DATE]])</f>
        <v>2025</v>
      </c>
      <c r="X58" s="60" t="str">
        <f>TEXT(DATA[[#This Row],[DISCHARGE DATE]],"mmm")</f>
        <v>Mar</v>
      </c>
    </row>
    <row r="59" spans="1:24" s="27" customFormat="1" ht="19.5" hidden="1">
      <c r="A59" s="152" t="s">
        <v>342</v>
      </c>
      <c r="B59" s="151" t="s">
        <v>343</v>
      </c>
      <c r="C59" s="151">
        <v>64</v>
      </c>
      <c r="D59" s="152" t="s">
        <v>12</v>
      </c>
      <c r="E59" s="152" t="s">
        <v>344</v>
      </c>
      <c r="F59" s="153">
        <v>240097477</v>
      </c>
      <c r="G59" s="152" t="s">
        <v>13</v>
      </c>
      <c r="H59" s="154">
        <v>0.61319444444444449</v>
      </c>
      <c r="I59" s="152" t="s">
        <v>18</v>
      </c>
      <c r="J59" s="155">
        <v>45628</v>
      </c>
      <c r="K59" s="155">
        <v>45744</v>
      </c>
      <c r="L59" s="151">
        <f>IF(ISBLANK(DATA[[#This Row],[DISCHARGE DATE]]),"NO DATE", DATA[[#This Row],[DISCHARGE DATE]]-DATA[[#This Row],[ADMISSION DATE]]+1)</f>
        <v>117</v>
      </c>
      <c r="M59" s="156">
        <v>350</v>
      </c>
      <c r="N59" s="156">
        <v>1521</v>
      </c>
      <c r="O59" s="157" t="s">
        <v>345</v>
      </c>
      <c r="P59" s="157" t="s">
        <v>346</v>
      </c>
      <c r="Q59" s="158">
        <f>IF(DATA[[#This Row],[STORAGE FEE]]=0,"NULL",DATA[[#This Row],[COLDROOM FEE]])-DATA[[#This Row],[STORAGE FEE]]</f>
        <v>0</v>
      </c>
      <c r="R59" s="158">
        <f>IF(ISBLANK(DATA[[#This Row],[DISCHARGE DATE]]),0,IF(DATA[[#This Row],[TYPE]]="VIP",20*DATA[[#This Row],[STORAGE DAYS]],13*DATA[[#This Row],[STORAGE DAYS]]))</f>
        <v>1521</v>
      </c>
      <c r="S59" s="71" t="str">
        <f>IF(ISBLANK(DATA[[#This Row],[COLDROOM RECEIPT]]), "IN CUSTODY", "DISCHARGED")</f>
        <v>DISCHARGED</v>
      </c>
      <c r="T59" s="58">
        <f>COUNTA(A:A)-2</f>
        <v>419</v>
      </c>
      <c r="U59" s="59">
        <f>YEAR(DATA[[#This Row],[ADMISSION DATE]])</f>
        <v>2024</v>
      </c>
      <c r="V59" s="60" t="str">
        <f>TEXT(DATA[[#This Row],[ADMISSION DATE]],"mmm")</f>
        <v>Dec</v>
      </c>
      <c r="W59" s="59">
        <f>YEAR(DATA[[#This Row],[DISCHARGE DATE]])</f>
        <v>2025</v>
      </c>
      <c r="X59" s="60" t="str">
        <f>TEXT(DATA[[#This Row],[DISCHARGE DATE]],"mmm")</f>
        <v>Mar</v>
      </c>
    </row>
    <row r="60" spans="1:24" s="27" customFormat="1" ht="19.5" hidden="1">
      <c r="A60" s="152" t="s">
        <v>347</v>
      </c>
      <c r="B60" s="151" t="s">
        <v>348</v>
      </c>
      <c r="C60" s="151">
        <v>43</v>
      </c>
      <c r="D60" s="152" t="s">
        <v>12</v>
      </c>
      <c r="E60" s="152" t="s">
        <v>349</v>
      </c>
      <c r="F60" s="153">
        <v>532467807</v>
      </c>
      <c r="G60" s="152" t="s">
        <v>13</v>
      </c>
      <c r="H60" s="154">
        <v>0.79166666666666663</v>
      </c>
      <c r="I60" s="152" t="s">
        <v>18</v>
      </c>
      <c r="J60" s="155">
        <v>45626</v>
      </c>
      <c r="K60" s="155">
        <v>45641</v>
      </c>
      <c r="L60" s="151">
        <f>IF(ISBLANK(DATA[[#This Row],[DISCHARGE DATE]]),"NO DATE", DATA[[#This Row],[DISCHARGE DATE]]-DATA[[#This Row],[ADMISSION DATE]]+1)</f>
        <v>16</v>
      </c>
      <c r="M60" s="156">
        <v>350</v>
      </c>
      <c r="N60" s="156">
        <v>208</v>
      </c>
      <c r="O60" s="157" t="s">
        <v>147</v>
      </c>
      <c r="P60" s="157" t="s">
        <v>207</v>
      </c>
      <c r="Q60" s="158">
        <f>IF(DATA[[#This Row],[STORAGE FEE]]=0,"NULL",DATA[[#This Row],[COLDROOM FEE]])-DATA[[#This Row],[STORAGE FEE]]</f>
        <v>0</v>
      </c>
      <c r="R60" s="158">
        <f>IF(ISBLANK(DATA[[#This Row],[DISCHARGE DATE]]),0,IF(DATA[[#This Row],[TYPE]]="VIP",20*DATA[[#This Row],[STORAGE DAYS]],13*DATA[[#This Row],[STORAGE DAYS]]))</f>
        <v>208</v>
      </c>
      <c r="S60" s="71" t="str">
        <f>IF(ISBLANK(DATA[[#This Row],[COLDROOM RECEIPT]]), "IN CUSTODY", "DISCHARGED")</f>
        <v>DISCHARGED</v>
      </c>
      <c r="T60" s="58">
        <f>COUNTA(A:A)-2</f>
        <v>419</v>
      </c>
      <c r="U60" s="59">
        <f>YEAR(DATA[[#This Row],[ADMISSION DATE]])</f>
        <v>2024</v>
      </c>
      <c r="V60" s="60" t="str">
        <f>TEXT(DATA[[#This Row],[ADMISSION DATE]],"mmm")</f>
        <v>Nov</v>
      </c>
      <c r="W60" s="59">
        <f>YEAR(DATA[[#This Row],[DISCHARGE DATE]])</f>
        <v>2024</v>
      </c>
      <c r="X60" s="60" t="str">
        <f>TEXT(DATA[[#This Row],[DISCHARGE DATE]],"mmm")</f>
        <v>Dec</v>
      </c>
    </row>
    <row r="61" spans="1:24" s="27" customFormat="1" ht="19.5" hidden="1">
      <c r="A61" s="152" t="s">
        <v>350</v>
      </c>
      <c r="B61" s="151" t="s">
        <v>351</v>
      </c>
      <c r="C61" s="151">
        <v>60</v>
      </c>
      <c r="D61" s="152" t="s">
        <v>12</v>
      </c>
      <c r="E61" s="152" t="s">
        <v>352</v>
      </c>
      <c r="F61" s="153">
        <v>598241643</v>
      </c>
      <c r="G61" s="152" t="s">
        <v>17</v>
      </c>
      <c r="H61" s="154">
        <v>0.29166666666666669</v>
      </c>
      <c r="I61" s="152" t="s">
        <v>20</v>
      </c>
      <c r="J61" s="155">
        <v>45639</v>
      </c>
      <c r="K61" s="155">
        <v>45737</v>
      </c>
      <c r="L61" s="151">
        <f>IF(ISBLANK(DATA[[#This Row],[DISCHARGE DATE]]),"NO DATE", DATA[[#This Row],[DISCHARGE DATE]]-DATA[[#This Row],[ADMISSION DATE]]+1)</f>
        <v>99</v>
      </c>
      <c r="M61" s="156">
        <v>350</v>
      </c>
      <c r="N61" s="156">
        <v>1980</v>
      </c>
      <c r="O61" s="157" t="s">
        <v>353</v>
      </c>
      <c r="P61" s="157" t="s">
        <v>317</v>
      </c>
      <c r="Q61" s="158">
        <f>IF(DATA[[#This Row],[STORAGE FEE]]=0,"NULL",DATA[[#This Row],[COLDROOM FEE]])-DATA[[#This Row],[STORAGE FEE]]</f>
        <v>0</v>
      </c>
      <c r="R61" s="158">
        <f>IF(ISBLANK(DATA[[#This Row],[DISCHARGE DATE]]),0,IF(DATA[[#This Row],[TYPE]]="VIP",20*DATA[[#This Row],[STORAGE DAYS]],13*DATA[[#This Row],[STORAGE DAYS]]))</f>
        <v>1980</v>
      </c>
      <c r="S61" s="71" t="str">
        <f>IF(ISBLANK(DATA[[#This Row],[COLDROOM RECEIPT]]), "IN CUSTODY", "DISCHARGED")</f>
        <v>DISCHARGED</v>
      </c>
      <c r="T61" s="58">
        <f>COUNTA(A:A)-2</f>
        <v>419</v>
      </c>
      <c r="U61" s="59">
        <f>YEAR(DATA[[#This Row],[ADMISSION DATE]])</f>
        <v>2024</v>
      </c>
      <c r="V61" s="60" t="str">
        <f>TEXT(DATA[[#This Row],[ADMISSION DATE]],"mmm")</f>
        <v>Dec</v>
      </c>
      <c r="W61" s="59">
        <f>YEAR(DATA[[#This Row],[DISCHARGE DATE]])</f>
        <v>2025</v>
      </c>
      <c r="X61" s="60" t="str">
        <f>TEXT(DATA[[#This Row],[DISCHARGE DATE]],"mmm")</f>
        <v>Mar</v>
      </c>
    </row>
    <row r="62" spans="1:24" s="27" customFormat="1" ht="19.5" hidden="1">
      <c r="A62" s="152" t="s">
        <v>354</v>
      </c>
      <c r="B62" s="151" t="s">
        <v>355</v>
      </c>
      <c r="C62" s="151">
        <v>65</v>
      </c>
      <c r="D62" s="152" t="s">
        <v>12</v>
      </c>
      <c r="E62" s="152" t="s">
        <v>356</v>
      </c>
      <c r="F62" s="153">
        <v>544817091</v>
      </c>
      <c r="G62" s="152" t="s">
        <v>17</v>
      </c>
      <c r="H62" s="154">
        <v>0.8125</v>
      </c>
      <c r="I62" s="152" t="s">
        <v>18</v>
      </c>
      <c r="J62" s="155">
        <v>45641</v>
      </c>
      <c r="K62" s="155">
        <v>45737</v>
      </c>
      <c r="L62" s="151">
        <f>IF(ISBLANK(DATA[[#This Row],[DISCHARGE DATE]]),"NO DATE", DATA[[#This Row],[DISCHARGE DATE]]-DATA[[#This Row],[ADMISSION DATE]]+1)</f>
        <v>97</v>
      </c>
      <c r="M62" s="156">
        <v>350</v>
      </c>
      <c r="N62" s="156">
        <v>1261</v>
      </c>
      <c r="O62" s="157" t="s">
        <v>164</v>
      </c>
      <c r="P62" s="157" t="s">
        <v>308</v>
      </c>
      <c r="Q62" s="158">
        <f>IF(DATA[[#This Row],[STORAGE FEE]]=0,"NULL",DATA[[#This Row],[COLDROOM FEE]])-DATA[[#This Row],[STORAGE FEE]]</f>
        <v>0</v>
      </c>
      <c r="R62" s="158">
        <f>IF(ISBLANK(DATA[[#This Row],[DISCHARGE DATE]]),0,IF(DATA[[#This Row],[TYPE]]="VIP",20*DATA[[#This Row],[STORAGE DAYS]],13*DATA[[#This Row],[STORAGE DAYS]]))</f>
        <v>1261</v>
      </c>
      <c r="S62" s="71" t="str">
        <f>IF(ISBLANK(DATA[[#This Row],[COLDROOM RECEIPT]]), "IN CUSTODY", "DISCHARGED")</f>
        <v>DISCHARGED</v>
      </c>
      <c r="T62" s="58">
        <f>COUNTA(A:A)-2</f>
        <v>419</v>
      </c>
      <c r="U62" s="59">
        <f>YEAR(DATA[[#This Row],[ADMISSION DATE]])</f>
        <v>2024</v>
      </c>
      <c r="V62" s="60" t="str">
        <f>TEXT(DATA[[#This Row],[ADMISSION DATE]],"mmm")</f>
        <v>Dec</v>
      </c>
      <c r="W62" s="59">
        <f>YEAR(DATA[[#This Row],[DISCHARGE DATE]])</f>
        <v>2025</v>
      </c>
      <c r="X62" s="60" t="str">
        <f>TEXT(DATA[[#This Row],[DISCHARGE DATE]],"mmm")</f>
        <v>Mar</v>
      </c>
    </row>
    <row r="63" spans="1:24" s="27" customFormat="1" ht="19.5" hidden="1">
      <c r="A63" s="152" t="s">
        <v>357</v>
      </c>
      <c r="B63" s="151" t="s">
        <v>358</v>
      </c>
      <c r="C63" s="151">
        <v>64</v>
      </c>
      <c r="D63" s="152" t="s">
        <v>12</v>
      </c>
      <c r="E63" s="152" t="s">
        <v>162</v>
      </c>
      <c r="F63" s="153">
        <v>594120618</v>
      </c>
      <c r="G63" s="152" t="s">
        <v>15</v>
      </c>
      <c r="H63" s="154">
        <v>0.3125</v>
      </c>
      <c r="I63" s="152" t="s">
        <v>18</v>
      </c>
      <c r="J63" s="155">
        <v>45643</v>
      </c>
      <c r="K63" s="155">
        <v>45744</v>
      </c>
      <c r="L63" s="151">
        <f>IF(ISBLANK(DATA[[#This Row],[DISCHARGE DATE]]),"NO DATE", DATA[[#This Row],[DISCHARGE DATE]]-DATA[[#This Row],[ADMISSION DATE]]+1)</f>
        <v>102</v>
      </c>
      <c r="M63" s="156">
        <v>350</v>
      </c>
      <c r="N63" s="156">
        <v>1326</v>
      </c>
      <c r="O63" s="157" t="s">
        <v>264</v>
      </c>
      <c r="P63" s="157" t="s">
        <v>353</v>
      </c>
      <c r="Q63" s="158">
        <f>IF(DATA[[#This Row],[STORAGE FEE]]=0,"NULL",DATA[[#This Row],[COLDROOM FEE]])-DATA[[#This Row],[STORAGE FEE]]</f>
        <v>0</v>
      </c>
      <c r="R63" s="158">
        <f>IF(ISBLANK(DATA[[#This Row],[DISCHARGE DATE]]),0,IF(DATA[[#This Row],[TYPE]]="VIP",20*DATA[[#This Row],[STORAGE DAYS]],13*DATA[[#This Row],[STORAGE DAYS]]))</f>
        <v>1326</v>
      </c>
      <c r="S63" s="71" t="str">
        <f>IF(ISBLANK(DATA[[#This Row],[COLDROOM RECEIPT]]), "IN CUSTODY", "DISCHARGED")</f>
        <v>DISCHARGED</v>
      </c>
      <c r="T63" s="58">
        <f>COUNTA(A:A)-2</f>
        <v>419</v>
      </c>
      <c r="U63" s="59">
        <f>YEAR(DATA[[#This Row],[ADMISSION DATE]])</f>
        <v>2024</v>
      </c>
      <c r="V63" s="60" t="str">
        <f>TEXT(DATA[[#This Row],[ADMISSION DATE]],"mmm")</f>
        <v>Dec</v>
      </c>
      <c r="W63" s="59">
        <f>YEAR(DATA[[#This Row],[DISCHARGE DATE]])</f>
        <v>2025</v>
      </c>
      <c r="X63" s="60" t="str">
        <f>TEXT(DATA[[#This Row],[DISCHARGE DATE]],"mmm")</f>
        <v>Mar</v>
      </c>
    </row>
    <row r="64" spans="1:24" s="27" customFormat="1" ht="19.5" hidden="1">
      <c r="A64" s="152" t="s">
        <v>359</v>
      </c>
      <c r="B64" s="151" t="s">
        <v>360</v>
      </c>
      <c r="C64" s="151">
        <v>52</v>
      </c>
      <c r="D64" s="152" t="s">
        <v>11</v>
      </c>
      <c r="E64" s="152" t="s">
        <v>361</v>
      </c>
      <c r="F64" s="153">
        <v>542668147</v>
      </c>
      <c r="G64" s="152" t="s">
        <v>13</v>
      </c>
      <c r="H64" s="154">
        <v>0.39583333333333331</v>
      </c>
      <c r="I64" s="152" t="s">
        <v>18</v>
      </c>
      <c r="J64" s="155">
        <v>45644</v>
      </c>
      <c r="K64" s="155">
        <v>45772</v>
      </c>
      <c r="L64" s="151">
        <f>IF(ISBLANK(DATA[[#This Row],[DISCHARGE DATE]]),"NO DATE", DATA[[#This Row],[DISCHARGE DATE]]-DATA[[#This Row],[ADMISSION DATE]]+1)</f>
        <v>129</v>
      </c>
      <c r="M64" s="156">
        <v>350</v>
      </c>
      <c r="N64" s="156">
        <v>1677</v>
      </c>
      <c r="O64" s="157" t="s">
        <v>362</v>
      </c>
      <c r="P64" s="157" t="s">
        <v>363</v>
      </c>
      <c r="Q64" s="158">
        <f>IF(DATA[[#This Row],[STORAGE FEE]]=0,"NULL",DATA[[#This Row],[COLDROOM FEE]])-DATA[[#This Row],[STORAGE FEE]]</f>
        <v>0</v>
      </c>
      <c r="R64" s="158">
        <f>IF(ISBLANK(DATA[[#This Row],[DISCHARGE DATE]]),0,IF(DATA[[#This Row],[TYPE]]="VIP",20*DATA[[#This Row],[STORAGE DAYS]],13*DATA[[#This Row],[STORAGE DAYS]]))</f>
        <v>1677</v>
      </c>
      <c r="S64" s="71" t="str">
        <f>IF(ISBLANK(DATA[[#This Row],[COLDROOM RECEIPT]]), "IN CUSTODY", "DISCHARGED")</f>
        <v>DISCHARGED</v>
      </c>
      <c r="T64" s="58">
        <f>COUNTA(A:A)-2</f>
        <v>419</v>
      </c>
      <c r="U64" s="59">
        <f>YEAR(DATA[[#This Row],[ADMISSION DATE]])</f>
        <v>2024</v>
      </c>
      <c r="V64" s="60" t="str">
        <f>TEXT(DATA[[#This Row],[ADMISSION DATE]],"mmm")</f>
        <v>Dec</v>
      </c>
      <c r="W64" s="59">
        <f>YEAR(DATA[[#This Row],[DISCHARGE DATE]])</f>
        <v>2025</v>
      </c>
      <c r="X64" s="60" t="str">
        <f>TEXT(DATA[[#This Row],[DISCHARGE DATE]],"mmm")</f>
        <v>Apr</v>
      </c>
    </row>
    <row r="65" spans="1:24" s="27" customFormat="1" ht="19.5" hidden="1">
      <c r="A65" s="152" t="s">
        <v>364</v>
      </c>
      <c r="B65" s="151" t="s">
        <v>365</v>
      </c>
      <c r="C65" s="151">
        <v>41</v>
      </c>
      <c r="D65" s="152" t="s">
        <v>12</v>
      </c>
      <c r="E65" s="152" t="s">
        <v>366</v>
      </c>
      <c r="F65" s="153">
        <v>539843182</v>
      </c>
      <c r="G65" s="152" t="s">
        <v>13</v>
      </c>
      <c r="H65" s="154">
        <v>0.5</v>
      </c>
      <c r="I65" s="152" t="s">
        <v>18</v>
      </c>
      <c r="J65" s="155">
        <v>45649</v>
      </c>
      <c r="K65" s="155">
        <v>45744</v>
      </c>
      <c r="L65" s="151">
        <f>IF(ISBLANK(DATA[[#This Row],[DISCHARGE DATE]]),"NO DATE", DATA[[#This Row],[DISCHARGE DATE]]-DATA[[#This Row],[ADMISSION DATE]]+1)</f>
        <v>96</v>
      </c>
      <c r="M65" s="156">
        <v>350</v>
      </c>
      <c r="N65" s="156">
        <v>1248</v>
      </c>
      <c r="O65" s="157" t="s">
        <v>309</v>
      </c>
      <c r="P65" s="157" t="s">
        <v>273</v>
      </c>
      <c r="Q65" s="158">
        <f>IF(DATA[[#This Row],[STORAGE FEE]]=0,"NULL",DATA[[#This Row],[COLDROOM FEE]])-DATA[[#This Row],[STORAGE FEE]]</f>
        <v>0</v>
      </c>
      <c r="R65" s="158">
        <f>IF(ISBLANK(DATA[[#This Row],[DISCHARGE DATE]]),0,IF(DATA[[#This Row],[TYPE]]="VIP",20*DATA[[#This Row],[STORAGE DAYS]],13*DATA[[#This Row],[STORAGE DAYS]]))</f>
        <v>1248</v>
      </c>
      <c r="S65" s="71" t="str">
        <f>IF(ISBLANK(DATA[[#This Row],[COLDROOM RECEIPT]]), "IN CUSTODY", "DISCHARGED")</f>
        <v>DISCHARGED</v>
      </c>
      <c r="T65" s="58">
        <f>COUNTA(A:A)-2</f>
        <v>419</v>
      </c>
      <c r="U65" s="59">
        <f>YEAR(DATA[[#This Row],[ADMISSION DATE]])</f>
        <v>2024</v>
      </c>
      <c r="V65" s="60" t="str">
        <f>TEXT(DATA[[#This Row],[ADMISSION DATE]],"mmm")</f>
        <v>Dec</v>
      </c>
      <c r="W65" s="59">
        <f>YEAR(DATA[[#This Row],[DISCHARGE DATE]])</f>
        <v>2025</v>
      </c>
      <c r="X65" s="60" t="str">
        <f>TEXT(DATA[[#This Row],[DISCHARGE DATE]],"mmm")</f>
        <v>Mar</v>
      </c>
    </row>
    <row r="66" spans="1:24" s="27" customFormat="1" ht="19.5" hidden="1">
      <c r="A66" s="152" t="s">
        <v>367</v>
      </c>
      <c r="B66" s="151" t="s">
        <v>368</v>
      </c>
      <c r="C66" s="151">
        <v>76</v>
      </c>
      <c r="D66" s="152" t="s">
        <v>11</v>
      </c>
      <c r="E66" s="152" t="s">
        <v>369</v>
      </c>
      <c r="F66" s="153">
        <v>243985381</v>
      </c>
      <c r="G66" s="152" t="s">
        <v>16</v>
      </c>
      <c r="H66" s="154">
        <v>0.54861111111111116</v>
      </c>
      <c r="I66" s="152" t="s">
        <v>18</v>
      </c>
      <c r="J66" s="155">
        <v>45649</v>
      </c>
      <c r="K66" s="155">
        <v>45744</v>
      </c>
      <c r="L66" s="151">
        <f>IF(ISBLANK(DATA[[#This Row],[DISCHARGE DATE]]),"NO DATE", DATA[[#This Row],[DISCHARGE DATE]]-DATA[[#This Row],[ADMISSION DATE]]+1)</f>
        <v>96</v>
      </c>
      <c r="M66" s="156">
        <v>350</v>
      </c>
      <c r="N66" s="156">
        <v>1248</v>
      </c>
      <c r="O66" s="157" t="s">
        <v>233</v>
      </c>
      <c r="P66" s="157" t="s">
        <v>370</v>
      </c>
      <c r="Q66" s="158">
        <f>IF(DATA[[#This Row],[STORAGE FEE]]=0,"NULL",DATA[[#This Row],[COLDROOM FEE]])-DATA[[#This Row],[STORAGE FEE]]</f>
        <v>0</v>
      </c>
      <c r="R66" s="158">
        <f>IF(ISBLANK(DATA[[#This Row],[DISCHARGE DATE]]),0,IF(DATA[[#This Row],[TYPE]]="VIP",20*DATA[[#This Row],[STORAGE DAYS]],13*DATA[[#This Row],[STORAGE DAYS]]))</f>
        <v>1248</v>
      </c>
      <c r="S66" s="71" t="str">
        <f>IF(ISBLANK(DATA[[#This Row],[COLDROOM RECEIPT]]), "IN CUSTODY", "DISCHARGED")</f>
        <v>DISCHARGED</v>
      </c>
      <c r="T66" s="58">
        <f>COUNTA(A:A)-2</f>
        <v>419</v>
      </c>
      <c r="U66" s="59">
        <f>YEAR(DATA[[#This Row],[ADMISSION DATE]])</f>
        <v>2024</v>
      </c>
      <c r="V66" s="60" t="str">
        <f>TEXT(DATA[[#This Row],[ADMISSION DATE]],"mmm")</f>
        <v>Dec</v>
      </c>
      <c r="W66" s="59">
        <f>YEAR(DATA[[#This Row],[DISCHARGE DATE]])</f>
        <v>2025</v>
      </c>
      <c r="X66" s="60" t="str">
        <f>TEXT(DATA[[#This Row],[DISCHARGE DATE]],"mmm")</f>
        <v>Mar</v>
      </c>
    </row>
    <row r="67" spans="1:24" s="27" customFormat="1" ht="19.5" hidden="1">
      <c r="A67" s="152" t="s">
        <v>371</v>
      </c>
      <c r="B67" s="151" t="s">
        <v>372</v>
      </c>
      <c r="C67" s="151">
        <v>98</v>
      </c>
      <c r="D67" s="152" t="s">
        <v>11</v>
      </c>
      <c r="E67" s="152" t="s">
        <v>373</v>
      </c>
      <c r="F67" s="153">
        <v>531655002</v>
      </c>
      <c r="G67" s="152" t="s">
        <v>13</v>
      </c>
      <c r="H67" s="154">
        <v>0.70833333333333337</v>
      </c>
      <c r="I67" s="152" t="s">
        <v>18</v>
      </c>
      <c r="J67" s="155">
        <v>45651</v>
      </c>
      <c r="K67" s="155">
        <v>45849</v>
      </c>
      <c r="L67" s="151">
        <f>IF(ISBLANK(DATA[[#This Row],[DISCHARGE DATE]]),"NO DATE", DATA[[#This Row],[DISCHARGE DATE]]-DATA[[#This Row],[ADMISSION DATE]]+1)</f>
        <v>199</v>
      </c>
      <c r="M67" s="156">
        <v>350</v>
      </c>
      <c r="N67" s="156">
        <v>2587</v>
      </c>
      <c r="O67" s="157" t="s">
        <v>370</v>
      </c>
      <c r="P67" s="157" t="s">
        <v>374</v>
      </c>
      <c r="Q67" s="158">
        <f>IF(DATA[[#This Row],[STORAGE FEE]]=0,"NULL",DATA[[#This Row],[COLDROOM FEE]])-DATA[[#This Row],[STORAGE FEE]]</f>
        <v>0</v>
      </c>
      <c r="R67" s="158">
        <f>IF(ISBLANK(DATA[[#This Row],[DISCHARGE DATE]]),0,IF(DATA[[#This Row],[TYPE]]="VIP",20*DATA[[#This Row],[STORAGE DAYS]],13*DATA[[#This Row],[STORAGE DAYS]]))</f>
        <v>2587</v>
      </c>
      <c r="S67" s="71" t="str">
        <f>IF(ISBLANK(DATA[[#This Row],[COLDROOM RECEIPT]]), "IN CUSTODY", "DISCHARGED")</f>
        <v>DISCHARGED</v>
      </c>
      <c r="T67" s="58">
        <f>COUNTA(A:A)-2</f>
        <v>419</v>
      </c>
      <c r="U67" s="59">
        <f>YEAR(DATA[[#This Row],[ADMISSION DATE]])</f>
        <v>2024</v>
      </c>
      <c r="V67" s="60" t="str">
        <f>TEXT(DATA[[#This Row],[ADMISSION DATE]],"mmm")</f>
        <v>Dec</v>
      </c>
      <c r="W67" s="59">
        <f>YEAR(DATA[[#This Row],[DISCHARGE DATE]])</f>
        <v>2025</v>
      </c>
      <c r="X67" s="60" t="str">
        <f>TEXT(DATA[[#This Row],[DISCHARGE DATE]],"mmm")</f>
        <v>Jul</v>
      </c>
    </row>
    <row r="68" spans="1:24" s="27" customFormat="1" ht="19.5" hidden="1">
      <c r="A68" s="152" t="s">
        <v>375</v>
      </c>
      <c r="B68" s="151" t="s">
        <v>376</v>
      </c>
      <c r="C68" s="151">
        <v>60</v>
      </c>
      <c r="D68" s="152" t="s">
        <v>11</v>
      </c>
      <c r="E68" s="152" t="s">
        <v>377</v>
      </c>
      <c r="F68" s="153">
        <v>242779227</v>
      </c>
      <c r="G68" s="152" t="s">
        <v>13</v>
      </c>
      <c r="H68" s="154">
        <v>0.47916666666666669</v>
      </c>
      <c r="I68" s="152" t="s">
        <v>18</v>
      </c>
      <c r="J68" s="155">
        <v>45653</v>
      </c>
      <c r="K68" s="155">
        <v>45744</v>
      </c>
      <c r="L68" s="151">
        <f>IF(ISBLANK(DATA[[#This Row],[DISCHARGE DATE]]),"NO DATE", DATA[[#This Row],[DISCHARGE DATE]]-DATA[[#This Row],[ADMISSION DATE]]+1)</f>
        <v>92</v>
      </c>
      <c r="M68" s="156">
        <v>350</v>
      </c>
      <c r="N68" s="156">
        <v>1196</v>
      </c>
      <c r="O68" s="157" t="s">
        <v>378</v>
      </c>
      <c r="P68" s="157" t="s">
        <v>337</v>
      </c>
      <c r="Q68" s="158">
        <f>IF(DATA[[#This Row],[STORAGE FEE]]=0,"NULL",DATA[[#This Row],[COLDROOM FEE]])-DATA[[#This Row],[STORAGE FEE]]</f>
        <v>0</v>
      </c>
      <c r="R68" s="158">
        <f>IF(ISBLANK(DATA[[#This Row],[DISCHARGE DATE]]),0,IF(DATA[[#This Row],[TYPE]]="VIP",20*DATA[[#This Row],[STORAGE DAYS]],13*DATA[[#This Row],[STORAGE DAYS]]))</f>
        <v>1196</v>
      </c>
      <c r="S68" s="71" t="str">
        <f>IF(ISBLANK(DATA[[#This Row],[COLDROOM RECEIPT]]), "IN CUSTODY", "DISCHARGED")</f>
        <v>DISCHARGED</v>
      </c>
      <c r="T68" s="58">
        <f>COUNTA(A:A)-2</f>
        <v>419</v>
      </c>
      <c r="U68" s="59">
        <f>YEAR(DATA[[#This Row],[ADMISSION DATE]])</f>
        <v>2024</v>
      </c>
      <c r="V68" s="60" t="str">
        <f>TEXT(DATA[[#This Row],[ADMISSION DATE]],"mmm")</f>
        <v>Dec</v>
      </c>
      <c r="W68" s="59">
        <f>YEAR(DATA[[#This Row],[DISCHARGE DATE]])</f>
        <v>2025</v>
      </c>
      <c r="X68" s="60" t="str">
        <f>TEXT(DATA[[#This Row],[DISCHARGE DATE]],"mmm")</f>
        <v>Mar</v>
      </c>
    </row>
    <row r="69" spans="1:24" s="27" customFormat="1" ht="19.5" hidden="1">
      <c r="A69" s="152" t="s">
        <v>379</v>
      </c>
      <c r="B69" s="151" t="s">
        <v>380</v>
      </c>
      <c r="C69" s="151">
        <v>68</v>
      </c>
      <c r="D69" s="152" t="s">
        <v>11</v>
      </c>
      <c r="E69" s="152" t="s">
        <v>381</v>
      </c>
      <c r="F69" s="153">
        <v>244413097</v>
      </c>
      <c r="G69" s="152" t="s">
        <v>13</v>
      </c>
      <c r="H69" s="154">
        <v>0.58333333333333337</v>
      </c>
      <c r="I69" s="152" t="s">
        <v>18</v>
      </c>
      <c r="J69" s="155">
        <v>45653</v>
      </c>
      <c r="K69" s="155">
        <v>45828</v>
      </c>
      <c r="L69" s="151">
        <f>IF(ISBLANK(DATA[[#This Row],[DISCHARGE DATE]]),"NO DATE", DATA[[#This Row],[DISCHARGE DATE]]-DATA[[#This Row],[ADMISSION DATE]]+1)</f>
        <v>176</v>
      </c>
      <c r="M69" s="156">
        <v>350</v>
      </c>
      <c r="N69" s="156">
        <v>2288</v>
      </c>
      <c r="O69" s="157" t="s">
        <v>330</v>
      </c>
      <c r="P69" s="157" t="s">
        <v>382</v>
      </c>
      <c r="Q69" s="158">
        <f>IF(DATA[[#This Row],[STORAGE FEE]]=0,"NULL",DATA[[#This Row],[COLDROOM FEE]])-DATA[[#This Row],[STORAGE FEE]]</f>
        <v>0</v>
      </c>
      <c r="R69" s="158">
        <f>IF(ISBLANK(DATA[[#This Row],[DISCHARGE DATE]]),0,IF(DATA[[#This Row],[TYPE]]="VIP",20*DATA[[#This Row],[STORAGE DAYS]],13*DATA[[#This Row],[STORAGE DAYS]]))</f>
        <v>2288</v>
      </c>
      <c r="S69" s="71" t="str">
        <f>IF(ISBLANK(DATA[[#This Row],[COLDROOM RECEIPT]]), "IN CUSTODY", "DISCHARGED")</f>
        <v>DISCHARGED</v>
      </c>
      <c r="T69" s="58">
        <f>COUNTA(A:A)-2</f>
        <v>419</v>
      </c>
      <c r="U69" s="59">
        <f>YEAR(DATA[[#This Row],[ADMISSION DATE]])</f>
        <v>2024</v>
      </c>
      <c r="V69" s="60" t="str">
        <f>TEXT(DATA[[#This Row],[ADMISSION DATE]],"mmm")</f>
        <v>Dec</v>
      </c>
      <c r="W69" s="59">
        <f>YEAR(DATA[[#This Row],[DISCHARGE DATE]])</f>
        <v>2025</v>
      </c>
      <c r="X69" s="60" t="str">
        <f>TEXT(DATA[[#This Row],[DISCHARGE DATE]],"mmm")</f>
        <v>Jun</v>
      </c>
    </row>
    <row r="70" spans="1:24" s="27" customFormat="1" ht="19.5" hidden="1">
      <c r="A70" s="152" t="s">
        <v>383</v>
      </c>
      <c r="B70" s="151" t="s">
        <v>384</v>
      </c>
      <c r="C70" s="151">
        <v>78</v>
      </c>
      <c r="D70" s="152" t="s">
        <v>11</v>
      </c>
      <c r="E70" s="152" t="s">
        <v>303</v>
      </c>
      <c r="F70" s="153">
        <v>543526522</v>
      </c>
      <c r="G70" s="152" t="s">
        <v>15</v>
      </c>
      <c r="H70" s="154">
        <v>0.5</v>
      </c>
      <c r="I70" s="152" t="s">
        <v>18</v>
      </c>
      <c r="J70" s="155">
        <v>45656</v>
      </c>
      <c r="K70" s="155">
        <v>45807</v>
      </c>
      <c r="L70" s="151">
        <f>IF(ISBLANK(DATA[[#This Row],[DISCHARGE DATE]]),"NO DATE", DATA[[#This Row],[DISCHARGE DATE]]-DATA[[#This Row],[ADMISSION DATE]]+1)</f>
        <v>152</v>
      </c>
      <c r="M70" s="156">
        <v>350</v>
      </c>
      <c r="N70" s="156">
        <v>1976</v>
      </c>
      <c r="O70" s="157" t="s">
        <v>346</v>
      </c>
      <c r="P70" s="157" t="s">
        <v>385</v>
      </c>
      <c r="Q70" s="158">
        <f>IF(DATA[[#This Row],[STORAGE FEE]]=0,"NULL",DATA[[#This Row],[COLDROOM FEE]])-DATA[[#This Row],[STORAGE FEE]]</f>
        <v>0</v>
      </c>
      <c r="R70" s="158">
        <f>IF(ISBLANK(DATA[[#This Row],[DISCHARGE DATE]]),0,IF(DATA[[#This Row],[TYPE]]="VIP",20*DATA[[#This Row],[STORAGE DAYS]],13*DATA[[#This Row],[STORAGE DAYS]]))</f>
        <v>1976</v>
      </c>
      <c r="S70" s="71" t="str">
        <f>IF(ISBLANK(DATA[[#This Row],[COLDROOM RECEIPT]]), "IN CUSTODY", "DISCHARGED")</f>
        <v>DISCHARGED</v>
      </c>
      <c r="T70" s="58">
        <f>COUNTA(A:A)-2</f>
        <v>419</v>
      </c>
      <c r="U70" s="59">
        <f>YEAR(DATA[[#This Row],[ADMISSION DATE]])</f>
        <v>2024</v>
      </c>
      <c r="V70" s="60" t="str">
        <f>TEXT(DATA[[#This Row],[ADMISSION DATE]],"mmm")</f>
        <v>Dec</v>
      </c>
      <c r="W70" s="59">
        <f>YEAR(DATA[[#This Row],[DISCHARGE DATE]])</f>
        <v>2025</v>
      </c>
      <c r="X70" s="60" t="str">
        <f>TEXT(DATA[[#This Row],[DISCHARGE DATE]],"mmm")</f>
        <v>May</v>
      </c>
    </row>
    <row r="71" spans="1:24" s="27" customFormat="1" ht="19.5" hidden="1">
      <c r="A71" s="152" t="s">
        <v>386</v>
      </c>
      <c r="B71" s="151" t="s">
        <v>387</v>
      </c>
      <c r="C71" s="151">
        <v>45</v>
      </c>
      <c r="D71" s="152" t="s">
        <v>11</v>
      </c>
      <c r="E71" s="152" t="s">
        <v>388</v>
      </c>
      <c r="F71" s="153">
        <v>245450963</v>
      </c>
      <c r="G71" s="152" t="s">
        <v>26</v>
      </c>
      <c r="H71" s="154">
        <v>0.47916666666666669</v>
      </c>
      <c r="I71" s="152" t="s">
        <v>20</v>
      </c>
      <c r="J71" s="155">
        <v>45657</v>
      </c>
      <c r="K71" s="155">
        <v>45772</v>
      </c>
      <c r="L71" s="151">
        <f>IF(ISBLANK(DATA[[#This Row],[DISCHARGE DATE]]),"NO DATE", DATA[[#This Row],[DISCHARGE DATE]]-DATA[[#This Row],[ADMISSION DATE]]+1)</f>
        <v>116</v>
      </c>
      <c r="M71" s="156">
        <v>350</v>
      </c>
      <c r="N71" s="156">
        <v>2320</v>
      </c>
      <c r="O71" s="157" t="s">
        <v>389</v>
      </c>
      <c r="P71" s="157" t="s">
        <v>390</v>
      </c>
      <c r="Q71" s="158">
        <f>IF(DATA[[#This Row],[STORAGE FEE]]=0,"NULL",DATA[[#This Row],[COLDROOM FEE]])-DATA[[#This Row],[STORAGE FEE]]</f>
        <v>0</v>
      </c>
      <c r="R71" s="158">
        <f>IF(ISBLANK(DATA[[#This Row],[DISCHARGE DATE]]),0,IF(DATA[[#This Row],[TYPE]]="VIP",20*DATA[[#This Row],[STORAGE DAYS]],13*DATA[[#This Row],[STORAGE DAYS]]))</f>
        <v>2320</v>
      </c>
      <c r="S71" s="71" t="str">
        <f>IF(ISBLANK(DATA[[#This Row],[COLDROOM RECEIPT]]), "IN CUSTODY", "DISCHARGED")</f>
        <v>DISCHARGED</v>
      </c>
      <c r="T71" s="58">
        <f>COUNTA(A:A)-2</f>
        <v>419</v>
      </c>
      <c r="U71" s="59">
        <f>YEAR(DATA[[#This Row],[ADMISSION DATE]])</f>
        <v>2024</v>
      </c>
      <c r="V71" s="60" t="str">
        <f>TEXT(DATA[[#This Row],[ADMISSION DATE]],"mmm")</f>
        <v>Dec</v>
      </c>
      <c r="W71" s="59">
        <f>YEAR(DATA[[#This Row],[DISCHARGE DATE]])</f>
        <v>2025</v>
      </c>
      <c r="X71" s="60" t="str">
        <f>TEXT(DATA[[#This Row],[DISCHARGE DATE]],"mmm")</f>
        <v>Apr</v>
      </c>
    </row>
    <row r="72" spans="1:24" s="27" customFormat="1" ht="19.5" hidden="1">
      <c r="A72" s="152" t="s">
        <v>391</v>
      </c>
      <c r="B72" s="151" t="s">
        <v>392</v>
      </c>
      <c r="C72" s="151">
        <v>80</v>
      </c>
      <c r="D72" s="152" t="s">
        <v>11</v>
      </c>
      <c r="E72" s="152" t="s">
        <v>393</v>
      </c>
      <c r="F72" s="153">
        <v>249809015</v>
      </c>
      <c r="G72" s="152" t="s">
        <v>15</v>
      </c>
      <c r="H72" s="154">
        <v>0.33333333333333331</v>
      </c>
      <c r="I72" s="152" t="s">
        <v>18</v>
      </c>
      <c r="J72" s="155">
        <v>45658</v>
      </c>
      <c r="K72" s="155">
        <v>45772</v>
      </c>
      <c r="L72" s="151">
        <f>IF(ISBLANK(DATA[[#This Row],[DISCHARGE DATE]]),"NO DATE", DATA[[#This Row],[DISCHARGE DATE]]-DATA[[#This Row],[ADMISSION DATE]]+1)</f>
        <v>115</v>
      </c>
      <c r="M72" s="156">
        <v>350</v>
      </c>
      <c r="N72" s="156">
        <v>1495</v>
      </c>
      <c r="O72" s="157" t="s">
        <v>394</v>
      </c>
      <c r="P72" s="157" t="s">
        <v>395</v>
      </c>
      <c r="Q72" s="158">
        <f>IF(DATA[[#This Row],[STORAGE FEE]]=0,"NULL",DATA[[#This Row],[COLDROOM FEE]])-DATA[[#This Row],[STORAGE FEE]]</f>
        <v>0</v>
      </c>
      <c r="R72" s="158">
        <f>IF(ISBLANK(DATA[[#This Row],[DISCHARGE DATE]]),0,IF(DATA[[#This Row],[TYPE]]="VIP",20*DATA[[#This Row],[STORAGE DAYS]],13*DATA[[#This Row],[STORAGE DAYS]]))</f>
        <v>1495</v>
      </c>
      <c r="S72" s="71" t="str">
        <f>IF(ISBLANK(DATA[[#This Row],[COLDROOM RECEIPT]]), "IN CUSTODY", "DISCHARGED")</f>
        <v>DISCHARGED</v>
      </c>
      <c r="T72" s="58">
        <f>COUNTA(A:A)-2</f>
        <v>419</v>
      </c>
      <c r="U72" s="59">
        <f>YEAR(DATA[[#This Row],[ADMISSION DATE]])</f>
        <v>2025</v>
      </c>
      <c r="V72" s="60" t="str">
        <f>TEXT(DATA[[#This Row],[ADMISSION DATE]],"mmm")</f>
        <v>Jan</v>
      </c>
      <c r="W72" s="59">
        <f>YEAR(DATA[[#This Row],[DISCHARGE DATE]])</f>
        <v>2025</v>
      </c>
      <c r="X72" s="60" t="str">
        <f>TEXT(DATA[[#This Row],[DISCHARGE DATE]],"mmm")</f>
        <v>Apr</v>
      </c>
    </row>
    <row r="73" spans="1:24" s="27" customFormat="1" ht="19.5" hidden="1">
      <c r="A73" s="152" t="s">
        <v>396</v>
      </c>
      <c r="B73" s="151" t="s">
        <v>397</v>
      </c>
      <c r="C73" s="151">
        <v>68</v>
      </c>
      <c r="D73" s="152" t="s">
        <v>12</v>
      </c>
      <c r="E73" s="152" t="s">
        <v>398</v>
      </c>
      <c r="F73" s="153">
        <v>559677861</v>
      </c>
      <c r="G73" s="152" t="s">
        <v>16</v>
      </c>
      <c r="H73" s="154">
        <v>0.70833333333333337</v>
      </c>
      <c r="I73" s="152" t="s">
        <v>20</v>
      </c>
      <c r="J73" s="155">
        <v>45664</v>
      </c>
      <c r="K73" s="155">
        <v>45771</v>
      </c>
      <c r="L73" s="151">
        <f>IF(ISBLANK(DATA[[#This Row],[DISCHARGE DATE]]),"NO DATE", DATA[[#This Row],[DISCHARGE DATE]]-DATA[[#This Row],[ADMISSION DATE]]+1)</f>
        <v>108</v>
      </c>
      <c r="M73" s="156">
        <v>350</v>
      </c>
      <c r="N73" s="156">
        <v>2160</v>
      </c>
      <c r="O73" s="157" t="s">
        <v>399</v>
      </c>
      <c r="P73" s="157" t="s">
        <v>400</v>
      </c>
      <c r="Q73" s="158">
        <f>IF(DATA[[#This Row],[STORAGE FEE]]=0,"NULL",DATA[[#This Row],[COLDROOM FEE]])-DATA[[#This Row],[STORAGE FEE]]</f>
        <v>0</v>
      </c>
      <c r="R73" s="158">
        <f>IF(ISBLANK(DATA[[#This Row],[DISCHARGE DATE]]),0,IF(DATA[[#This Row],[TYPE]]="VIP",20*DATA[[#This Row],[STORAGE DAYS]],13*DATA[[#This Row],[STORAGE DAYS]]))</f>
        <v>2160</v>
      </c>
      <c r="S73" s="71" t="str">
        <f>IF(ISBLANK(DATA[[#This Row],[COLDROOM RECEIPT]]), "IN CUSTODY", "DISCHARGED")</f>
        <v>DISCHARGED</v>
      </c>
      <c r="T73" s="58">
        <f>COUNTA(A:A)-2</f>
        <v>419</v>
      </c>
      <c r="U73" s="59">
        <f>YEAR(DATA[[#This Row],[ADMISSION DATE]])</f>
        <v>2025</v>
      </c>
      <c r="V73" s="60" t="str">
        <f>TEXT(DATA[[#This Row],[ADMISSION DATE]],"mmm")</f>
        <v>Jan</v>
      </c>
      <c r="W73" s="59">
        <f>YEAR(DATA[[#This Row],[DISCHARGE DATE]])</f>
        <v>2025</v>
      </c>
      <c r="X73" s="60" t="str">
        <f>TEXT(DATA[[#This Row],[DISCHARGE DATE]],"mmm")</f>
        <v>Apr</v>
      </c>
    </row>
    <row r="74" spans="1:24" s="27" customFormat="1" ht="19.5" hidden="1">
      <c r="A74" s="152" t="s">
        <v>401</v>
      </c>
      <c r="B74" s="151" t="s">
        <v>402</v>
      </c>
      <c r="C74" s="151">
        <v>50</v>
      </c>
      <c r="D74" s="152" t="s">
        <v>12</v>
      </c>
      <c r="E74" s="152" t="s">
        <v>403</v>
      </c>
      <c r="F74" s="153">
        <v>598055074</v>
      </c>
      <c r="G74" s="152" t="s">
        <v>13</v>
      </c>
      <c r="H74" s="154">
        <v>0.47916666666666669</v>
      </c>
      <c r="I74" s="152" t="s">
        <v>18</v>
      </c>
      <c r="J74" s="155">
        <v>45666</v>
      </c>
      <c r="K74" s="155">
        <v>45744</v>
      </c>
      <c r="L74" s="151">
        <f>IF(ISBLANK(DATA[[#This Row],[DISCHARGE DATE]]),"NO DATE", DATA[[#This Row],[DISCHARGE DATE]]-DATA[[#This Row],[ADMISSION DATE]]+1)</f>
        <v>79</v>
      </c>
      <c r="M74" s="156">
        <v>350</v>
      </c>
      <c r="N74" s="156">
        <v>1027</v>
      </c>
      <c r="O74" s="157" t="s">
        <v>404</v>
      </c>
      <c r="P74" s="157" t="s">
        <v>378</v>
      </c>
      <c r="Q74" s="158">
        <f>IF(DATA[[#This Row],[STORAGE FEE]]=0,"NULL",DATA[[#This Row],[COLDROOM FEE]])-DATA[[#This Row],[STORAGE FEE]]</f>
        <v>0</v>
      </c>
      <c r="R74" s="158">
        <f>IF(ISBLANK(DATA[[#This Row],[DISCHARGE DATE]]),0,IF(DATA[[#This Row],[TYPE]]="VIP",20*DATA[[#This Row],[STORAGE DAYS]],13*DATA[[#This Row],[STORAGE DAYS]]))</f>
        <v>1027</v>
      </c>
      <c r="S74" s="71" t="str">
        <f>IF(ISBLANK(DATA[[#This Row],[COLDROOM RECEIPT]]), "IN CUSTODY", "DISCHARGED")</f>
        <v>DISCHARGED</v>
      </c>
      <c r="T74" s="58">
        <f>COUNTA(A:A)-2</f>
        <v>419</v>
      </c>
      <c r="U74" s="59">
        <f>YEAR(DATA[[#This Row],[ADMISSION DATE]])</f>
        <v>2025</v>
      </c>
      <c r="V74" s="60" t="str">
        <f>TEXT(DATA[[#This Row],[ADMISSION DATE]],"mmm")</f>
        <v>Jan</v>
      </c>
      <c r="W74" s="59">
        <f>YEAR(DATA[[#This Row],[DISCHARGE DATE]])</f>
        <v>2025</v>
      </c>
      <c r="X74" s="60" t="str">
        <f>TEXT(DATA[[#This Row],[DISCHARGE DATE]],"mmm")</f>
        <v>Mar</v>
      </c>
    </row>
    <row r="75" spans="1:24" s="27" customFormat="1" ht="19.5" hidden="1">
      <c r="A75" s="152" t="s">
        <v>405</v>
      </c>
      <c r="B75" s="151" t="s">
        <v>406</v>
      </c>
      <c r="C75" s="151">
        <v>40</v>
      </c>
      <c r="D75" s="152" t="s">
        <v>12</v>
      </c>
      <c r="E75" s="152" t="s">
        <v>407</v>
      </c>
      <c r="F75" s="153">
        <v>245612360</v>
      </c>
      <c r="G75" s="152" t="s">
        <v>13</v>
      </c>
      <c r="H75" s="154">
        <v>0.35416666666666669</v>
      </c>
      <c r="I75" s="152" t="s">
        <v>18</v>
      </c>
      <c r="J75" s="155">
        <v>45673</v>
      </c>
      <c r="K75" s="155">
        <v>45744</v>
      </c>
      <c r="L75" s="151">
        <f>IF(ISBLANK(DATA[[#This Row],[DISCHARGE DATE]]),"NO DATE", DATA[[#This Row],[DISCHARGE DATE]]-DATA[[#This Row],[ADMISSION DATE]]+1)</f>
        <v>72</v>
      </c>
      <c r="M75" s="156">
        <v>350</v>
      </c>
      <c r="N75" s="156">
        <v>936</v>
      </c>
      <c r="O75" s="157" t="s">
        <v>408</v>
      </c>
      <c r="P75" s="157" t="s">
        <v>295</v>
      </c>
      <c r="Q75" s="158">
        <f>IF(DATA[[#This Row],[STORAGE FEE]]=0,"NULL",DATA[[#This Row],[COLDROOM FEE]])-DATA[[#This Row],[STORAGE FEE]]</f>
        <v>0</v>
      </c>
      <c r="R75" s="158">
        <f>IF(ISBLANK(DATA[[#This Row],[DISCHARGE DATE]]),0,IF(DATA[[#This Row],[TYPE]]="VIP",20*DATA[[#This Row],[STORAGE DAYS]],13*DATA[[#This Row],[STORAGE DAYS]]))</f>
        <v>936</v>
      </c>
      <c r="S75" s="71" t="str">
        <f>IF(ISBLANK(DATA[[#This Row],[COLDROOM RECEIPT]]), "IN CUSTODY", "DISCHARGED")</f>
        <v>DISCHARGED</v>
      </c>
      <c r="T75" s="58">
        <f>COUNTA(A:A)-2</f>
        <v>419</v>
      </c>
      <c r="U75" s="59">
        <f>YEAR(DATA[[#This Row],[ADMISSION DATE]])</f>
        <v>2025</v>
      </c>
      <c r="V75" s="60" t="str">
        <f>TEXT(DATA[[#This Row],[ADMISSION DATE]],"mmm")</f>
        <v>Jan</v>
      </c>
      <c r="W75" s="59">
        <f>YEAR(DATA[[#This Row],[DISCHARGE DATE]])</f>
        <v>2025</v>
      </c>
      <c r="X75" s="60" t="str">
        <f>TEXT(DATA[[#This Row],[DISCHARGE DATE]],"mmm")</f>
        <v>Mar</v>
      </c>
    </row>
    <row r="76" spans="1:24" s="27" customFormat="1" ht="19.5" hidden="1">
      <c r="A76" s="152" t="s">
        <v>409</v>
      </c>
      <c r="B76" s="151" t="s">
        <v>410</v>
      </c>
      <c r="C76" s="151">
        <v>30</v>
      </c>
      <c r="D76" s="152" t="s">
        <v>12</v>
      </c>
      <c r="E76" s="152" t="s">
        <v>411</v>
      </c>
      <c r="F76" s="153">
        <v>256574842</v>
      </c>
      <c r="G76" s="152" t="s">
        <v>26</v>
      </c>
      <c r="H76" s="154">
        <v>0.6875</v>
      </c>
      <c r="I76" s="152" t="s">
        <v>18</v>
      </c>
      <c r="J76" s="155">
        <v>45672</v>
      </c>
      <c r="K76" s="155">
        <v>45730</v>
      </c>
      <c r="L76" s="151">
        <f>IF(ISBLANK(DATA[[#This Row],[DISCHARGE DATE]]),"NO DATE", DATA[[#This Row],[DISCHARGE DATE]]-DATA[[#This Row],[ADMISSION DATE]]+1)</f>
        <v>59</v>
      </c>
      <c r="M76" s="156">
        <v>350</v>
      </c>
      <c r="N76" s="156">
        <v>767</v>
      </c>
      <c r="O76" s="157" t="s">
        <v>395</v>
      </c>
      <c r="P76" s="157" t="s">
        <v>290</v>
      </c>
      <c r="Q76" s="158">
        <f>IF(DATA[[#This Row],[STORAGE FEE]]=0,"NULL",DATA[[#This Row],[COLDROOM FEE]])-DATA[[#This Row],[STORAGE FEE]]</f>
        <v>0</v>
      </c>
      <c r="R76" s="158">
        <f>IF(ISBLANK(DATA[[#This Row],[DISCHARGE DATE]]),0,IF(DATA[[#This Row],[TYPE]]="VIP",20*DATA[[#This Row],[STORAGE DAYS]],13*DATA[[#This Row],[STORAGE DAYS]]))</f>
        <v>767</v>
      </c>
      <c r="S76" s="71" t="str">
        <f>IF(ISBLANK(DATA[[#This Row],[COLDROOM RECEIPT]]), "IN CUSTODY", "DISCHARGED")</f>
        <v>DISCHARGED</v>
      </c>
      <c r="T76" s="58">
        <f>COUNTA(A:A)-2</f>
        <v>419</v>
      </c>
      <c r="U76" s="59">
        <f>YEAR(DATA[[#This Row],[ADMISSION DATE]])</f>
        <v>2025</v>
      </c>
      <c r="V76" s="60" t="str">
        <f>TEXT(DATA[[#This Row],[ADMISSION DATE]],"mmm")</f>
        <v>Jan</v>
      </c>
      <c r="W76" s="59">
        <f>YEAR(DATA[[#This Row],[DISCHARGE DATE]])</f>
        <v>2025</v>
      </c>
      <c r="X76" s="60" t="str">
        <f>TEXT(DATA[[#This Row],[DISCHARGE DATE]],"mmm")</f>
        <v>Mar</v>
      </c>
    </row>
    <row r="77" spans="1:24" s="27" customFormat="1" ht="19.5" hidden="1">
      <c r="A77" s="152" t="s">
        <v>412</v>
      </c>
      <c r="B77" s="151" t="s">
        <v>413</v>
      </c>
      <c r="C77" s="151">
        <v>65</v>
      </c>
      <c r="D77" s="152" t="s">
        <v>11</v>
      </c>
      <c r="E77" s="152" t="s">
        <v>414</v>
      </c>
      <c r="F77" s="153">
        <v>545091696</v>
      </c>
      <c r="G77" s="152" t="s">
        <v>13</v>
      </c>
      <c r="H77" s="154">
        <v>0.95833333333333337</v>
      </c>
      <c r="I77" s="152" t="s">
        <v>18</v>
      </c>
      <c r="J77" s="155">
        <v>45676</v>
      </c>
      <c r="K77" s="155">
        <v>45807</v>
      </c>
      <c r="L77" s="151">
        <f>IF(ISBLANK(DATA[[#This Row],[DISCHARGE DATE]]),"NO DATE", DATA[[#This Row],[DISCHARGE DATE]]-DATA[[#This Row],[ADMISSION DATE]]+1)</f>
        <v>132</v>
      </c>
      <c r="M77" s="156">
        <v>350</v>
      </c>
      <c r="N77" s="156">
        <v>1716</v>
      </c>
      <c r="O77" s="157" t="s">
        <v>415</v>
      </c>
      <c r="P77" s="157" t="s">
        <v>416</v>
      </c>
      <c r="Q77" s="158">
        <f>IF(DATA[[#This Row],[STORAGE FEE]]=0,"NULL",DATA[[#This Row],[COLDROOM FEE]])-DATA[[#This Row],[STORAGE FEE]]</f>
        <v>0</v>
      </c>
      <c r="R77" s="158">
        <f>IF(ISBLANK(DATA[[#This Row],[DISCHARGE DATE]]),0,IF(DATA[[#This Row],[TYPE]]="VIP",20*DATA[[#This Row],[STORAGE DAYS]],13*DATA[[#This Row],[STORAGE DAYS]]))</f>
        <v>1716</v>
      </c>
      <c r="S77" s="71" t="str">
        <f>IF(ISBLANK(DATA[[#This Row],[COLDROOM RECEIPT]]), "IN CUSTODY", "DISCHARGED")</f>
        <v>DISCHARGED</v>
      </c>
      <c r="T77" s="58">
        <f>COUNTA(A:A)-2</f>
        <v>419</v>
      </c>
      <c r="U77" s="59">
        <f>YEAR(DATA[[#This Row],[ADMISSION DATE]])</f>
        <v>2025</v>
      </c>
      <c r="V77" s="60" t="str">
        <f>TEXT(DATA[[#This Row],[ADMISSION DATE]],"mmm")</f>
        <v>Jan</v>
      </c>
      <c r="W77" s="59">
        <f>YEAR(DATA[[#This Row],[DISCHARGE DATE]])</f>
        <v>2025</v>
      </c>
      <c r="X77" s="60" t="str">
        <f>TEXT(DATA[[#This Row],[DISCHARGE DATE]],"mmm")</f>
        <v>May</v>
      </c>
    </row>
    <row r="78" spans="1:24" s="27" customFormat="1" ht="19.5" hidden="1">
      <c r="A78" s="152" t="s">
        <v>417</v>
      </c>
      <c r="B78" s="151" t="s">
        <v>418</v>
      </c>
      <c r="C78" s="151">
        <v>49</v>
      </c>
      <c r="D78" s="152" t="s">
        <v>11</v>
      </c>
      <c r="E78" s="152" t="s">
        <v>419</v>
      </c>
      <c r="F78" s="153">
        <v>545889088</v>
      </c>
      <c r="G78" s="152" t="s">
        <v>13</v>
      </c>
      <c r="H78" s="154">
        <v>0.95833333333333337</v>
      </c>
      <c r="I78" s="152" t="s">
        <v>18</v>
      </c>
      <c r="J78" s="155">
        <v>45675</v>
      </c>
      <c r="K78" s="155">
        <v>45772</v>
      </c>
      <c r="L78" s="151">
        <f>IF(ISBLANK(DATA[[#This Row],[DISCHARGE DATE]]),"NO DATE", DATA[[#This Row],[DISCHARGE DATE]]-DATA[[#This Row],[ADMISSION DATE]]+1)</f>
        <v>98</v>
      </c>
      <c r="M78" s="156">
        <v>350</v>
      </c>
      <c r="N78" s="156">
        <v>1274</v>
      </c>
      <c r="O78" s="157" t="s">
        <v>363</v>
      </c>
      <c r="P78" s="157" t="s">
        <v>420</v>
      </c>
      <c r="Q78" s="158">
        <f>IF(DATA[[#This Row],[STORAGE FEE]]=0,"NULL",DATA[[#This Row],[COLDROOM FEE]])-DATA[[#This Row],[STORAGE FEE]]</f>
        <v>0</v>
      </c>
      <c r="R78" s="158">
        <f>IF(ISBLANK(DATA[[#This Row],[DISCHARGE DATE]]),0,IF(DATA[[#This Row],[TYPE]]="VIP",20*DATA[[#This Row],[STORAGE DAYS]],13*DATA[[#This Row],[STORAGE DAYS]]))</f>
        <v>1274</v>
      </c>
      <c r="S78" s="71" t="str">
        <f>IF(ISBLANK(DATA[[#This Row],[COLDROOM RECEIPT]]), "IN CUSTODY", "DISCHARGED")</f>
        <v>DISCHARGED</v>
      </c>
      <c r="T78" s="58">
        <f>COUNTA(A:A)-2</f>
        <v>419</v>
      </c>
      <c r="U78" s="59">
        <f>YEAR(DATA[[#This Row],[ADMISSION DATE]])</f>
        <v>2025</v>
      </c>
      <c r="V78" s="60" t="str">
        <f>TEXT(DATA[[#This Row],[ADMISSION DATE]],"mmm")</f>
        <v>Jan</v>
      </c>
      <c r="W78" s="59">
        <f>YEAR(DATA[[#This Row],[DISCHARGE DATE]])</f>
        <v>2025</v>
      </c>
      <c r="X78" s="60" t="str">
        <f>TEXT(DATA[[#This Row],[DISCHARGE DATE]],"mmm")</f>
        <v>Apr</v>
      </c>
    </row>
    <row r="79" spans="1:24" s="27" customFormat="1" ht="19.5" hidden="1">
      <c r="A79" s="152" t="s">
        <v>421</v>
      </c>
      <c r="B79" s="151" t="s">
        <v>422</v>
      </c>
      <c r="C79" s="151">
        <v>65</v>
      </c>
      <c r="D79" s="152" t="s">
        <v>11</v>
      </c>
      <c r="E79" s="152" t="s">
        <v>423</v>
      </c>
      <c r="F79" s="153">
        <v>242462633</v>
      </c>
      <c r="G79" s="152" t="s">
        <v>13</v>
      </c>
      <c r="H79" s="154">
        <v>0.51041666666666663</v>
      </c>
      <c r="I79" s="152" t="s">
        <v>18</v>
      </c>
      <c r="J79" s="155">
        <v>45679</v>
      </c>
      <c r="K79" s="155">
        <v>45744</v>
      </c>
      <c r="L79" s="151">
        <f>IF(ISBLANK(DATA[[#This Row],[DISCHARGE DATE]]),"NO DATE", DATA[[#This Row],[DISCHARGE DATE]]-DATA[[#This Row],[ADMISSION DATE]]+1)</f>
        <v>66</v>
      </c>
      <c r="M79" s="156">
        <v>350</v>
      </c>
      <c r="N79" s="156">
        <v>858</v>
      </c>
      <c r="O79" s="157" t="s">
        <v>296</v>
      </c>
      <c r="P79" s="157" t="s">
        <v>345</v>
      </c>
      <c r="Q79" s="158">
        <f>IF(DATA[[#This Row],[STORAGE FEE]]=0,"NULL",DATA[[#This Row],[COLDROOM FEE]])-DATA[[#This Row],[STORAGE FEE]]</f>
        <v>0</v>
      </c>
      <c r="R79" s="158">
        <f>IF(ISBLANK(DATA[[#This Row],[DISCHARGE DATE]]),0,IF(DATA[[#This Row],[TYPE]]="VIP",20*DATA[[#This Row],[STORAGE DAYS]],13*DATA[[#This Row],[STORAGE DAYS]]))</f>
        <v>858</v>
      </c>
      <c r="S79" s="71" t="str">
        <f>IF(ISBLANK(DATA[[#This Row],[COLDROOM RECEIPT]]), "IN CUSTODY", "DISCHARGED")</f>
        <v>DISCHARGED</v>
      </c>
      <c r="T79" s="58">
        <f>COUNTA(A:A)-2</f>
        <v>419</v>
      </c>
      <c r="U79" s="59">
        <f>YEAR(DATA[[#This Row],[ADMISSION DATE]])</f>
        <v>2025</v>
      </c>
      <c r="V79" s="60" t="str">
        <f>TEXT(DATA[[#This Row],[ADMISSION DATE]],"mmm")</f>
        <v>Jan</v>
      </c>
      <c r="W79" s="59">
        <f>YEAR(DATA[[#This Row],[DISCHARGE DATE]])</f>
        <v>2025</v>
      </c>
      <c r="X79" s="60" t="str">
        <f>TEXT(DATA[[#This Row],[DISCHARGE DATE]],"mmm")</f>
        <v>Mar</v>
      </c>
    </row>
    <row r="80" spans="1:24" s="27" customFormat="1" ht="19.5" hidden="1">
      <c r="A80" s="152" t="s">
        <v>424</v>
      </c>
      <c r="B80" s="151" t="s">
        <v>425</v>
      </c>
      <c r="C80" s="151">
        <v>55</v>
      </c>
      <c r="D80" s="152" t="s">
        <v>12</v>
      </c>
      <c r="E80" s="152" t="s">
        <v>426</v>
      </c>
      <c r="F80" s="153">
        <v>249088103</v>
      </c>
      <c r="G80" s="152" t="s">
        <v>13</v>
      </c>
      <c r="H80" s="154">
        <v>0.71875</v>
      </c>
      <c r="I80" s="152" t="s">
        <v>18</v>
      </c>
      <c r="J80" s="155">
        <v>45683</v>
      </c>
      <c r="K80" s="155">
        <v>45709</v>
      </c>
      <c r="L80" s="151">
        <f>IF(ISBLANK(DATA[[#This Row],[DISCHARGE DATE]]),"NO DATE", DATA[[#This Row],[DISCHARGE DATE]]-DATA[[#This Row],[ADMISSION DATE]]+1)</f>
        <v>27</v>
      </c>
      <c r="M80" s="156">
        <v>350</v>
      </c>
      <c r="N80" s="156">
        <v>351</v>
      </c>
      <c r="O80" s="157" t="s">
        <v>420</v>
      </c>
      <c r="P80" s="157" t="s">
        <v>232</v>
      </c>
      <c r="Q80" s="158">
        <f>IF(DATA[[#This Row],[STORAGE FEE]]=0,"NULL",DATA[[#This Row],[COLDROOM FEE]])-DATA[[#This Row],[STORAGE FEE]]</f>
        <v>0</v>
      </c>
      <c r="R80" s="158">
        <f>IF(ISBLANK(DATA[[#This Row],[DISCHARGE DATE]]),0,IF(DATA[[#This Row],[TYPE]]="VIP",20*DATA[[#This Row],[STORAGE DAYS]],13*DATA[[#This Row],[STORAGE DAYS]]))</f>
        <v>351</v>
      </c>
      <c r="S80" s="71" t="str">
        <f>IF(ISBLANK(DATA[[#This Row],[COLDROOM RECEIPT]]), "IN CUSTODY", "DISCHARGED")</f>
        <v>DISCHARGED</v>
      </c>
      <c r="T80" s="58">
        <f>COUNTA(A:A)-2</f>
        <v>419</v>
      </c>
      <c r="U80" s="59">
        <f>YEAR(DATA[[#This Row],[ADMISSION DATE]])</f>
        <v>2025</v>
      </c>
      <c r="V80" s="60" t="str">
        <f>TEXT(DATA[[#This Row],[ADMISSION DATE]],"mmm")</f>
        <v>Jan</v>
      </c>
      <c r="W80" s="59">
        <f>YEAR(DATA[[#This Row],[DISCHARGE DATE]])</f>
        <v>2025</v>
      </c>
      <c r="X80" s="60" t="str">
        <f>TEXT(DATA[[#This Row],[DISCHARGE DATE]],"mmm")</f>
        <v>Feb</v>
      </c>
    </row>
    <row r="81" spans="1:24" s="27" customFormat="1" ht="19.5" hidden="1">
      <c r="A81" s="152" t="s">
        <v>427</v>
      </c>
      <c r="B81" s="151" t="s">
        <v>428</v>
      </c>
      <c r="C81" s="151">
        <v>32</v>
      </c>
      <c r="D81" s="152" t="s">
        <v>12</v>
      </c>
      <c r="E81" s="152" t="s">
        <v>429</v>
      </c>
      <c r="F81" s="153">
        <v>552564368</v>
      </c>
      <c r="G81" s="152" t="s">
        <v>16</v>
      </c>
      <c r="H81" s="154">
        <v>0.36805555555555558</v>
      </c>
      <c r="I81" s="152" t="s">
        <v>18</v>
      </c>
      <c r="J81" s="155">
        <v>45684</v>
      </c>
      <c r="K81" s="155">
        <v>45989</v>
      </c>
      <c r="L81" s="151">
        <f>IF(ISBLANK(DATA[[#This Row],[DISCHARGE DATE]]),"NO DATE", DATA[[#This Row],[DISCHARGE DATE]]-DATA[[#This Row],[ADMISSION DATE]]+1)</f>
        <v>306</v>
      </c>
      <c r="M81" s="156">
        <v>350</v>
      </c>
      <c r="N81" s="156">
        <v>3978</v>
      </c>
      <c r="O81" s="157" t="s">
        <v>430</v>
      </c>
      <c r="P81" s="157" t="s">
        <v>431</v>
      </c>
      <c r="Q81" s="158">
        <f>IF(DATA[[#This Row],[STORAGE FEE]]=0,"NULL",DATA[[#This Row],[COLDROOM FEE]])-DATA[[#This Row],[STORAGE FEE]]</f>
        <v>0</v>
      </c>
      <c r="R81" s="158">
        <f>IF(ISBLANK(DATA[[#This Row],[DISCHARGE DATE]]),0,IF(DATA[[#This Row],[TYPE]]="VIP",20*DATA[[#This Row],[STORAGE DAYS]],13*DATA[[#This Row],[STORAGE DAYS]]))</f>
        <v>3978</v>
      </c>
      <c r="S81" s="71" t="str">
        <f>IF(ISBLANK(DATA[[#This Row],[COLDROOM RECEIPT]]), "IN CUSTODY", "DISCHARGED")</f>
        <v>DISCHARGED</v>
      </c>
      <c r="T81" s="58">
        <f>COUNTA(A:A)-2</f>
        <v>419</v>
      </c>
      <c r="U81" s="59">
        <f>YEAR(DATA[[#This Row],[ADMISSION DATE]])</f>
        <v>2025</v>
      </c>
      <c r="V81" s="60" t="str">
        <f>TEXT(DATA[[#This Row],[ADMISSION DATE]],"mmm")</f>
        <v>Jan</v>
      </c>
      <c r="W81" s="59">
        <f>YEAR(DATA[[#This Row],[DISCHARGE DATE]])</f>
        <v>2025</v>
      </c>
      <c r="X81" s="60" t="str">
        <f>TEXT(DATA[[#This Row],[DISCHARGE DATE]],"mmm")</f>
        <v>Nov</v>
      </c>
    </row>
    <row r="82" spans="1:24" s="27" customFormat="1" ht="19.5" hidden="1">
      <c r="A82" s="152" t="s">
        <v>432</v>
      </c>
      <c r="B82" s="151" t="s">
        <v>433</v>
      </c>
      <c r="C82" s="151">
        <v>30</v>
      </c>
      <c r="D82" s="152" t="s">
        <v>11</v>
      </c>
      <c r="E82" s="152" t="s">
        <v>434</v>
      </c>
      <c r="F82" s="153">
        <v>556802105</v>
      </c>
      <c r="G82" s="152" t="s">
        <v>23</v>
      </c>
      <c r="H82" s="154">
        <v>0.21875</v>
      </c>
      <c r="I82" s="152" t="s">
        <v>18</v>
      </c>
      <c r="J82" s="155">
        <v>45684</v>
      </c>
      <c r="K82" s="155">
        <v>45849</v>
      </c>
      <c r="L82" s="151">
        <f>IF(ISBLANK(DATA[[#This Row],[DISCHARGE DATE]]),"NO DATE", DATA[[#This Row],[DISCHARGE DATE]]-DATA[[#This Row],[ADMISSION DATE]]+1)</f>
        <v>166</v>
      </c>
      <c r="M82" s="156">
        <v>350</v>
      </c>
      <c r="N82" s="156">
        <v>2158</v>
      </c>
      <c r="O82" s="157" t="s">
        <v>286</v>
      </c>
      <c r="P82" s="157" t="s">
        <v>435</v>
      </c>
      <c r="Q82" s="158">
        <f>IF(DATA[[#This Row],[STORAGE FEE]]=0,"NULL",DATA[[#This Row],[COLDROOM FEE]])-DATA[[#This Row],[STORAGE FEE]]</f>
        <v>0</v>
      </c>
      <c r="R82" s="158">
        <f>IF(ISBLANK(DATA[[#This Row],[DISCHARGE DATE]]),0,IF(DATA[[#This Row],[TYPE]]="VIP",20*DATA[[#This Row],[STORAGE DAYS]],13*DATA[[#This Row],[STORAGE DAYS]]))</f>
        <v>2158</v>
      </c>
      <c r="S82" s="71" t="str">
        <f>IF(ISBLANK(DATA[[#This Row],[COLDROOM RECEIPT]]), "IN CUSTODY", "DISCHARGED")</f>
        <v>DISCHARGED</v>
      </c>
      <c r="T82" s="58">
        <f>COUNTA(A:A)-2</f>
        <v>419</v>
      </c>
      <c r="U82" s="59">
        <f>YEAR(DATA[[#This Row],[ADMISSION DATE]])</f>
        <v>2025</v>
      </c>
      <c r="V82" s="60" t="str">
        <f>TEXT(DATA[[#This Row],[ADMISSION DATE]],"mmm")</f>
        <v>Jan</v>
      </c>
      <c r="W82" s="59">
        <f>YEAR(DATA[[#This Row],[DISCHARGE DATE]])</f>
        <v>2025</v>
      </c>
      <c r="X82" s="60" t="str">
        <f>TEXT(DATA[[#This Row],[DISCHARGE DATE]],"mmm")</f>
        <v>Jul</v>
      </c>
    </row>
    <row r="83" spans="1:24" s="27" customFormat="1" ht="19.5" hidden="1">
      <c r="A83" s="152" t="s">
        <v>436</v>
      </c>
      <c r="B83" s="151" t="s">
        <v>437</v>
      </c>
      <c r="C83" s="151">
        <v>77</v>
      </c>
      <c r="D83" s="152" t="s">
        <v>12</v>
      </c>
      <c r="E83" s="152" t="s">
        <v>438</v>
      </c>
      <c r="F83" s="153">
        <v>544885861</v>
      </c>
      <c r="G83" s="152" t="s">
        <v>38</v>
      </c>
      <c r="H83" s="154">
        <v>0.45833333333333331</v>
      </c>
      <c r="I83" s="152" t="s">
        <v>18</v>
      </c>
      <c r="J83" s="155">
        <v>45688</v>
      </c>
      <c r="K83" s="155">
        <v>45814</v>
      </c>
      <c r="L83" s="151">
        <f>IF(ISBLANK(DATA[[#This Row],[DISCHARGE DATE]]),"NO DATE", DATA[[#This Row],[DISCHARGE DATE]]-DATA[[#This Row],[ADMISSION DATE]]+1)</f>
        <v>127</v>
      </c>
      <c r="M83" s="156">
        <v>350</v>
      </c>
      <c r="N83" s="156">
        <v>1651</v>
      </c>
      <c r="O83" s="157" t="s">
        <v>439</v>
      </c>
      <c r="P83" s="157" t="s">
        <v>440</v>
      </c>
      <c r="Q83" s="158">
        <f>IF(DATA[[#This Row],[STORAGE FEE]]=0,"NULL",DATA[[#This Row],[COLDROOM FEE]])-DATA[[#This Row],[STORAGE FEE]]</f>
        <v>0</v>
      </c>
      <c r="R83" s="158">
        <f>IF(ISBLANK(DATA[[#This Row],[DISCHARGE DATE]]),0,IF(DATA[[#This Row],[TYPE]]="VIP",20*DATA[[#This Row],[STORAGE DAYS]],13*DATA[[#This Row],[STORAGE DAYS]]))</f>
        <v>1651</v>
      </c>
      <c r="S83" s="71" t="str">
        <f>IF(ISBLANK(DATA[[#This Row],[COLDROOM RECEIPT]]), "IN CUSTODY", "DISCHARGED")</f>
        <v>DISCHARGED</v>
      </c>
      <c r="T83" s="58">
        <f>COUNTA(A:A)-2</f>
        <v>419</v>
      </c>
      <c r="U83" s="59">
        <f>YEAR(DATA[[#This Row],[ADMISSION DATE]])</f>
        <v>2025</v>
      </c>
      <c r="V83" s="60" t="str">
        <f>TEXT(DATA[[#This Row],[ADMISSION DATE]],"mmm")</f>
        <v>Jan</v>
      </c>
      <c r="W83" s="59">
        <f>YEAR(DATA[[#This Row],[DISCHARGE DATE]])</f>
        <v>2025</v>
      </c>
      <c r="X83" s="60" t="str">
        <f>TEXT(DATA[[#This Row],[DISCHARGE DATE]],"mmm")</f>
        <v>Jun</v>
      </c>
    </row>
    <row r="84" spans="1:24" s="27" customFormat="1" ht="19.5" hidden="1">
      <c r="A84" s="152" t="s">
        <v>441</v>
      </c>
      <c r="B84" s="151" t="s">
        <v>418</v>
      </c>
      <c r="C84" s="151">
        <v>52</v>
      </c>
      <c r="D84" s="152" t="s">
        <v>11</v>
      </c>
      <c r="E84" s="152" t="s">
        <v>442</v>
      </c>
      <c r="F84" s="153">
        <v>540819359</v>
      </c>
      <c r="G84" s="152" t="s">
        <v>13</v>
      </c>
      <c r="H84" s="154">
        <v>0.625</v>
      </c>
      <c r="I84" s="152" t="s">
        <v>18</v>
      </c>
      <c r="J84" s="155">
        <v>45687</v>
      </c>
      <c r="K84" s="155">
        <v>45744</v>
      </c>
      <c r="L84" s="151">
        <f>IF(ISBLANK(DATA[[#This Row],[DISCHARGE DATE]]),"NO DATE", DATA[[#This Row],[DISCHARGE DATE]]-DATA[[#This Row],[ADMISSION DATE]]+1)</f>
        <v>58</v>
      </c>
      <c r="M84" s="156">
        <v>350</v>
      </c>
      <c r="N84" s="156">
        <v>754</v>
      </c>
      <c r="O84" s="157" t="s">
        <v>400</v>
      </c>
      <c r="P84" s="157" t="s">
        <v>362</v>
      </c>
      <c r="Q84" s="158">
        <f>IF(DATA[[#This Row],[STORAGE FEE]]=0,"NULL",DATA[[#This Row],[COLDROOM FEE]])-DATA[[#This Row],[STORAGE FEE]]</f>
        <v>0</v>
      </c>
      <c r="R84" s="158">
        <f>IF(ISBLANK(DATA[[#This Row],[DISCHARGE DATE]]),0,IF(DATA[[#This Row],[TYPE]]="VIP",20*DATA[[#This Row],[STORAGE DAYS]],13*DATA[[#This Row],[STORAGE DAYS]]))</f>
        <v>754</v>
      </c>
      <c r="S84" s="71" t="str">
        <f>IF(ISBLANK(DATA[[#This Row],[COLDROOM RECEIPT]]), "IN CUSTODY", "DISCHARGED")</f>
        <v>DISCHARGED</v>
      </c>
      <c r="T84" s="58">
        <f>COUNTA(A:A)-2</f>
        <v>419</v>
      </c>
      <c r="U84" s="59">
        <f>YEAR(DATA[[#This Row],[ADMISSION DATE]])</f>
        <v>2025</v>
      </c>
      <c r="V84" s="60" t="str">
        <f>TEXT(DATA[[#This Row],[ADMISSION DATE]],"mmm")</f>
        <v>Jan</v>
      </c>
      <c r="W84" s="59">
        <f>YEAR(DATA[[#This Row],[DISCHARGE DATE]])</f>
        <v>2025</v>
      </c>
      <c r="X84" s="60" t="str">
        <f>TEXT(DATA[[#This Row],[DISCHARGE DATE]],"mmm")</f>
        <v>Mar</v>
      </c>
    </row>
    <row r="85" spans="1:24" s="27" customFormat="1" ht="19.5" hidden="1">
      <c r="A85" s="152" t="s">
        <v>443</v>
      </c>
      <c r="B85" s="151" t="s">
        <v>444</v>
      </c>
      <c r="C85" s="151">
        <v>46</v>
      </c>
      <c r="D85" s="152" t="s">
        <v>12</v>
      </c>
      <c r="E85" s="152" t="s">
        <v>445</v>
      </c>
      <c r="F85" s="153">
        <v>598739622</v>
      </c>
      <c r="G85" s="152" t="s">
        <v>16</v>
      </c>
      <c r="H85" s="154">
        <v>0.66666666666666663</v>
      </c>
      <c r="I85" s="152" t="s">
        <v>18</v>
      </c>
      <c r="J85" s="155">
        <v>45690</v>
      </c>
      <c r="K85" s="155">
        <v>45709</v>
      </c>
      <c r="L85" s="151">
        <f>IF(ISBLANK(DATA[[#This Row],[DISCHARGE DATE]]),"NO DATE", DATA[[#This Row],[DISCHARGE DATE]]-DATA[[#This Row],[ADMISSION DATE]]+1)</f>
        <v>20</v>
      </c>
      <c r="M85" s="156">
        <v>350</v>
      </c>
      <c r="N85" s="156">
        <v>260</v>
      </c>
      <c r="O85" s="157" t="s">
        <v>238</v>
      </c>
      <c r="P85" s="157" t="s">
        <v>247</v>
      </c>
      <c r="Q85" s="158">
        <f>IF(DATA[[#This Row],[STORAGE FEE]]=0,"NULL",DATA[[#This Row],[COLDROOM FEE]])-DATA[[#This Row],[STORAGE FEE]]</f>
        <v>0</v>
      </c>
      <c r="R85" s="158">
        <f>IF(ISBLANK(DATA[[#This Row],[DISCHARGE DATE]]),0,IF(DATA[[#This Row],[TYPE]]="VIP",20*DATA[[#This Row],[STORAGE DAYS]],13*DATA[[#This Row],[STORAGE DAYS]]))</f>
        <v>260</v>
      </c>
      <c r="S85" s="71" t="str">
        <f>IF(ISBLANK(DATA[[#This Row],[COLDROOM RECEIPT]]), "IN CUSTODY", "DISCHARGED")</f>
        <v>DISCHARGED</v>
      </c>
      <c r="T85" s="58">
        <f>COUNTA(A:A)-2</f>
        <v>419</v>
      </c>
      <c r="U85" s="59">
        <f>YEAR(DATA[[#This Row],[ADMISSION DATE]])</f>
        <v>2025</v>
      </c>
      <c r="V85" s="60" t="str">
        <f>TEXT(DATA[[#This Row],[ADMISSION DATE]],"mmm")</f>
        <v>Feb</v>
      </c>
      <c r="W85" s="59">
        <f>YEAR(DATA[[#This Row],[DISCHARGE DATE]])</f>
        <v>2025</v>
      </c>
      <c r="X85" s="60" t="str">
        <f>TEXT(DATA[[#This Row],[DISCHARGE DATE]],"mmm")</f>
        <v>Feb</v>
      </c>
    </row>
    <row r="86" spans="1:24" s="27" customFormat="1" ht="19.5" hidden="1">
      <c r="A86" s="152" t="s">
        <v>446</v>
      </c>
      <c r="B86" s="151" t="s">
        <v>447</v>
      </c>
      <c r="C86" s="151">
        <v>90</v>
      </c>
      <c r="D86" s="152" t="s">
        <v>11</v>
      </c>
      <c r="E86" s="152" t="s">
        <v>448</v>
      </c>
      <c r="F86" s="153">
        <v>542052299</v>
      </c>
      <c r="G86" s="152" t="s">
        <v>16</v>
      </c>
      <c r="H86" s="154">
        <v>0.16666666666666666</v>
      </c>
      <c r="I86" s="152" t="s">
        <v>20</v>
      </c>
      <c r="J86" s="155">
        <v>45692</v>
      </c>
      <c r="K86" s="155">
        <v>45806</v>
      </c>
      <c r="L86" s="151">
        <f>IF(ISBLANK(DATA[[#This Row],[DISCHARGE DATE]]),"NO DATE", DATA[[#This Row],[DISCHARGE DATE]]-DATA[[#This Row],[ADMISSION DATE]]+1)</f>
        <v>115</v>
      </c>
      <c r="M86" s="156">
        <v>350</v>
      </c>
      <c r="N86" s="156">
        <v>2300</v>
      </c>
      <c r="O86" s="157" t="s">
        <v>390</v>
      </c>
      <c r="P86" s="157" t="s">
        <v>300</v>
      </c>
      <c r="Q86" s="158">
        <f>IF(DATA[[#This Row],[STORAGE FEE]]=0,"NULL",DATA[[#This Row],[COLDROOM FEE]])-DATA[[#This Row],[STORAGE FEE]]</f>
        <v>0</v>
      </c>
      <c r="R86" s="158">
        <f>IF(ISBLANK(DATA[[#This Row],[DISCHARGE DATE]]),0,IF(DATA[[#This Row],[TYPE]]="VIP",20*DATA[[#This Row],[STORAGE DAYS]],13*DATA[[#This Row],[STORAGE DAYS]]))</f>
        <v>2300</v>
      </c>
      <c r="S86" s="71" t="str">
        <f>IF(ISBLANK(DATA[[#This Row],[COLDROOM RECEIPT]]), "IN CUSTODY", "DISCHARGED")</f>
        <v>DISCHARGED</v>
      </c>
      <c r="T86" s="58">
        <f>COUNTA(A:A)-2</f>
        <v>419</v>
      </c>
      <c r="U86" s="59">
        <f>YEAR(DATA[[#This Row],[ADMISSION DATE]])</f>
        <v>2025</v>
      </c>
      <c r="V86" s="60" t="str">
        <f>TEXT(DATA[[#This Row],[ADMISSION DATE]],"mmm")</f>
        <v>Feb</v>
      </c>
      <c r="W86" s="59">
        <f>YEAR(DATA[[#This Row],[DISCHARGE DATE]])</f>
        <v>2025</v>
      </c>
      <c r="X86" s="60" t="str">
        <f>TEXT(DATA[[#This Row],[DISCHARGE DATE]],"mmm")</f>
        <v>May</v>
      </c>
    </row>
    <row r="87" spans="1:24" s="27" customFormat="1" ht="19.5" hidden="1">
      <c r="A87" s="152" t="s">
        <v>449</v>
      </c>
      <c r="B87" s="151" t="s">
        <v>450</v>
      </c>
      <c r="C87" s="151">
        <v>20</v>
      </c>
      <c r="D87" s="152" t="s">
        <v>11</v>
      </c>
      <c r="E87" s="152" t="s">
        <v>451</v>
      </c>
      <c r="F87" s="153">
        <v>242002826</v>
      </c>
      <c r="G87" s="152" t="s">
        <v>13</v>
      </c>
      <c r="H87" s="154">
        <v>0.29166666666666669</v>
      </c>
      <c r="I87" s="152" t="s">
        <v>18</v>
      </c>
      <c r="J87" s="155">
        <v>45692</v>
      </c>
      <c r="K87" s="155">
        <v>45849</v>
      </c>
      <c r="L87" s="151">
        <f>IF(ISBLANK(DATA[[#This Row],[DISCHARGE DATE]]),"NO DATE", DATA[[#This Row],[DISCHARGE DATE]]-DATA[[#This Row],[ADMISSION DATE]]+1)</f>
        <v>158</v>
      </c>
      <c r="M87" s="156">
        <v>350</v>
      </c>
      <c r="N87" s="156">
        <v>2054</v>
      </c>
      <c r="O87" s="157" t="s">
        <v>151</v>
      </c>
      <c r="P87" s="157" t="s">
        <v>452</v>
      </c>
      <c r="Q87" s="158">
        <f>IF(DATA[[#This Row],[STORAGE FEE]]=0,"NULL",DATA[[#This Row],[COLDROOM FEE]])-DATA[[#This Row],[STORAGE FEE]]</f>
        <v>0</v>
      </c>
      <c r="R87" s="158">
        <f>IF(ISBLANK(DATA[[#This Row],[DISCHARGE DATE]]),0,IF(DATA[[#This Row],[TYPE]]="VIP",20*DATA[[#This Row],[STORAGE DAYS]],13*DATA[[#This Row],[STORAGE DAYS]]))</f>
        <v>2054</v>
      </c>
      <c r="S87" s="71" t="str">
        <f>IF(ISBLANK(DATA[[#This Row],[COLDROOM RECEIPT]]), "IN CUSTODY", "DISCHARGED")</f>
        <v>DISCHARGED</v>
      </c>
      <c r="T87" s="58">
        <f>COUNTA(A:A)-2</f>
        <v>419</v>
      </c>
      <c r="U87" s="59">
        <f>YEAR(DATA[[#This Row],[ADMISSION DATE]])</f>
        <v>2025</v>
      </c>
      <c r="V87" s="60" t="str">
        <f>TEXT(DATA[[#This Row],[ADMISSION DATE]],"mmm")</f>
        <v>Feb</v>
      </c>
      <c r="W87" s="59">
        <f>YEAR(DATA[[#This Row],[DISCHARGE DATE]])</f>
        <v>2025</v>
      </c>
      <c r="X87" s="60" t="str">
        <f>TEXT(DATA[[#This Row],[DISCHARGE DATE]],"mmm")</f>
        <v>Jul</v>
      </c>
    </row>
    <row r="88" spans="1:24" s="27" customFormat="1" ht="19.5" hidden="1">
      <c r="A88" s="152" t="s">
        <v>453</v>
      </c>
      <c r="B88" s="151" t="s">
        <v>454</v>
      </c>
      <c r="C88" s="151">
        <v>54</v>
      </c>
      <c r="D88" s="152" t="s">
        <v>12</v>
      </c>
      <c r="E88" s="152" t="s">
        <v>455</v>
      </c>
      <c r="F88" s="153">
        <v>543530422</v>
      </c>
      <c r="G88" s="152" t="s">
        <v>26</v>
      </c>
      <c r="H88" s="154">
        <v>0.6875</v>
      </c>
      <c r="I88" s="152" t="s">
        <v>18</v>
      </c>
      <c r="J88" s="155">
        <v>45692</v>
      </c>
      <c r="K88" s="155">
        <v>45856</v>
      </c>
      <c r="L88" s="151">
        <f>IF(ISBLANK(DATA[[#This Row],[DISCHARGE DATE]]),"NO DATE", DATA[[#This Row],[DISCHARGE DATE]]-DATA[[#This Row],[ADMISSION DATE]]+1)</f>
        <v>165</v>
      </c>
      <c r="M88" s="156">
        <v>350</v>
      </c>
      <c r="N88" s="156">
        <v>2145</v>
      </c>
      <c r="O88" s="157" t="s">
        <v>179</v>
      </c>
      <c r="P88" s="157" t="s">
        <v>456</v>
      </c>
      <c r="Q88" s="158">
        <f>IF(DATA[[#This Row],[STORAGE FEE]]=0,"NULL",DATA[[#This Row],[COLDROOM FEE]])-DATA[[#This Row],[STORAGE FEE]]</f>
        <v>0</v>
      </c>
      <c r="R88" s="158">
        <f>IF(ISBLANK(DATA[[#This Row],[DISCHARGE DATE]]),0,IF(DATA[[#This Row],[TYPE]]="VIP",20*DATA[[#This Row],[STORAGE DAYS]],13*DATA[[#This Row],[STORAGE DAYS]]))</f>
        <v>2145</v>
      </c>
      <c r="S88" s="71" t="str">
        <f>IF(ISBLANK(DATA[[#This Row],[COLDROOM RECEIPT]]), "IN CUSTODY", "DISCHARGED")</f>
        <v>DISCHARGED</v>
      </c>
      <c r="T88" s="58">
        <f>COUNTA(A:A)-2</f>
        <v>419</v>
      </c>
      <c r="U88" s="59">
        <f>YEAR(DATA[[#This Row],[ADMISSION DATE]])</f>
        <v>2025</v>
      </c>
      <c r="V88" s="60" t="str">
        <f>TEXT(DATA[[#This Row],[ADMISSION DATE]],"mmm")</f>
        <v>Feb</v>
      </c>
      <c r="W88" s="59">
        <f>YEAR(DATA[[#This Row],[DISCHARGE DATE]])</f>
        <v>2025</v>
      </c>
      <c r="X88" s="60" t="str">
        <f>TEXT(DATA[[#This Row],[DISCHARGE DATE]],"mmm")</f>
        <v>Jul</v>
      </c>
    </row>
    <row r="89" spans="1:24" s="27" customFormat="1" ht="19.5" hidden="1">
      <c r="A89" s="152" t="s">
        <v>457</v>
      </c>
      <c r="B89" s="151" t="s">
        <v>458</v>
      </c>
      <c r="C89" s="151">
        <v>66</v>
      </c>
      <c r="D89" s="152" t="s">
        <v>12</v>
      </c>
      <c r="E89" s="152" t="s">
        <v>448</v>
      </c>
      <c r="F89" s="153">
        <v>246425796</v>
      </c>
      <c r="G89" s="152" t="s">
        <v>13</v>
      </c>
      <c r="H89" s="154">
        <v>0.8125</v>
      </c>
      <c r="I89" s="152" t="s">
        <v>18</v>
      </c>
      <c r="J89" s="155">
        <v>45692</v>
      </c>
      <c r="K89" s="155">
        <v>45744</v>
      </c>
      <c r="L89" s="151">
        <f>IF(ISBLANK(DATA[[#This Row],[DISCHARGE DATE]]),"NO DATE", DATA[[#This Row],[DISCHARGE DATE]]-DATA[[#This Row],[ADMISSION DATE]]+1)</f>
        <v>53</v>
      </c>
      <c r="M89" s="156">
        <v>350</v>
      </c>
      <c r="N89" s="156">
        <v>689</v>
      </c>
      <c r="O89" s="157" t="s">
        <v>459</v>
      </c>
      <c r="P89" s="157" t="s">
        <v>326</v>
      </c>
      <c r="Q89" s="158">
        <f>IF(DATA[[#This Row],[STORAGE FEE]]=0,"NULL",DATA[[#This Row],[COLDROOM FEE]])-DATA[[#This Row],[STORAGE FEE]]</f>
        <v>0</v>
      </c>
      <c r="R89" s="158">
        <f>IF(ISBLANK(DATA[[#This Row],[DISCHARGE DATE]]),0,IF(DATA[[#This Row],[TYPE]]="VIP",20*DATA[[#This Row],[STORAGE DAYS]],13*DATA[[#This Row],[STORAGE DAYS]]))</f>
        <v>689</v>
      </c>
      <c r="S89" s="71" t="str">
        <f>IF(ISBLANK(DATA[[#This Row],[COLDROOM RECEIPT]]), "IN CUSTODY", "DISCHARGED")</f>
        <v>DISCHARGED</v>
      </c>
      <c r="T89" s="58">
        <f>COUNTA(A:A)-2</f>
        <v>419</v>
      </c>
      <c r="U89" s="59">
        <f>YEAR(DATA[[#This Row],[ADMISSION DATE]])</f>
        <v>2025</v>
      </c>
      <c r="V89" s="60" t="str">
        <f>TEXT(DATA[[#This Row],[ADMISSION DATE]],"mmm")</f>
        <v>Feb</v>
      </c>
      <c r="W89" s="59">
        <f>YEAR(DATA[[#This Row],[DISCHARGE DATE]])</f>
        <v>2025</v>
      </c>
      <c r="X89" s="60" t="str">
        <f>TEXT(DATA[[#This Row],[DISCHARGE DATE]],"mmm")</f>
        <v>Mar</v>
      </c>
    </row>
    <row r="90" spans="1:24" s="27" customFormat="1" ht="19.5" hidden="1">
      <c r="A90" s="152" t="s">
        <v>460</v>
      </c>
      <c r="B90" s="151" t="s">
        <v>461</v>
      </c>
      <c r="C90" s="151">
        <v>49</v>
      </c>
      <c r="D90" s="152" t="s">
        <v>12</v>
      </c>
      <c r="E90" s="152" t="s">
        <v>462</v>
      </c>
      <c r="F90" s="153">
        <v>247200542</v>
      </c>
      <c r="G90" s="152" t="s">
        <v>13</v>
      </c>
      <c r="H90" s="154">
        <v>0.52083333333333337</v>
      </c>
      <c r="I90" s="152" t="s">
        <v>18</v>
      </c>
      <c r="J90" s="155">
        <v>45694</v>
      </c>
      <c r="K90" s="155">
        <v>45700</v>
      </c>
      <c r="L90" s="151">
        <f>IF(ISBLANK(DATA[[#This Row],[DISCHARGE DATE]]),"NO DATE", DATA[[#This Row],[DISCHARGE DATE]]-DATA[[#This Row],[ADMISSION DATE]]+1)</f>
        <v>7</v>
      </c>
      <c r="M90" s="156">
        <v>350</v>
      </c>
      <c r="N90" s="156">
        <v>91</v>
      </c>
      <c r="O90" s="157" t="s">
        <v>452</v>
      </c>
      <c r="P90" s="157" t="s">
        <v>219</v>
      </c>
      <c r="Q90" s="158">
        <f>IF(DATA[[#This Row],[STORAGE FEE]]=0,"NULL",DATA[[#This Row],[COLDROOM FEE]])-DATA[[#This Row],[STORAGE FEE]]</f>
        <v>0</v>
      </c>
      <c r="R90" s="158">
        <f>IF(ISBLANK(DATA[[#This Row],[DISCHARGE DATE]]),0,IF(DATA[[#This Row],[TYPE]]="VIP",20*DATA[[#This Row],[STORAGE DAYS]],13*DATA[[#This Row],[STORAGE DAYS]]))</f>
        <v>91</v>
      </c>
      <c r="S90" s="71" t="str">
        <f>IF(ISBLANK(DATA[[#This Row],[COLDROOM RECEIPT]]), "IN CUSTODY", "DISCHARGED")</f>
        <v>DISCHARGED</v>
      </c>
      <c r="T90" s="58">
        <f>COUNTA(A:A)-2</f>
        <v>419</v>
      </c>
      <c r="U90" s="59">
        <f>YEAR(DATA[[#This Row],[ADMISSION DATE]])</f>
        <v>2025</v>
      </c>
      <c r="V90" s="60" t="str">
        <f>TEXT(DATA[[#This Row],[ADMISSION DATE]],"mmm")</f>
        <v>Feb</v>
      </c>
      <c r="W90" s="59">
        <f>YEAR(DATA[[#This Row],[DISCHARGE DATE]])</f>
        <v>2025</v>
      </c>
      <c r="X90" s="60" t="str">
        <f>TEXT(DATA[[#This Row],[DISCHARGE DATE]],"mmm")</f>
        <v>Feb</v>
      </c>
    </row>
    <row r="91" spans="1:24" s="27" customFormat="1" ht="19.5" hidden="1">
      <c r="A91" s="152" t="s">
        <v>463</v>
      </c>
      <c r="B91" s="151" t="s">
        <v>464</v>
      </c>
      <c r="C91" s="151">
        <v>66</v>
      </c>
      <c r="D91" s="152" t="s">
        <v>11</v>
      </c>
      <c r="E91" s="152" t="s">
        <v>465</v>
      </c>
      <c r="F91" s="153">
        <v>246282426</v>
      </c>
      <c r="G91" s="152" t="s">
        <v>13</v>
      </c>
      <c r="H91" s="154">
        <v>0.6875</v>
      </c>
      <c r="I91" s="152" t="s">
        <v>18</v>
      </c>
      <c r="J91" s="155">
        <v>45697</v>
      </c>
      <c r="K91" s="155">
        <v>45744</v>
      </c>
      <c r="L91" s="151">
        <f>IF(ISBLANK(DATA[[#This Row],[DISCHARGE DATE]]),"NO DATE", DATA[[#This Row],[DISCHARGE DATE]]-DATA[[#This Row],[ADMISSION DATE]]+1)</f>
        <v>48</v>
      </c>
      <c r="M91" s="156">
        <v>350</v>
      </c>
      <c r="N91" s="156">
        <v>624</v>
      </c>
      <c r="O91" s="157" t="s">
        <v>281</v>
      </c>
      <c r="P91" s="157" t="s">
        <v>341</v>
      </c>
      <c r="Q91" s="158">
        <f>IF(DATA[[#This Row],[STORAGE FEE]]=0,"NULL",DATA[[#This Row],[COLDROOM FEE]])-DATA[[#This Row],[STORAGE FEE]]</f>
        <v>0</v>
      </c>
      <c r="R91" s="158">
        <f>IF(ISBLANK(DATA[[#This Row],[DISCHARGE DATE]]),0,IF(DATA[[#This Row],[TYPE]]="VIP",20*DATA[[#This Row],[STORAGE DAYS]],13*DATA[[#This Row],[STORAGE DAYS]]))</f>
        <v>624</v>
      </c>
      <c r="S91" s="71" t="str">
        <f>IF(ISBLANK(DATA[[#This Row],[COLDROOM RECEIPT]]), "IN CUSTODY", "DISCHARGED")</f>
        <v>DISCHARGED</v>
      </c>
      <c r="T91" s="58">
        <f>COUNTA(A:A)-2</f>
        <v>419</v>
      </c>
      <c r="U91" s="59">
        <f>YEAR(DATA[[#This Row],[ADMISSION DATE]])</f>
        <v>2025</v>
      </c>
      <c r="V91" s="60" t="str">
        <f>TEXT(DATA[[#This Row],[ADMISSION DATE]],"mmm")</f>
        <v>Feb</v>
      </c>
      <c r="W91" s="59">
        <f>YEAR(DATA[[#This Row],[DISCHARGE DATE]])</f>
        <v>2025</v>
      </c>
      <c r="X91" s="60" t="str">
        <f>TEXT(DATA[[#This Row],[DISCHARGE DATE]],"mmm")</f>
        <v>Mar</v>
      </c>
    </row>
    <row r="92" spans="1:24" s="27" customFormat="1" ht="19.5" hidden="1">
      <c r="A92" s="152" t="s">
        <v>466</v>
      </c>
      <c r="B92" s="151" t="s">
        <v>467</v>
      </c>
      <c r="C92" s="151">
        <v>80</v>
      </c>
      <c r="D92" s="152" t="s">
        <v>11</v>
      </c>
      <c r="E92" s="152" t="s">
        <v>468</v>
      </c>
      <c r="F92" s="153">
        <v>245060415</v>
      </c>
      <c r="G92" s="152" t="s">
        <v>13</v>
      </c>
      <c r="H92" s="154">
        <v>0.625</v>
      </c>
      <c r="I92" s="152" t="s">
        <v>18</v>
      </c>
      <c r="J92" s="155">
        <v>45695</v>
      </c>
      <c r="K92" s="155">
        <v>45898</v>
      </c>
      <c r="L92" s="151">
        <f>IF(ISBLANK(DATA[[#This Row],[DISCHARGE DATE]]),"NO DATE", DATA[[#This Row],[DISCHARGE DATE]]-DATA[[#This Row],[ADMISSION DATE]]+1)</f>
        <v>204</v>
      </c>
      <c r="M92" s="156">
        <v>350</v>
      </c>
      <c r="N92" s="156">
        <v>2652</v>
      </c>
      <c r="O92" s="157" t="s">
        <v>322</v>
      </c>
      <c r="P92" s="157" t="s">
        <v>469</v>
      </c>
      <c r="Q92" s="158">
        <f>IF(DATA[[#This Row],[STORAGE FEE]]=0,"NULL",DATA[[#This Row],[COLDROOM FEE]])-DATA[[#This Row],[STORAGE FEE]]</f>
        <v>0</v>
      </c>
      <c r="R92" s="158">
        <f>IF(ISBLANK(DATA[[#This Row],[DISCHARGE DATE]]),0,IF(DATA[[#This Row],[TYPE]]="VIP",20*DATA[[#This Row],[STORAGE DAYS]],13*DATA[[#This Row],[STORAGE DAYS]]))</f>
        <v>2652</v>
      </c>
      <c r="S92" s="71" t="str">
        <f>IF(ISBLANK(DATA[[#This Row],[COLDROOM RECEIPT]]), "IN CUSTODY", "DISCHARGED")</f>
        <v>DISCHARGED</v>
      </c>
      <c r="T92" s="58">
        <f>COUNTA(A:A)-2</f>
        <v>419</v>
      </c>
      <c r="U92" s="59">
        <f>YEAR(DATA[[#This Row],[ADMISSION DATE]])</f>
        <v>2025</v>
      </c>
      <c r="V92" s="60" t="str">
        <f>TEXT(DATA[[#This Row],[ADMISSION DATE]],"mmm")</f>
        <v>Feb</v>
      </c>
      <c r="W92" s="59">
        <f>YEAR(DATA[[#This Row],[DISCHARGE DATE]])</f>
        <v>2025</v>
      </c>
      <c r="X92" s="60" t="str">
        <f>TEXT(DATA[[#This Row],[DISCHARGE DATE]],"mmm")</f>
        <v>Aug</v>
      </c>
    </row>
    <row r="93" spans="1:24" s="27" customFormat="1" ht="19.5" hidden="1">
      <c r="A93" s="152" t="s">
        <v>470</v>
      </c>
      <c r="B93" s="151" t="s">
        <v>471</v>
      </c>
      <c r="C93" s="151">
        <v>65</v>
      </c>
      <c r="D93" s="152" t="s">
        <v>12</v>
      </c>
      <c r="E93" s="152" t="s">
        <v>472</v>
      </c>
      <c r="F93" s="153">
        <v>540831968</v>
      </c>
      <c r="G93" s="152" t="s">
        <v>13</v>
      </c>
      <c r="H93" s="154">
        <v>0.61805555555555558</v>
      </c>
      <c r="I93" s="152" t="s">
        <v>20</v>
      </c>
      <c r="J93" s="155">
        <v>45699</v>
      </c>
      <c r="K93" s="155">
        <v>45870</v>
      </c>
      <c r="L93" s="151">
        <f>IF(ISBLANK(DATA[[#This Row],[DISCHARGE DATE]]),"NO DATE", DATA[[#This Row],[DISCHARGE DATE]]-DATA[[#This Row],[ADMISSION DATE]]+1)</f>
        <v>172</v>
      </c>
      <c r="M93" s="156">
        <v>350</v>
      </c>
      <c r="N93" s="156">
        <v>3440</v>
      </c>
      <c r="O93" s="157" t="s">
        <v>473</v>
      </c>
      <c r="P93" s="157" t="s">
        <v>474</v>
      </c>
      <c r="Q93" s="158">
        <f>IF(DATA[[#This Row],[STORAGE FEE]]=0,"NULL",DATA[[#This Row],[COLDROOM FEE]])-DATA[[#This Row],[STORAGE FEE]]</f>
        <v>0</v>
      </c>
      <c r="R93" s="158">
        <f>IF(ISBLANK(DATA[[#This Row],[DISCHARGE DATE]]),0,IF(DATA[[#This Row],[TYPE]]="VIP",20*DATA[[#This Row],[STORAGE DAYS]],13*DATA[[#This Row],[STORAGE DAYS]]))</f>
        <v>3440</v>
      </c>
      <c r="S93" s="71" t="str">
        <f>IF(ISBLANK(DATA[[#This Row],[COLDROOM RECEIPT]]), "IN CUSTODY", "DISCHARGED")</f>
        <v>DISCHARGED</v>
      </c>
      <c r="T93" s="58">
        <f>COUNTA(A:A)-2</f>
        <v>419</v>
      </c>
      <c r="U93" s="59">
        <f>YEAR(DATA[[#This Row],[ADMISSION DATE]])</f>
        <v>2025</v>
      </c>
      <c r="V93" s="60" t="str">
        <f>TEXT(DATA[[#This Row],[ADMISSION DATE]],"mmm")</f>
        <v>Feb</v>
      </c>
      <c r="W93" s="59">
        <f>YEAR(DATA[[#This Row],[DISCHARGE DATE]])</f>
        <v>2025</v>
      </c>
      <c r="X93" s="60" t="str">
        <f>TEXT(DATA[[#This Row],[DISCHARGE DATE]],"mmm")</f>
        <v>Aug</v>
      </c>
    </row>
    <row r="94" spans="1:24" s="27" customFormat="1" ht="19.5" hidden="1">
      <c r="A94" s="152" t="s">
        <v>475</v>
      </c>
      <c r="B94" s="151" t="s">
        <v>476</v>
      </c>
      <c r="C94" s="151">
        <v>68</v>
      </c>
      <c r="D94" s="152" t="s">
        <v>12</v>
      </c>
      <c r="E94" s="152" t="s">
        <v>477</v>
      </c>
      <c r="F94" s="153">
        <v>245614439</v>
      </c>
      <c r="G94" s="152" t="s">
        <v>13</v>
      </c>
      <c r="H94" s="154">
        <v>0.52083333333333337</v>
      </c>
      <c r="I94" s="152" t="s">
        <v>18</v>
      </c>
      <c r="J94" s="155">
        <v>45705</v>
      </c>
      <c r="K94" s="155">
        <v>45772</v>
      </c>
      <c r="L94" s="151">
        <f>IF(ISBLANK(DATA[[#This Row],[DISCHARGE DATE]]),"NO DATE", DATA[[#This Row],[DISCHARGE DATE]]-DATA[[#This Row],[ADMISSION DATE]]+1)</f>
        <v>68</v>
      </c>
      <c r="M94" s="156">
        <v>350</v>
      </c>
      <c r="N94" s="156">
        <v>884</v>
      </c>
      <c r="O94" s="157" t="s">
        <v>478</v>
      </c>
      <c r="P94" s="157" t="s">
        <v>439</v>
      </c>
      <c r="Q94" s="158">
        <f>IF(DATA[[#This Row],[STORAGE FEE]]=0,"NULL",DATA[[#This Row],[COLDROOM FEE]])-DATA[[#This Row],[STORAGE FEE]]</f>
        <v>0</v>
      </c>
      <c r="R94" s="158">
        <f>IF(ISBLANK(DATA[[#This Row],[DISCHARGE DATE]]),0,IF(DATA[[#This Row],[TYPE]]="VIP",20*DATA[[#This Row],[STORAGE DAYS]],13*DATA[[#This Row],[STORAGE DAYS]]))</f>
        <v>884</v>
      </c>
      <c r="S94" s="71" t="str">
        <f>IF(ISBLANK(DATA[[#This Row],[COLDROOM RECEIPT]]), "IN CUSTODY", "DISCHARGED")</f>
        <v>DISCHARGED</v>
      </c>
      <c r="T94" s="58">
        <f>COUNTA(A:A)-2</f>
        <v>419</v>
      </c>
      <c r="U94" s="59">
        <f>YEAR(DATA[[#This Row],[ADMISSION DATE]])</f>
        <v>2025</v>
      </c>
      <c r="V94" s="60" t="str">
        <f>TEXT(DATA[[#This Row],[ADMISSION DATE]],"mmm")</f>
        <v>Feb</v>
      </c>
      <c r="W94" s="59">
        <f>YEAR(DATA[[#This Row],[DISCHARGE DATE]])</f>
        <v>2025</v>
      </c>
      <c r="X94" s="60" t="str">
        <f>TEXT(DATA[[#This Row],[DISCHARGE DATE]],"mmm")</f>
        <v>Apr</v>
      </c>
    </row>
    <row r="95" spans="1:24" s="27" customFormat="1" ht="19.5" hidden="1">
      <c r="A95" s="152" t="s">
        <v>479</v>
      </c>
      <c r="B95" s="151" t="s">
        <v>480</v>
      </c>
      <c r="C95" s="151">
        <v>73</v>
      </c>
      <c r="D95" s="152" t="s">
        <v>11</v>
      </c>
      <c r="E95" s="152" t="s">
        <v>481</v>
      </c>
      <c r="F95" s="153">
        <v>241167825</v>
      </c>
      <c r="G95" s="152" t="s">
        <v>13</v>
      </c>
      <c r="H95" s="154">
        <v>0.66666666666666663</v>
      </c>
      <c r="I95" s="152" t="s">
        <v>18</v>
      </c>
      <c r="J95" s="155">
        <v>45706</v>
      </c>
      <c r="K95" s="155">
        <v>45807</v>
      </c>
      <c r="L95" s="151">
        <f>IF(ISBLANK(DATA[[#This Row],[DISCHARGE DATE]]),"NO DATE", DATA[[#This Row],[DISCHARGE DATE]]-DATA[[#This Row],[ADMISSION DATE]]+1)</f>
        <v>102</v>
      </c>
      <c r="M95" s="156">
        <v>350</v>
      </c>
      <c r="N95" s="156">
        <v>1326</v>
      </c>
      <c r="O95" s="157" t="s">
        <v>482</v>
      </c>
      <c r="P95" s="157" t="s">
        <v>483</v>
      </c>
      <c r="Q95" s="158">
        <f>IF(DATA[[#This Row],[STORAGE FEE]]=0,"NULL",DATA[[#This Row],[COLDROOM FEE]])-DATA[[#This Row],[STORAGE FEE]]</f>
        <v>0</v>
      </c>
      <c r="R95" s="158">
        <f>IF(ISBLANK(DATA[[#This Row],[DISCHARGE DATE]]),0,IF(DATA[[#This Row],[TYPE]]="VIP",20*DATA[[#This Row],[STORAGE DAYS]],13*DATA[[#This Row],[STORAGE DAYS]]))</f>
        <v>1326</v>
      </c>
      <c r="S95" s="71" t="str">
        <f>IF(ISBLANK(DATA[[#This Row],[COLDROOM RECEIPT]]), "IN CUSTODY", "DISCHARGED")</f>
        <v>DISCHARGED</v>
      </c>
      <c r="T95" s="58">
        <f>COUNTA(A:A)-2</f>
        <v>419</v>
      </c>
      <c r="U95" s="59">
        <f>YEAR(DATA[[#This Row],[ADMISSION DATE]])</f>
        <v>2025</v>
      </c>
      <c r="V95" s="60" t="str">
        <f>TEXT(DATA[[#This Row],[ADMISSION DATE]],"mmm")</f>
        <v>Feb</v>
      </c>
      <c r="W95" s="59">
        <f>YEAR(DATA[[#This Row],[DISCHARGE DATE]])</f>
        <v>2025</v>
      </c>
      <c r="X95" s="60" t="str">
        <f>TEXT(DATA[[#This Row],[DISCHARGE DATE]],"mmm")</f>
        <v>May</v>
      </c>
    </row>
    <row r="96" spans="1:24" s="27" customFormat="1" ht="19.5" hidden="1">
      <c r="A96" s="152" t="s">
        <v>484</v>
      </c>
      <c r="B96" s="151" t="s">
        <v>485</v>
      </c>
      <c r="C96" s="151">
        <v>54</v>
      </c>
      <c r="D96" s="152" t="s">
        <v>12</v>
      </c>
      <c r="E96" s="152" t="s">
        <v>486</v>
      </c>
      <c r="F96" s="153">
        <v>533225299</v>
      </c>
      <c r="G96" s="152" t="s">
        <v>13</v>
      </c>
      <c r="H96" s="154">
        <v>0.58333333333333337</v>
      </c>
      <c r="I96" s="152" t="s">
        <v>18</v>
      </c>
      <c r="J96" s="155">
        <v>45703</v>
      </c>
      <c r="K96" s="155">
        <v>45807</v>
      </c>
      <c r="L96" s="151">
        <f>IF(ISBLANK(DATA[[#This Row],[DISCHARGE DATE]]),"NO DATE", DATA[[#This Row],[DISCHARGE DATE]]-DATA[[#This Row],[ADMISSION DATE]]+1)</f>
        <v>105</v>
      </c>
      <c r="M96" s="156">
        <v>350</v>
      </c>
      <c r="N96" s="156">
        <v>1365</v>
      </c>
      <c r="O96" s="157" t="s">
        <v>487</v>
      </c>
      <c r="P96" s="157" t="s">
        <v>488</v>
      </c>
      <c r="Q96" s="158">
        <f>IF(DATA[[#This Row],[STORAGE FEE]]=0,"NULL",DATA[[#This Row],[COLDROOM FEE]])-DATA[[#This Row],[STORAGE FEE]]</f>
        <v>0</v>
      </c>
      <c r="R96" s="158">
        <f>IF(ISBLANK(DATA[[#This Row],[DISCHARGE DATE]]),0,IF(DATA[[#This Row],[TYPE]]="VIP",20*DATA[[#This Row],[STORAGE DAYS]],13*DATA[[#This Row],[STORAGE DAYS]]))</f>
        <v>1365</v>
      </c>
      <c r="S96" s="71" t="str">
        <f>IF(ISBLANK(DATA[[#This Row],[COLDROOM RECEIPT]]), "IN CUSTODY", "DISCHARGED")</f>
        <v>DISCHARGED</v>
      </c>
      <c r="T96" s="58">
        <f>COUNTA(A:A)-2</f>
        <v>419</v>
      </c>
      <c r="U96" s="59">
        <f>YEAR(DATA[[#This Row],[ADMISSION DATE]])</f>
        <v>2025</v>
      </c>
      <c r="V96" s="60" t="str">
        <f>TEXT(DATA[[#This Row],[ADMISSION DATE]],"mmm")</f>
        <v>Feb</v>
      </c>
      <c r="W96" s="59">
        <f>YEAR(DATA[[#This Row],[DISCHARGE DATE]])</f>
        <v>2025</v>
      </c>
      <c r="X96" s="60" t="str">
        <f>TEXT(DATA[[#This Row],[DISCHARGE DATE]],"mmm")</f>
        <v>May</v>
      </c>
    </row>
    <row r="97" spans="1:24" s="27" customFormat="1" ht="19.5" hidden="1">
      <c r="A97" s="152" t="s">
        <v>489</v>
      </c>
      <c r="B97" s="151" t="s">
        <v>490</v>
      </c>
      <c r="C97" s="151">
        <v>57</v>
      </c>
      <c r="D97" s="152" t="s">
        <v>11</v>
      </c>
      <c r="E97" s="152" t="s">
        <v>491</v>
      </c>
      <c r="F97" s="153">
        <v>243586552</v>
      </c>
      <c r="G97" s="152" t="s">
        <v>13</v>
      </c>
      <c r="H97" s="154">
        <v>0.375</v>
      </c>
      <c r="I97" s="152" t="s">
        <v>18</v>
      </c>
      <c r="J97" s="155">
        <v>45708</v>
      </c>
      <c r="K97" s="155">
        <v>45744</v>
      </c>
      <c r="L97" s="151">
        <f>IF(ISBLANK(DATA[[#This Row],[DISCHARGE DATE]]),"NO DATE", DATA[[#This Row],[DISCHARGE DATE]]-DATA[[#This Row],[ADMISSION DATE]]+1)</f>
        <v>37</v>
      </c>
      <c r="M97" s="156">
        <v>350</v>
      </c>
      <c r="N97" s="156">
        <v>481</v>
      </c>
      <c r="O97" s="157" t="s">
        <v>269</v>
      </c>
      <c r="P97" s="157" t="s">
        <v>321</v>
      </c>
      <c r="Q97" s="158">
        <f>IF(DATA[[#This Row],[STORAGE FEE]]=0,"NULL",DATA[[#This Row],[COLDROOM FEE]])-DATA[[#This Row],[STORAGE FEE]]</f>
        <v>0</v>
      </c>
      <c r="R97" s="158">
        <f>IF(ISBLANK(DATA[[#This Row],[DISCHARGE DATE]]),0,IF(DATA[[#This Row],[TYPE]]="VIP",20*DATA[[#This Row],[STORAGE DAYS]],13*DATA[[#This Row],[STORAGE DAYS]]))</f>
        <v>481</v>
      </c>
      <c r="S97" s="71" t="str">
        <f>IF(ISBLANK(DATA[[#This Row],[COLDROOM RECEIPT]]), "IN CUSTODY", "DISCHARGED")</f>
        <v>DISCHARGED</v>
      </c>
      <c r="T97" s="58">
        <f>COUNTA(A:A)-2</f>
        <v>419</v>
      </c>
      <c r="U97" s="59">
        <f>YEAR(DATA[[#This Row],[ADMISSION DATE]])</f>
        <v>2025</v>
      </c>
      <c r="V97" s="60" t="str">
        <f>TEXT(DATA[[#This Row],[ADMISSION DATE]],"mmm")</f>
        <v>Feb</v>
      </c>
      <c r="W97" s="59">
        <f>YEAR(DATA[[#This Row],[DISCHARGE DATE]])</f>
        <v>2025</v>
      </c>
      <c r="X97" s="60" t="str">
        <f>TEXT(DATA[[#This Row],[DISCHARGE DATE]],"mmm")</f>
        <v>Mar</v>
      </c>
    </row>
    <row r="98" spans="1:24" s="27" customFormat="1" ht="19.5" hidden="1">
      <c r="A98" s="152" t="s">
        <v>492</v>
      </c>
      <c r="B98" s="151" t="s">
        <v>493</v>
      </c>
      <c r="C98" s="151">
        <v>52</v>
      </c>
      <c r="D98" s="152" t="s">
        <v>11</v>
      </c>
      <c r="E98" s="152" t="s">
        <v>494</v>
      </c>
      <c r="F98" s="153">
        <v>241866637</v>
      </c>
      <c r="G98" s="152" t="s">
        <v>13</v>
      </c>
      <c r="H98" s="154">
        <v>0.52430555555555558</v>
      </c>
      <c r="I98" s="152" t="s">
        <v>18</v>
      </c>
      <c r="J98" s="155">
        <v>45709</v>
      </c>
      <c r="K98" s="155">
        <v>45805</v>
      </c>
      <c r="L98" s="151">
        <f>IF(ISBLANK(DATA[[#This Row],[DISCHARGE DATE]]),"NO DATE", DATA[[#This Row],[DISCHARGE DATE]]-DATA[[#This Row],[ADMISSION DATE]]+1)</f>
        <v>97</v>
      </c>
      <c r="M98" s="156">
        <v>350</v>
      </c>
      <c r="N98" s="156">
        <v>1261</v>
      </c>
      <c r="O98" s="157" t="s">
        <v>291</v>
      </c>
      <c r="P98" s="157" t="s">
        <v>473</v>
      </c>
      <c r="Q98" s="158">
        <f>IF(DATA[[#This Row],[STORAGE FEE]]=0,"NULL",DATA[[#This Row],[COLDROOM FEE]])-DATA[[#This Row],[STORAGE FEE]]</f>
        <v>0</v>
      </c>
      <c r="R98" s="158">
        <f>IF(ISBLANK(DATA[[#This Row],[DISCHARGE DATE]]),0,IF(DATA[[#This Row],[TYPE]]="VIP",20*DATA[[#This Row],[STORAGE DAYS]],13*DATA[[#This Row],[STORAGE DAYS]]))</f>
        <v>1261</v>
      </c>
      <c r="S98" s="71" t="str">
        <f>IF(ISBLANK(DATA[[#This Row],[COLDROOM RECEIPT]]), "IN CUSTODY", "DISCHARGED")</f>
        <v>DISCHARGED</v>
      </c>
      <c r="T98" s="58">
        <f>COUNTA(A:A)-2</f>
        <v>419</v>
      </c>
      <c r="U98" s="59">
        <f>YEAR(DATA[[#This Row],[ADMISSION DATE]])</f>
        <v>2025</v>
      </c>
      <c r="V98" s="60" t="str">
        <f>TEXT(DATA[[#This Row],[ADMISSION DATE]],"mmm")</f>
        <v>Feb</v>
      </c>
      <c r="W98" s="59">
        <f>YEAR(DATA[[#This Row],[DISCHARGE DATE]])</f>
        <v>2025</v>
      </c>
      <c r="X98" s="60" t="str">
        <f>TEXT(DATA[[#This Row],[DISCHARGE DATE]],"mmm")</f>
        <v>May</v>
      </c>
    </row>
    <row r="99" spans="1:24" s="27" customFormat="1" ht="19.5" hidden="1">
      <c r="A99" s="152" t="s">
        <v>495</v>
      </c>
      <c r="B99" s="151" t="s">
        <v>496</v>
      </c>
      <c r="C99" s="151">
        <v>90</v>
      </c>
      <c r="D99" s="152" t="s">
        <v>11</v>
      </c>
      <c r="E99" s="152" t="s">
        <v>497</v>
      </c>
      <c r="F99" s="153">
        <v>546343905</v>
      </c>
      <c r="G99" s="152" t="s">
        <v>13</v>
      </c>
      <c r="H99" s="154">
        <v>0.22916666666666666</v>
      </c>
      <c r="I99" s="152" t="s">
        <v>20</v>
      </c>
      <c r="J99" s="155">
        <v>45712</v>
      </c>
      <c r="K99" s="155">
        <v>45954</v>
      </c>
      <c r="L99" s="151">
        <f>IF(ISBLANK(DATA[[#This Row],[DISCHARGE DATE]]),"NO DATE", DATA[[#This Row],[DISCHARGE DATE]]-DATA[[#This Row],[ADMISSION DATE]]+1)</f>
        <v>243</v>
      </c>
      <c r="M99" s="156">
        <v>350</v>
      </c>
      <c r="N99" s="156">
        <v>4860</v>
      </c>
      <c r="O99" s="157" t="s">
        <v>416</v>
      </c>
      <c r="P99" s="157" t="s">
        <v>498</v>
      </c>
      <c r="Q99" s="158">
        <f>IF(DATA[[#This Row],[STORAGE FEE]]=0,"NULL",DATA[[#This Row],[COLDROOM FEE]])-DATA[[#This Row],[STORAGE FEE]]</f>
        <v>0</v>
      </c>
      <c r="R99" s="158">
        <f>IF(ISBLANK(DATA[[#This Row],[DISCHARGE DATE]]),0,IF(DATA[[#This Row],[TYPE]]="VIP",20*DATA[[#This Row],[STORAGE DAYS]],13*DATA[[#This Row],[STORAGE DAYS]]))</f>
        <v>4860</v>
      </c>
      <c r="S99" s="71" t="str">
        <f>IF(ISBLANK(DATA[[#This Row],[COLDROOM RECEIPT]]), "IN CUSTODY", "DISCHARGED")</f>
        <v>DISCHARGED</v>
      </c>
      <c r="T99" s="58">
        <f>COUNTA(A:A)-2</f>
        <v>419</v>
      </c>
      <c r="U99" s="59">
        <f>YEAR(DATA[[#This Row],[ADMISSION DATE]])</f>
        <v>2025</v>
      </c>
      <c r="V99" s="60" t="str">
        <f>TEXT(DATA[[#This Row],[ADMISSION DATE]],"mmm")</f>
        <v>Feb</v>
      </c>
      <c r="W99" s="59">
        <f>YEAR(DATA[[#This Row],[DISCHARGE DATE]])</f>
        <v>2025</v>
      </c>
      <c r="X99" s="60" t="str">
        <f>TEXT(DATA[[#This Row],[DISCHARGE DATE]],"mmm")</f>
        <v>Oct</v>
      </c>
    </row>
    <row r="100" spans="1:24" s="27" customFormat="1" ht="19.5" hidden="1">
      <c r="A100" s="152" t="s">
        <v>499</v>
      </c>
      <c r="B100" s="151" t="s">
        <v>125</v>
      </c>
      <c r="C100" s="151">
        <v>30</v>
      </c>
      <c r="D100" s="152" t="s">
        <v>12</v>
      </c>
      <c r="E100" s="152" t="s">
        <v>312</v>
      </c>
      <c r="F100" s="153">
        <v>248055141</v>
      </c>
      <c r="G100" s="152" t="s">
        <v>13</v>
      </c>
      <c r="H100" s="154">
        <v>0.875</v>
      </c>
      <c r="I100" s="152" t="s">
        <v>18</v>
      </c>
      <c r="J100" s="155">
        <v>45710</v>
      </c>
      <c r="K100" s="155">
        <v>45751</v>
      </c>
      <c r="L100" s="151">
        <f>IF(ISBLANK(DATA[[#This Row],[DISCHARGE DATE]]),"NO DATE", DATA[[#This Row],[DISCHARGE DATE]]-DATA[[#This Row],[ADMISSION DATE]]+1)</f>
        <v>42</v>
      </c>
      <c r="M100" s="156">
        <v>350</v>
      </c>
      <c r="N100" s="156">
        <v>546</v>
      </c>
      <c r="O100" s="157" t="s">
        <v>385</v>
      </c>
      <c r="P100" s="157" t="s">
        <v>389</v>
      </c>
      <c r="Q100" s="158">
        <f>IF(DATA[[#This Row],[STORAGE FEE]]=0,"NULL",DATA[[#This Row],[COLDROOM FEE]])-DATA[[#This Row],[STORAGE FEE]]</f>
        <v>0</v>
      </c>
      <c r="R100" s="158">
        <f>IF(ISBLANK(DATA[[#This Row],[DISCHARGE DATE]]),0,IF(DATA[[#This Row],[TYPE]]="VIP",20*DATA[[#This Row],[STORAGE DAYS]],13*DATA[[#This Row],[STORAGE DAYS]]))</f>
        <v>546</v>
      </c>
      <c r="S100" s="71" t="str">
        <f>IF(ISBLANK(DATA[[#This Row],[COLDROOM RECEIPT]]), "IN CUSTODY", "DISCHARGED")</f>
        <v>DISCHARGED</v>
      </c>
      <c r="T100" s="58">
        <f>COUNTA(A:A)-2</f>
        <v>419</v>
      </c>
      <c r="U100" s="59">
        <f>YEAR(DATA[[#This Row],[ADMISSION DATE]])</f>
        <v>2025</v>
      </c>
      <c r="V100" s="60" t="str">
        <f>TEXT(DATA[[#This Row],[ADMISSION DATE]],"mmm")</f>
        <v>Feb</v>
      </c>
      <c r="W100" s="59">
        <f>YEAR(DATA[[#This Row],[DISCHARGE DATE]])</f>
        <v>2025</v>
      </c>
      <c r="X100" s="60" t="str">
        <f>TEXT(DATA[[#This Row],[DISCHARGE DATE]],"mmm")</f>
        <v>Apr</v>
      </c>
    </row>
    <row r="101" spans="1:24" s="27" customFormat="1" ht="19.5" hidden="1">
      <c r="A101" s="152" t="s">
        <v>500</v>
      </c>
      <c r="B101" s="151" t="s">
        <v>501</v>
      </c>
      <c r="C101" s="151">
        <v>70</v>
      </c>
      <c r="D101" s="152" t="s">
        <v>11</v>
      </c>
      <c r="E101" s="152" t="s">
        <v>502</v>
      </c>
      <c r="F101" s="153">
        <v>555270243</v>
      </c>
      <c r="G101" s="152" t="s">
        <v>13</v>
      </c>
      <c r="H101" s="154">
        <v>0.8125</v>
      </c>
      <c r="I101" s="152" t="s">
        <v>18</v>
      </c>
      <c r="J101" s="155">
        <v>45712</v>
      </c>
      <c r="K101" s="155">
        <v>45772</v>
      </c>
      <c r="L101" s="151">
        <f>IF(ISBLANK(DATA[[#This Row],[DISCHARGE DATE]]),"NO DATE", DATA[[#This Row],[DISCHARGE DATE]]-DATA[[#This Row],[ADMISSION DATE]]+1)</f>
        <v>61</v>
      </c>
      <c r="M101" s="156">
        <v>350</v>
      </c>
      <c r="N101" s="156">
        <v>793</v>
      </c>
      <c r="O101" s="157" t="s">
        <v>503</v>
      </c>
      <c r="P101" s="157" t="s">
        <v>430</v>
      </c>
      <c r="Q101" s="158">
        <f>IF(DATA[[#This Row],[STORAGE FEE]]=0,"NULL",DATA[[#This Row],[COLDROOM FEE]])-DATA[[#This Row],[STORAGE FEE]]</f>
        <v>0</v>
      </c>
      <c r="R101" s="158">
        <f>IF(ISBLANK(DATA[[#This Row],[DISCHARGE DATE]]),0,IF(DATA[[#This Row],[TYPE]]="VIP",20*DATA[[#This Row],[STORAGE DAYS]],13*DATA[[#This Row],[STORAGE DAYS]]))</f>
        <v>793</v>
      </c>
      <c r="S101" s="71" t="str">
        <f>IF(ISBLANK(DATA[[#This Row],[COLDROOM RECEIPT]]), "IN CUSTODY", "DISCHARGED")</f>
        <v>DISCHARGED</v>
      </c>
      <c r="T101" s="58">
        <f>COUNTA(A:A)-2</f>
        <v>419</v>
      </c>
      <c r="U101" s="59">
        <f>YEAR(DATA[[#This Row],[ADMISSION DATE]])</f>
        <v>2025</v>
      </c>
      <c r="V101" s="60" t="str">
        <f>TEXT(DATA[[#This Row],[ADMISSION DATE]],"mmm")</f>
        <v>Feb</v>
      </c>
      <c r="W101" s="59">
        <f>YEAR(DATA[[#This Row],[DISCHARGE DATE]])</f>
        <v>2025</v>
      </c>
      <c r="X101" s="60" t="str">
        <f>TEXT(DATA[[#This Row],[DISCHARGE DATE]],"mmm")</f>
        <v>Apr</v>
      </c>
    </row>
    <row r="102" spans="1:24" s="27" customFormat="1" ht="19.5" hidden="1">
      <c r="A102" s="152" t="s">
        <v>504</v>
      </c>
      <c r="B102" s="151" t="s">
        <v>505</v>
      </c>
      <c r="C102" s="151">
        <v>33</v>
      </c>
      <c r="D102" s="152" t="s">
        <v>11</v>
      </c>
      <c r="E102" s="152" t="s">
        <v>506</v>
      </c>
      <c r="F102" s="153">
        <v>256266123</v>
      </c>
      <c r="G102" s="152" t="s">
        <v>15</v>
      </c>
      <c r="H102" s="154">
        <v>0.9375</v>
      </c>
      <c r="I102" s="152" t="s">
        <v>18</v>
      </c>
      <c r="J102" s="155">
        <v>45713</v>
      </c>
      <c r="K102" s="155">
        <v>45772</v>
      </c>
      <c r="L102" s="151">
        <f>IF(ISBLANK(DATA[[#This Row],[DISCHARGE DATE]]),"NO DATE", DATA[[#This Row],[DISCHARGE DATE]]-DATA[[#This Row],[ADMISSION DATE]]+1)</f>
        <v>60</v>
      </c>
      <c r="M102" s="156">
        <v>350</v>
      </c>
      <c r="N102" s="156">
        <v>780</v>
      </c>
      <c r="O102" s="157" t="s">
        <v>507</v>
      </c>
      <c r="P102" s="157" t="s">
        <v>415</v>
      </c>
      <c r="Q102" s="158">
        <f>IF(DATA[[#This Row],[STORAGE FEE]]=0,"NULL",DATA[[#This Row],[COLDROOM FEE]])-DATA[[#This Row],[STORAGE FEE]]</f>
        <v>0</v>
      </c>
      <c r="R102" s="158">
        <f>IF(ISBLANK(DATA[[#This Row],[DISCHARGE DATE]]),0,IF(DATA[[#This Row],[TYPE]]="VIP",20*DATA[[#This Row],[STORAGE DAYS]],13*DATA[[#This Row],[STORAGE DAYS]]))</f>
        <v>780</v>
      </c>
      <c r="S102" s="71" t="str">
        <f>IF(ISBLANK(DATA[[#This Row],[COLDROOM RECEIPT]]), "IN CUSTODY", "DISCHARGED")</f>
        <v>DISCHARGED</v>
      </c>
      <c r="T102" s="58">
        <f>COUNTA(A:A)-2</f>
        <v>419</v>
      </c>
      <c r="U102" s="59">
        <f>YEAR(DATA[[#This Row],[ADMISSION DATE]])</f>
        <v>2025</v>
      </c>
      <c r="V102" s="60" t="str">
        <f>TEXT(DATA[[#This Row],[ADMISSION DATE]],"mmm")</f>
        <v>Feb</v>
      </c>
      <c r="W102" s="59">
        <f>YEAR(DATA[[#This Row],[DISCHARGE DATE]])</f>
        <v>2025</v>
      </c>
      <c r="X102" s="60" t="str">
        <f>TEXT(DATA[[#This Row],[DISCHARGE DATE]],"mmm")</f>
        <v>Apr</v>
      </c>
    </row>
    <row r="103" spans="1:24" s="27" customFormat="1" ht="19.5" hidden="1">
      <c r="A103" s="152" t="s">
        <v>508</v>
      </c>
      <c r="B103" s="151" t="s">
        <v>509</v>
      </c>
      <c r="C103" s="151">
        <v>75</v>
      </c>
      <c r="D103" s="152" t="s">
        <v>12</v>
      </c>
      <c r="E103" s="152" t="s">
        <v>510</v>
      </c>
      <c r="F103" s="153">
        <v>240655787</v>
      </c>
      <c r="G103" s="152" t="s">
        <v>15</v>
      </c>
      <c r="H103" s="154">
        <v>0.58333333333333337</v>
      </c>
      <c r="I103" s="152" t="s">
        <v>20</v>
      </c>
      <c r="J103" s="155">
        <v>45716</v>
      </c>
      <c r="K103" s="155">
        <v>45974</v>
      </c>
      <c r="L103" s="151">
        <f>IF(ISBLANK(DATA[[#This Row],[DISCHARGE DATE]]),"NO DATE", DATA[[#This Row],[DISCHARGE DATE]]-DATA[[#This Row],[ADMISSION DATE]]+1)</f>
        <v>259</v>
      </c>
      <c r="M103" s="156">
        <v>350</v>
      </c>
      <c r="N103" s="156">
        <v>5180</v>
      </c>
      <c r="O103" s="157" t="s">
        <v>511</v>
      </c>
      <c r="P103" s="157" t="s">
        <v>512</v>
      </c>
      <c r="Q103" s="158">
        <f>IF(DATA[[#This Row],[STORAGE FEE]]=0,"NULL",DATA[[#This Row],[COLDROOM FEE]])-DATA[[#This Row],[STORAGE FEE]]</f>
        <v>0</v>
      </c>
      <c r="R103" s="158">
        <f>IF(ISBLANK(DATA[[#This Row],[DISCHARGE DATE]]),0,IF(DATA[[#This Row],[TYPE]]="VIP",20*DATA[[#This Row],[STORAGE DAYS]],13*DATA[[#This Row],[STORAGE DAYS]]))</f>
        <v>5180</v>
      </c>
      <c r="S103" s="71" t="str">
        <f>IF(ISBLANK(DATA[[#This Row],[COLDROOM RECEIPT]]), "IN CUSTODY", "DISCHARGED")</f>
        <v>DISCHARGED</v>
      </c>
      <c r="T103" s="58">
        <f>COUNTA(A:A)-2</f>
        <v>419</v>
      </c>
      <c r="U103" s="59">
        <f>YEAR(DATA[[#This Row],[ADMISSION DATE]])</f>
        <v>2025</v>
      </c>
      <c r="V103" s="60" t="str">
        <f>TEXT(DATA[[#This Row],[ADMISSION DATE]],"mmm")</f>
        <v>Feb</v>
      </c>
      <c r="W103" s="59">
        <f>YEAR(DATA[[#This Row],[DISCHARGE DATE]])</f>
        <v>2025</v>
      </c>
      <c r="X103" s="60" t="str">
        <f>TEXT(DATA[[#This Row],[DISCHARGE DATE]],"mmm")</f>
        <v>Nov</v>
      </c>
    </row>
    <row r="104" spans="1:24" s="27" customFormat="1" ht="19.5" hidden="1">
      <c r="A104" s="152" t="s">
        <v>513</v>
      </c>
      <c r="B104" s="151" t="s">
        <v>514</v>
      </c>
      <c r="C104" s="151">
        <v>60</v>
      </c>
      <c r="D104" s="152" t="s">
        <v>11</v>
      </c>
      <c r="E104" s="152" t="s">
        <v>515</v>
      </c>
      <c r="F104" s="153">
        <v>246961726</v>
      </c>
      <c r="G104" s="152" t="s">
        <v>13</v>
      </c>
      <c r="H104" s="154">
        <v>0.875</v>
      </c>
      <c r="I104" s="152" t="s">
        <v>18</v>
      </c>
      <c r="J104" s="155">
        <v>45717</v>
      </c>
      <c r="K104" s="155">
        <v>45807</v>
      </c>
      <c r="L104" s="151">
        <f>IF(ISBLANK(DATA[[#This Row],[DISCHARGE DATE]]),"NO DATE", DATA[[#This Row],[DISCHARGE DATE]]-DATA[[#This Row],[ADMISSION DATE]]+1)</f>
        <v>91</v>
      </c>
      <c r="M104" s="156">
        <v>350</v>
      </c>
      <c r="N104" s="156">
        <v>1183</v>
      </c>
      <c r="O104" s="157" t="s">
        <v>516</v>
      </c>
      <c r="P104" s="157" t="s">
        <v>482</v>
      </c>
      <c r="Q104" s="158">
        <f>IF(DATA[[#This Row],[STORAGE FEE]]=0,"NULL",DATA[[#This Row],[COLDROOM FEE]])-DATA[[#This Row],[STORAGE FEE]]</f>
        <v>0</v>
      </c>
      <c r="R104" s="158">
        <f>IF(ISBLANK(DATA[[#This Row],[DISCHARGE DATE]]),0,IF(DATA[[#This Row],[TYPE]]="VIP",20*DATA[[#This Row],[STORAGE DAYS]],13*DATA[[#This Row],[STORAGE DAYS]]))</f>
        <v>1183</v>
      </c>
      <c r="S104" s="71" t="str">
        <f>IF(ISBLANK(DATA[[#This Row],[COLDROOM RECEIPT]]), "IN CUSTODY", "DISCHARGED")</f>
        <v>DISCHARGED</v>
      </c>
      <c r="T104" s="58">
        <f>COUNTA(A:A)-2</f>
        <v>419</v>
      </c>
      <c r="U104" s="59">
        <f>YEAR(DATA[[#This Row],[ADMISSION DATE]])</f>
        <v>2025</v>
      </c>
      <c r="V104" s="60" t="str">
        <f>TEXT(DATA[[#This Row],[ADMISSION DATE]],"mmm")</f>
        <v>Mar</v>
      </c>
      <c r="W104" s="59">
        <f>YEAR(DATA[[#This Row],[DISCHARGE DATE]])</f>
        <v>2025</v>
      </c>
      <c r="X104" s="60" t="str">
        <f>TEXT(DATA[[#This Row],[DISCHARGE DATE]],"mmm")</f>
        <v>May</v>
      </c>
    </row>
    <row r="105" spans="1:24" s="27" customFormat="1" ht="19.5" hidden="1">
      <c r="A105" s="152" t="s">
        <v>517</v>
      </c>
      <c r="B105" s="151" t="s">
        <v>518</v>
      </c>
      <c r="C105" s="151">
        <v>50</v>
      </c>
      <c r="D105" s="152" t="s">
        <v>12</v>
      </c>
      <c r="E105" s="152" t="s">
        <v>519</v>
      </c>
      <c r="F105" s="153">
        <v>247129896</v>
      </c>
      <c r="G105" s="152" t="s">
        <v>16</v>
      </c>
      <c r="H105" s="154">
        <v>0.5</v>
      </c>
      <c r="I105" s="152" t="s">
        <v>18</v>
      </c>
      <c r="J105" s="155">
        <v>45715</v>
      </c>
      <c r="K105" s="155">
        <v>45891</v>
      </c>
      <c r="L105" s="151">
        <f>IF(ISBLANK(DATA[[#This Row],[DISCHARGE DATE]]),"NO DATE", DATA[[#This Row],[DISCHARGE DATE]]-DATA[[#This Row],[ADMISSION DATE]]+1)</f>
        <v>177</v>
      </c>
      <c r="M105" s="156">
        <v>350</v>
      </c>
      <c r="N105" s="156">
        <v>2301</v>
      </c>
      <c r="O105" s="157" t="s">
        <v>431</v>
      </c>
      <c r="P105" s="157" t="s">
        <v>520</v>
      </c>
      <c r="Q105" s="158">
        <f>IF(DATA[[#This Row],[STORAGE FEE]]=0,"NULL",DATA[[#This Row],[COLDROOM FEE]])-DATA[[#This Row],[STORAGE FEE]]</f>
        <v>0</v>
      </c>
      <c r="R105" s="158">
        <f>IF(ISBLANK(DATA[[#This Row],[DISCHARGE DATE]]),0,IF(DATA[[#This Row],[TYPE]]="VIP",20*DATA[[#This Row],[STORAGE DAYS]],13*DATA[[#This Row],[STORAGE DAYS]]))</f>
        <v>2301</v>
      </c>
      <c r="S105" s="71" t="str">
        <f>IF(ISBLANK(DATA[[#This Row],[COLDROOM RECEIPT]]), "IN CUSTODY", "DISCHARGED")</f>
        <v>DISCHARGED</v>
      </c>
      <c r="T105" s="58">
        <f>COUNTA(A:A)-2</f>
        <v>419</v>
      </c>
      <c r="U105" s="59">
        <f>YEAR(DATA[[#This Row],[ADMISSION DATE]])</f>
        <v>2025</v>
      </c>
      <c r="V105" s="60" t="str">
        <f>TEXT(DATA[[#This Row],[ADMISSION DATE]],"mmm")</f>
        <v>Feb</v>
      </c>
      <c r="W105" s="59">
        <f>YEAR(DATA[[#This Row],[DISCHARGE DATE]])</f>
        <v>2025</v>
      </c>
      <c r="X105" s="60" t="str">
        <f>TEXT(DATA[[#This Row],[DISCHARGE DATE]],"mmm")</f>
        <v>Aug</v>
      </c>
    </row>
    <row r="106" spans="1:24" s="27" customFormat="1" ht="19.5" hidden="1">
      <c r="A106" s="152" t="s">
        <v>521</v>
      </c>
      <c r="B106" s="151" t="s">
        <v>522</v>
      </c>
      <c r="C106" s="151">
        <v>30</v>
      </c>
      <c r="D106" s="152" t="s">
        <v>11</v>
      </c>
      <c r="E106" s="152" t="s">
        <v>280</v>
      </c>
      <c r="F106" s="153">
        <v>257701596</v>
      </c>
      <c r="G106" s="152" t="s">
        <v>15</v>
      </c>
      <c r="H106" s="154">
        <v>0.2638888888888889</v>
      </c>
      <c r="I106" s="152" t="s">
        <v>18</v>
      </c>
      <c r="J106" s="155">
        <v>45721</v>
      </c>
      <c r="K106" s="155">
        <v>45772</v>
      </c>
      <c r="L106" s="151">
        <f>IF(ISBLANK(DATA[[#This Row],[DISCHARGE DATE]]),"NO DATE", DATA[[#This Row],[DISCHARGE DATE]]-DATA[[#This Row],[ADMISSION DATE]]+1)</f>
        <v>52</v>
      </c>
      <c r="M106" s="156">
        <v>350</v>
      </c>
      <c r="N106" s="156">
        <v>676</v>
      </c>
      <c r="O106" s="157" t="s">
        <v>523</v>
      </c>
      <c r="P106" s="157" t="s">
        <v>459</v>
      </c>
      <c r="Q106" s="158">
        <f>IF(DATA[[#This Row],[STORAGE FEE]]=0,"NULL",DATA[[#This Row],[COLDROOM FEE]])-DATA[[#This Row],[STORAGE FEE]]</f>
        <v>0</v>
      </c>
      <c r="R106" s="158">
        <f>IF(ISBLANK(DATA[[#This Row],[DISCHARGE DATE]]),0,IF(DATA[[#This Row],[TYPE]]="VIP",20*DATA[[#This Row],[STORAGE DAYS]],13*DATA[[#This Row],[STORAGE DAYS]]))</f>
        <v>676</v>
      </c>
      <c r="S106" s="71" t="str">
        <f>IF(ISBLANK(DATA[[#This Row],[COLDROOM RECEIPT]]), "IN CUSTODY", "DISCHARGED")</f>
        <v>DISCHARGED</v>
      </c>
      <c r="T106" s="58">
        <f>COUNTA(A:A)-2</f>
        <v>419</v>
      </c>
      <c r="U106" s="59">
        <f>YEAR(DATA[[#This Row],[ADMISSION DATE]])</f>
        <v>2025</v>
      </c>
      <c r="V106" s="60" t="str">
        <f>TEXT(DATA[[#This Row],[ADMISSION DATE]],"mmm")</f>
        <v>Mar</v>
      </c>
      <c r="W106" s="59">
        <f>YEAR(DATA[[#This Row],[DISCHARGE DATE]])</f>
        <v>2025</v>
      </c>
      <c r="X106" s="60" t="str">
        <f>TEXT(DATA[[#This Row],[DISCHARGE DATE]],"mmm")</f>
        <v>Apr</v>
      </c>
    </row>
    <row r="107" spans="1:24" s="27" customFormat="1" ht="19.5" hidden="1">
      <c r="A107" s="152" t="s">
        <v>524</v>
      </c>
      <c r="B107" s="151" t="s">
        <v>525</v>
      </c>
      <c r="C107" s="151">
        <v>76</v>
      </c>
      <c r="D107" s="152" t="s">
        <v>12</v>
      </c>
      <c r="E107" s="152" t="s">
        <v>526</v>
      </c>
      <c r="F107" s="153">
        <v>242275892</v>
      </c>
      <c r="G107" s="152" t="s">
        <v>13</v>
      </c>
      <c r="H107" s="154">
        <v>0.57777777777777772</v>
      </c>
      <c r="I107" s="152" t="s">
        <v>18</v>
      </c>
      <c r="J107" s="155">
        <v>45723</v>
      </c>
      <c r="K107" s="155">
        <v>45849</v>
      </c>
      <c r="L107" s="151">
        <f>IF(ISBLANK(DATA[[#This Row],[DISCHARGE DATE]]),"NO DATE", DATA[[#This Row],[DISCHARGE DATE]]-DATA[[#This Row],[ADMISSION DATE]]+1)</f>
        <v>127</v>
      </c>
      <c r="M107" s="156">
        <v>350</v>
      </c>
      <c r="N107" s="156">
        <v>1651</v>
      </c>
      <c r="O107" s="157" t="s">
        <v>527</v>
      </c>
      <c r="P107" s="157" t="s">
        <v>528</v>
      </c>
      <c r="Q107" s="158">
        <f>IF(DATA[[#This Row],[STORAGE FEE]]=0,"NULL",DATA[[#This Row],[COLDROOM FEE]])-DATA[[#This Row],[STORAGE FEE]]</f>
        <v>0</v>
      </c>
      <c r="R107" s="158">
        <f>IF(ISBLANK(DATA[[#This Row],[DISCHARGE DATE]]),0,IF(DATA[[#This Row],[TYPE]]="VIP",20*DATA[[#This Row],[STORAGE DAYS]],13*DATA[[#This Row],[STORAGE DAYS]]))</f>
        <v>1651</v>
      </c>
      <c r="S107" s="71" t="str">
        <f>IF(ISBLANK(DATA[[#This Row],[COLDROOM RECEIPT]]), "IN CUSTODY", "DISCHARGED")</f>
        <v>DISCHARGED</v>
      </c>
      <c r="T107" s="58">
        <f>COUNTA(A:A)-2</f>
        <v>419</v>
      </c>
      <c r="U107" s="59">
        <f>YEAR(DATA[[#This Row],[ADMISSION DATE]])</f>
        <v>2025</v>
      </c>
      <c r="V107" s="60" t="str">
        <f>TEXT(DATA[[#This Row],[ADMISSION DATE]],"mmm")</f>
        <v>Mar</v>
      </c>
      <c r="W107" s="59">
        <f>YEAR(DATA[[#This Row],[DISCHARGE DATE]])</f>
        <v>2025</v>
      </c>
      <c r="X107" s="60" t="str">
        <f>TEXT(DATA[[#This Row],[DISCHARGE DATE]],"mmm")</f>
        <v>Jul</v>
      </c>
    </row>
    <row r="108" spans="1:24" s="27" customFormat="1" ht="19.5" hidden="1">
      <c r="A108" s="152" t="s">
        <v>529</v>
      </c>
      <c r="B108" s="151" t="s">
        <v>530</v>
      </c>
      <c r="C108" s="151">
        <v>67</v>
      </c>
      <c r="D108" s="152" t="s">
        <v>12</v>
      </c>
      <c r="E108" s="152" t="s">
        <v>531</v>
      </c>
      <c r="F108" s="153">
        <v>554941605</v>
      </c>
      <c r="G108" s="152" t="s">
        <v>13</v>
      </c>
      <c r="H108" s="154">
        <v>0.54166666666666663</v>
      </c>
      <c r="I108" s="152" t="s">
        <v>20</v>
      </c>
      <c r="J108" s="155">
        <v>45724</v>
      </c>
      <c r="K108" s="155">
        <v>45828</v>
      </c>
      <c r="L108" s="151">
        <f>IF(ISBLANK(DATA[[#This Row],[DISCHARGE DATE]]),"NO DATE", DATA[[#This Row],[DISCHARGE DATE]]-DATA[[#This Row],[ADMISSION DATE]]+1)</f>
        <v>105</v>
      </c>
      <c r="M108" s="156">
        <v>350</v>
      </c>
      <c r="N108" s="156">
        <v>2100</v>
      </c>
      <c r="O108" s="157" t="s">
        <v>532</v>
      </c>
      <c r="P108" s="157" t="s">
        <v>533</v>
      </c>
      <c r="Q108" s="158">
        <f>IF(DATA[[#This Row],[STORAGE FEE]]=0,"NULL",DATA[[#This Row],[COLDROOM FEE]])-DATA[[#This Row],[STORAGE FEE]]</f>
        <v>0</v>
      </c>
      <c r="R108" s="158">
        <f>IF(ISBLANK(DATA[[#This Row],[DISCHARGE DATE]]),0,IF(DATA[[#This Row],[TYPE]]="VIP",20*DATA[[#This Row],[STORAGE DAYS]],13*DATA[[#This Row],[STORAGE DAYS]]))</f>
        <v>2100</v>
      </c>
      <c r="S108" s="71" t="str">
        <f>IF(ISBLANK(DATA[[#This Row],[COLDROOM RECEIPT]]), "IN CUSTODY", "DISCHARGED")</f>
        <v>DISCHARGED</v>
      </c>
      <c r="T108" s="58">
        <f>COUNTA(A:A)-2</f>
        <v>419</v>
      </c>
      <c r="U108" s="59">
        <f>YEAR(DATA[[#This Row],[ADMISSION DATE]])</f>
        <v>2025</v>
      </c>
      <c r="V108" s="60" t="str">
        <f>TEXT(DATA[[#This Row],[ADMISSION DATE]],"mmm")</f>
        <v>Mar</v>
      </c>
      <c r="W108" s="59">
        <f>YEAR(DATA[[#This Row],[DISCHARGE DATE]])</f>
        <v>2025</v>
      </c>
      <c r="X108" s="60" t="str">
        <f>TEXT(DATA[[#This Row],[DISCHARGE DATE]],"mmm")</f>
        <v>Jun</v>
      </c>
    </row>
    <row r="109" spans="1:24" s="27" customFormat="1" ht="19.5" hidden="1">
      <c r="A109" s="152" t="s">
        <v>534</v>
      </c>
      <c r="B109" s="151" t="s">
        <v>535</v>
      </c>
      <c r="C109" s="151">
        <v>38</v>
      </c>
      <c r="D109" s="152" t="s">
        <v>12</v>
      </c>
      <c r="E109" s="152" t="s">
        <v>536</v>
      </c>
      <c r="F109" s="153">
        <v>244574077</v>
      </c>
      <c r="G109" s="152" t="s">
        <v>31</v>
      </c>
      <c r="H109" s="154">
        <v>0.52222222222222225</v>
      </c>
      <c r="I109" s="152" t="s">
        <v>18</v>
      </c>
      <c r="J109" s="155">
        <v>45726</v>
      </c>
      <c r="K109" s="155">
        <v>45807</v>
      </c>
      <c r="L109" s="151">
        <f>IF(ISBLANK(DATA[[#This Row],[DISCHARGE DATE]]),"NO DATE", DATA[[#This Row],[DISCHARGE DATE]]-DATA[[#This Row],[ADMISSION DATE]]+1)</f>
        <v>82</v>
      </c>
      <c r="M109" s="156">
        <v>350</v>
      </c>
      <c r="N109" s="156">
        <v>1066</v>
      </c>
      <c r="O109" s="157" t="s">
        <v>537</v>
      </c>
      <c r="P109" s="157" t="s">
        <v>487</v>
      </c>
      <c r="Q109" s="158">
        <f>IF(DATA[[#This Row],[STORAGE FEE]]=0,"NULL",DATA[[#This Row],[COLDROOM FEE]])-DATA[[#This Row],[STORAGE FEE]]</f>
        <v>0</v>
      </c>
      <c r="R109" s="158">
        <f>IF(ISBLANK(DATA[[#This Row],[DISCHARGE DATE]]),0,IF(DATA[[#This Row],[TYPE]]="VIP",20*DATA[[#This Row],[STORAGE DAYS]],13*DATA[[#This Row],[STORAGE DAYS]]))</f>
        <v>1066</v>
      </c>
      <c r="S109" s="71" t="str">
        <f>IF(ISBLANK(DATA[[#This Row],[COLDROOM RECEIPT]]), "IN CUSTODY", "DISCHARGED")</f>
        <v>DISCHARGED</v>
      </c>
      <c r="T109" s="58">
        <f>COUNTA(A:A)-2</f>
        <v>419</v>
      </c>
      <c r="U109" s="59">
        <f>YEAR(DATA[[#This Row],[ADMISSION DATE]])</f>
        <v>2025</v>
      </c>
      <c r="V109" s="60" t="str">
        <f>TEXT(DATA[[#This Row],[ADMISSION DATE]],"mmm")</f>
        <v>Mar</v>
      </c>
      <c r="W109" s="59">
        <f>YEAR(DATA[[#This Row],[DISCHARGE DATE]])</f>
        <v>2025</v>
      </c>
      <c r="X109" s="60" t="str">
        <f>TEXT(DATA[[#This Row],[DISCHARGE DATE]],"mmm")</f>
        <v>May</v>
      </c>
    </row>
    <row r="110" spans="1:24" s="27" customFormat="1" ht="19.5" hidden="1">
      <c r="A110" s="152" t="s">
        <v>538</v>
      </c>
      <c r="B110" s="151" t="s">
        <v>539</v>
      </c>
      <c r="C110" s="151">
        <v>66</v>
      </c>
      <c r="D110" s="152" t="s">
        <v>11</v>
      </c>
      <c r="E110" s="152" t="s">
        <v>540</v>
      </c>
      <c r="F110" s="153">
        <v>556474751</v>
      </c>
      <c r="G110" s="152" t="s">
        <v>31</v>
      </c>
      <c r="H110" s="154">
        <v>0.67361111111111116</v>
      </c>
      <c r="I110" s="152" t="s">
        <v>20</v>
      </c>
      <c r="J110" s="155">
        <v>45727</v>
      </c>
      <c r="K110" s="155">
        <v>45898</v>
      </c>
      <c r="L110" s="151">
        <f>IF(ISBLANK(DATA[[#This Row],[DISCHARGE DATE]]),"NO DATE", DATA[[#This Row],[DISCHARGE DATE]]-DATA[[#This Row],[ADMISSION DATE]]+1)</f>
        <v>172</v>
      </c>
      <c r="M110" s="156">
        <v>350</v>
      </c>
      <c r="N110" s="156">
        <v>3440</v>
      </c>
      <c r="O110" s="157" t="s">
        <v>541</v>
      </c>
      <c r="P110" s="157" t="s">
        <v>542</v>
      </c>
      <c r="Q110" s="158">
        <f>IF(DATA[[#This Row],[STORAGE FEE]]=0,"NULL",DATA[[#This Row],[COLDROOM FEE]])-DATA[[#This Row],[STORAGE FEE]]</f>
        <v>0</v>
      </c>
      <c r="R110" s="158">
        <f>IF(ISBLANK(DATA[[#This Row],[DISCHARGE DATE]]),0,IF(DATA[[#This Row],[TYPE]]="VIP",20*DATA[[#This Row],[STORAGE DAYS]],13*DATA[[#This Row],[STORAGE DAYS]]))</f>
        <v>3440</v>
      </c>
      <c r="S110" s="71" t="str">
        <f>IF(ISBLANK(DATA[[#This Row],[COLDROOM RECEIPT]]), "IN CUSTODY", "DISCHARGED")</f>
        <v>DISCHARGED</v>
      </c>
      <c r="T110" s="58">
        <f>COUNTA(A:A)-2</f>
        <v>419</v>
      </c>
      <c r="U110" s="59">
        <f>YEAR(DATA[[#This Row],[ADMISSION DATE]])</f>
        <v>2025</v>
      </c>
      <c r="V110" s="60" t="str">
        <f>TEXT(DATA[[#This Row],[ADMISSION DATE]],"mmm")</f>
        <v>Mar</v>
      </c>
      <c r="W110" s="59">
        <f>YEAR(DATA[[#This Row],[DISCHARGE DATE]])</f>
        <v>2025</v>
      </c>
      <c r="X110" s="60" t="str">
        <f>TEXT(DATA[[#This Row],[DISCHARGE DATE]],"mmm")</f>
        <v>Aug</v>
      </c>
    </row>
    <row r="111" spans="1:24" s="27" customFormat="1" ht="19.5" hidden="1">
      <c r="A111" s="152" t="s">
        <v>543</v>
      </c>
      <c r="B111" s="151" t="s">
        <v>544</v>
      </c>
      <c r="C111" s="151">
        <v>61</v>
      </c>
      <c r="D111" s="152" t="s">
        <v>12</v>
      </c>
      <c r="E111" s="152" t="s">
        <v>545</v>
      </c>
      <c r="F111" s="153">
        <v>247292185</v>
      </c>
      <c r="G111" s="152" t="s">
        <v>13</v>
      </c>
      <c r="H111" s="154">
        <v>0.5444444444444444</v>
      </c>
      <c r="I111" s="152" t="s">
        <v>18</v>
      </c>
      <c r="J111" s="155">
        <v>45729</v>
      </c>
      <c r="K111" s="155">
        <v>45849</v>
      </c>
      <c r="L111" s="151">
        <f>IF(ISBLANK(DATA[[#This Row],[DISCHARGE DATE]]),"NO DATE", DATA[[#This Row],[DISCHARGE DATE]]-DATA[[#This Row],[ADMISSION DATE]]+1)</f>
        <v>121</v>
      </c>
      <c r="M111" s="156">
        <v>350</v>
      </c>
      <c r="N111" s="156">
        <v>1573</v>
      </c>
      <c r="O111" s="157" t="s">
        <v>546</v>
      </c>
      <c r="P111" s="157" t="s">
        <v>547</v>
      </c>
      <c r="Q111" s="158">
        <f>IF(DATA[[#This Row],[STORAGE FEE]]=0,"NULL",DATA[[#This Row],[COLDROOM FEE]])-DATA[[#This Row],[STORAGE FEE]]</f>
        <v>0</v>
      </c>
      <c r="R111" s="158">
        <f>IF(ISBLANK(DATA[[#This Row],[DISCHARGE DATE]]),0,IF(DATA[[#This Row],[TYPE]]="VIP",20*DATA[[#This Row],[STORAGE DAYS]],13*DATA[[#This Row],[STORAGE DAYS]]))</f>
        <v>1573</v>
      </c>
      <c r="S111" s="71" t="str">
        <f>IF(ISBLANK(DATA[[#This Row],[COLDROOM RECEIPT]]), "IN CUSTODY", "DISCHARGED")</f>
        <v>DISCHARGED</v>
      </c>
      <c r="T111" s="58">
        <f>COUNTA(A:A)-2</f>
        <v>419</v>
      </c>
      <c r="U111" s="59">
        <f>YEAR(DATA[[#This Row],[ADMISSION DATE]])</f>
        <v>2025</v>
      </c>
      <c r="V111" s="60" t="str">
        <f>TEXT(DATA[[#This Row],[ADMISSION DATE]],"mmm")</f>
        <v>Mar</v>
      </c>
      <c r="W111" s="59">
        <f>YEAR(DATA[[#This Row],[DISCHARGE DATE]])</f>
        <v>2025</v>
      </c>
      <c r="X111" s="60" t="str">
        <f>TEXT(DATA[[#This Row],[DISCHARGE DATE]],"mmm")</f>
        <v>Jul</v>
      </c>
    </row>
    <row r="112" spans="1:24" s="27" customFormat="1" ht="19.5" hidden="1">
      <c r="A112" s="152" t="s">
        <v>548</v>
      </c>
      <c r="B112" s="151" t="s">
        <v>549</v>
      </c>
      <c r="C112" s="151">
        <v>77</v>
      </c>
      <c r="D112" s="152" t="s">
        <v>11</v>
      </c>
      <c r="E112" s="152" t="s">
        <v>550</v>
      </c>
      <c r="F112" s="153">
        <v>245468876</v>
      </c>
      <c r="G112" s="152" t="s">
        <v>13</v>
      </c>
      <c r="H112" s="154">
        <v>0.67708333333333337</v>
      </c>
      <c r="I112" s="152" t="s">
        <v>20</v>
      </c>
      <c r="J112" s="155">
        <v>45733</v>
      </c>
      <c r="K112" s="155">
        <v>45807</v>
      </c>
      <c r="L112" s="151">
        <f>IF(ISBLANK(DATA[[#This Row],[DISCHARGE DATE]]),"NO DATE", DATA[[#This Row],[DISCHARGE DATE]]-DATA[[#This Row],[ADMISSION DATE]]+1)</f>
        <v>75</v>
      </c>
      <c r="M112" s="156">
        <v>350</v>
      </c>
      <c r="N112" s="156">
        <v>1500</v>
      </c>
      <c r="O112" s="157" t="s">
        <v>551</v>
      </c>
      <c r="P112" s="157" t="s">
        <v>478</v>
      </c>
      <c r="Q112" s="158">
        <f>IF(DATA[[#This Row],[STORAGE FEE]]=0,"NULL",DATA[[#This Row],[COLDROOM FEE]])-DATA[[#This Row],[STORAGE FEE]]</f>
        <v>0</v>
      </c>
      <c r="R112" s="158">
        <f>IF(ISBLANK(DATA[[#This Row],[DISCHARGE DATE]]),0,IF(DATA[[#This Row],[TYPE]]="VIP",20*DATA[[#This Row],[STORAGE DAYS]],13*DATA[[#This Row],[STORAGE DAYS]]))</f>
        <v>1500</v>
      </c>
      <c r="S112" s="71" t="str">
        <f>IF(ISBLANK(DATA[[#This Row],[COLDROOM RECEIPT]]), "IN CUSTODY", "DISCHARGED")</f>
        <v>DISCHARGED</v>
      </c>
      <c r="T112" s="58">
        <f>COUNTA(A:A)-2</f>
        <v>419</v>
      </c>
      <c r="U112" s="59">
        <f>YEAR(DATA[[#This Row],[ADMISSION DATE]])</f>
        <v>2025</v>
      </c>
      <c r="V112" s="60" t="str">
        <f>TEXT(DATA[[#This Row],[ADMISSION DATE]],"mmm")</f>
        <v>Mar</v>
      </c>
      <c r="W112" s="59">
        <f>YEAR(DATA[[#This Row],[DISCHARGE DATE]])</f>
        <v>2025</v>
      </c>
      <c r="X112" s="60" t="str">
        <f>TEXT(DATA[[#This Row],[DISCHARGE DATE]],"mmm")</f>
        <v>May</v>
      </c>
    </row>
    <row r="113" spans="1:24" s="27" customFormat="1" ht="19.5" hidden="1">
      <c r="A113" s="152" t="s">
        <v>552</v>
      </c>
      <c r="B113" s="151" t="s">
        <v>553</v>
      </c>
      <c r="C113" s="151">
        <v>64</v>
      </c>
      <c r="D113" s="152" t="s">
        <v>12</v>
      </c>
      <c r="E113" s="152" t="s">
        <v>554</v>
      </c>
      <c r="F113" s="153">
        <v>246635172</v>
      </c>
      <c r="G113" s="152" t="s">
        <v>22</v>
      </c>
      <c r="H113" s="154">
        <v>0.4152777777777778</v>
      </c>
      <c r="I113" s="152" t="s">
        <v>18</v>
      </c>
      <c r="J113" s="155">
        <v>45743</v>
      </c>
      <c r="K113" s="155">
        <v>45835</v>
      </c>
      <c r="L113" s="151">
        <f>IF(ISBLANK(DATA[[#This Row],[DISCHARGE DATE]]),"NO DATE", DATA[[#This Row],[DISCHARGE DATE]]-DATA[[#This Row],[ADMISSION DATE]]+1)</f>
        <v>93</v>
      </c>
      <c r="M113" s="156">
        <v>350</v>
      </c>
      <c r="N113" s="156">
        <v>1209</v>
      </c>
      <c r="O113" s="157" t="s">
        <v>555</v>
      </c>
      <c r="P113" s="157" t="s">
        <v>556</v>
      </c>
      <c r="Q113" s="158">
        <f>IF(DATA[[#This Row],[STORAGE FEE]]=0,"NULL",DATA[[#This Row],[COLDROOM FEE]])-DATA[[#This Row],[STORAGE FEE]]</f>
        <v>0</v>
      </c>
      <c r="R113" s="158">
        <f>IF(ISBLANK(DATA[[#This Row],[DISCHARGE DATE]]),0,IF(DATA[[#This Row],[TYPE]]="VIP",20*DATA[[#This Row],[STORAGE DAYS]],13*DATA[[#This Row],[STORAGE DAYS]]))</f>
        <v>1209</v>
      </c>
      <c r="S113" s="71" t="str">
        <f>IF(ISBLANK(DATA[[#This Row],[COLDROOM RECEIPT]]), "IN CUSTODY", "DISCHARGED")</f>
        <v>DISCHARGED</v>
      </c>
      <c r="T113" s="58">
        <f>COUNTA(A:A)-2</f>
        <v>419</v>
      </c>
      <c r="U113" s="59">
        <f>YEAR(DATA[[#This Row],[ADMISSION DATE]])</f>
        <v>2025</v>
      </c>
      <c r="V113" s="60" t="str">
        <f>TEXT(DATA[[#This Row],[ADMISSION DATE]],"mmm")</f>
        <v>Mar</v>
      </c>
      <c r="W113" s="59">
        <f>YEAR(DATA[[#This Row],[DISCHARGE DATE]])</f>
        <v>2025</v>
      </c>
      <c r="X113" s="60" t="str">
        <f>TEXT(DATA[[#This Row],[DISCHARGE DATE]],"mmm")</f>
        <v>Jun</v>
      </c>
    </row>
    <row r="114" spans="1:24" s="27" customFormat="1" ht="19.5" hidden="1">
      <c r="A114" s="152" t="s">
        <v>557</v>
      </c>
      <c r="B114" s="151" t="s">
        <v>558</v>
      </c>
      <c r="C114" s="151">
        <v>68</v>
      </c>
      <c r="D114" s="152" t="s">
        <v>11</v>
      </c>
      <c r="E114" s="152" t="s">
        <v>559</v>
      </c>
      <c r="F114" s="153">
        <v>598796666</v>
      </c>
      <c r="G114" s="152" t="s">
        <v>16</v>
      </c>
      <c r="H114" s="154">
        <v>0.70833333333333337</v>
      </c>
      <c r="I114" s="152" t="s">
        <v>20</v>
      </c>
      <c r="J114" s="155">
        <v>45746</v>
      </c>
      <c r="K114" s="155">
        <v>45764</v>
      </c>
      <c r="L114" s="151">
        <f>IF(ISBLANK(DATA[[#This Row],[DISCHARGE DATE]]),"NO DATE", DATA[[#This Row],[DISCHARGE DATE]]-DATA[[#This Row],[ADMISSION DATE]]+1)</f>
        <v>19</v>
      </c>
      <c r="M114" s="156">
        <v>350</v>
      </c>
      <c r="N114" s="156">
        <v>380</v>
      </c>
      <c r="O114" s="157" t="s">
        <v>560</v>
      </c>
      <c r="P114" s="157" t="s">
        <v>394</v>
      </c>
      <c r="Q114" s="158">
        <f>IF(DATA[[#This Row],[STORAGE FEE]]=0,"NULL",DATA[[#This Row],[COLDROOM FEE]])-DATA[[#This Row],[STORAGE FEE]]</f>
        <v>0</v>
      </c>
      <c r="R114" s="158">
        <f>IF(ISBLANK(DATA[[#This Row],[DISCHARGE DATE]]),0,IF(DATA[[#This Row],[TYPE]]="VIP",20*DATA[[#This Row],[STORAGE DAYS]],13*DATA[[#This Row],[STORAGE DAYS]]))</f>
        <v>380</v>
      </c>
      <c r="S114" s="71" t="str">
        <f>IF(ISBLANK(DATA[[#This Row],[COLDROOM RECEIPT]]), "IN CUSTODY", "DISCHARGED")</f>
        <v>DISCHARGED</v>
      </c>
      <c r="T114" s="58">
        <f>COUNTA(A:A)-2</f>
        <v>419</v>
      </c>
      <c r="U114" s="59">
        <f>YEAR(DATA[[#This Row],[ADMISSION DATE]])</f>
        <v>2025</v>
      </c>
      <c r="V114" s="60" t="str">
        <f>TEXT(DATA[[#This Row],[ADMISSION DATE]],"mmm")</f>
        <v>Mar</v>
      </c>
      <c r="W114" s="59">
        <f>YEAR(DATA[[#This Row],[DISCHARGE DATE]])</f>
        <v>2025</v>
      </c>
      <c r="X114" s="60" t="str">
        <f>TEXT(DATA[[#This Row],[DISCHARGE DATE]],"mmm")</f>
        <v>Apr</v>
      </c>
    </row>
    <row r="115" spans="1:24" s="27" customFormat="1" ht="19.5" hidden="1">
      <c r="A115" s="152" t="s">
        <v>561</v>
      </c>
      <c r="B115" s="151" t="s">
        <v>562</v>
      </c>
      <c r="C115" s="151">
        <v>82</v>
      </c>
      <c r="D115" s="152" t="s">
        <v>11</v>
      </c>
      <c r="E115" s="152" t="s">
        <v>563</v>
      </c>
      <c r="F115" s="153">
        <v>243178994</v>
      </c>
      <c r="G115" s="152" t="s">
        <v>13</v>
      </c>
      <c r="H115" s="154">
        <v>0.58333333333333337</v>
      </c>
      <c r="I115" s="152" t="s">
        <v>18</v>
      </c>
      <c r="J115" s="155">
        <v>45745</v>
      </c>
      <c r="K115" s="155">
        <v>45961</v>
      </c>
      <c r="L115" s="151">
        <f>IF(ISBLANK(DATA[[#This Row],[DISCHARGE DATE]]),"NO DATE", DATA[[#This Row],[DISCHARGE DATE]]-DATA[[#This Row],[ADMISSION DATE]]+1)</f>
        <v>217</v>
      </c>
      <c r="M115" s="156">
        <v>350</v>
      </c>
      <c r="N115" s="156">
        <v>2821</v>
      </c>
      <c r="O115" s="157" t="s">
        <v>564</v>
      </c>
      <c r="P115" s="157" t="s">
        <v>565</v>
      </c>
      <c r="Q115" s="158">
        <f>IF(DATA[[#This Row],[STORAGE FEE]]=0,"NULL",DATA[[#This Row],[COLDROOM FEE]])-DATA[[#This Row],[STORAGE FEE]]</f>
        <v>0</v>
      </c>
      <c r="R115" s="158">
        <f>IF(ISBLANK(DATA[[#This Row],[DISCHARGE DATE]]),0,IF(DATA[[#This Row],[TYPE]]="VIP",20*DATA[[#This Row],[STORAGE DAYS]],13*DATA[[#This Row],[STORAGE DAYS]]))</f>
        <v>2821</v>
      </c>
      <c r="S115" s="71" t="str">
        <f>IF(ISBLANK(DATA[[#This Row],[COLDROOM RECEIPT]]), "IN CUSTODY", "DISCHARGED")</f>
        <v>DISCHARGED</v>
      </c>
      <c r="T115" s="58">
        <f>COUNTA(A:A)-2</f>
        <v>419</v>
      </c>
      <c r="U115" s="59">
        <f>YEAR(DATA[[#This Row],[ADMISSION DATE]])</f>
        <v>2025</v>
      </c>
      <c r="V115" s="60" t="str">
        <f>TEXT(DATA[[#This Row],[ADMISSION DATE]],"mmm")</f>
        <v>Mar</v>
      </c>
      <c r="W115" s="59">
        <f>YEAR(DATA[[#This Row],[DISCHARGE DATE]])</f>
        <v>2025</v>
      </c>
      <c r="X115" s="60" t="str">
        <f>TEXT(DATA[[#This Row],[DISCHARGE DATE]],"mmm")</f>
        <v>Oct</v>
      </c>
    </row>
    <row r="116" spans="1:24" s="27" customFormat="1" ht="19.5" hidden="1">
      <c r="A116" s="152" t="s">
        <v>566</v>
      </c>
      <c r="B116" s="151" t="s">
        <v>567</v>
      </c>
      <c r="C116" s="151">
        <v>100</v>
      </c>
      <c r="D116" s="152" t="s">
        <v>11</v>
      </c>
      <c r="E116" s="152" t="s">
        <v>568</v>
      </c>
      <c r="F116" s="153">
        <v>249640385</v>
      </c>
      <c r="G116" s="152" t="s">
        <v>45</v>
      </c>
      <c r="H116" s="154">
        <v>0.83333333333333337</v>
      </c>
      <c r="I116" s="152" t="s">
        <v>18</v>
      </c>
      <c r="J116" s="155">
        <v>45747</v>
      </c>
      <c r="K116" s="155">
        <v>45898</v>
      </c>
      <c r="L116" s="151">
        <f>IF(ISBLANK(DATA[[#This Row],[DISCHARGE DATE]]),"NO DATE", DATA[[#This Row],[DISCHARGE DATE]]-DATA[[#This Row],[ADMISSION DATE]]+1)</f>
        <v>152</v>
      </c>
      <c r="M116" s="156">
        <v>350</v>
      </c>
      <c r="N116" s="156">
        <v>1976</v>
      </c>
      <c r="O116" s="157" t="s">
        <v>569</v>
      </c>
      <c r="P116" s="157" t="s">
        <v>570</v>
      </c>
      <c r="Q116" s="158">
        <f>IF(DATA[[#This Row],[STORAGE FEE]]=0,"NULL",DATA[[#This Row],[COLDROOM FEE]])-DATA[[#This Row],[STORAGE FEE]]</f>
        <v>0</v>
      </c>
      <c r="R116" s="158">
        <f>IF(ISBLANK(DATA[[#This Row],[DISCHARGE DATE]]),0,IF(DATA[[#This Row],[TYPE]]="VIP",20*DATA[[#This Row],[STORAGE DAYS]],13*DATA[[#This Row],[STORAGE DAYS]]))</f>
        <v>1976</v>
      </c>
      <c r="S116" s="71" t="str">
        <f>IF(ISBLANK(DATA[[#This Row],[COLDROOM RECEIPT]]), "IN CUSTODY", "DISCHARGED")</f>
        <v>DISCHARGED</v>
      </c>
      <c r="T116" s="58">
        <f>COUNTA(A:A)-2</f>
        <v>419</v>
      </c>
      <c r="U116" s="59">
        <f>YEAR(DATA[[#This Row],[ADMISSION DATE]])</f>
        <v>2025</v>
      </c>
      <c r="V116" s="60" t="str">
        <f>TEXT(DATA[[#This Row],[ADMISSION DATE]],"mmm")</f>
        <v>Mar</v>
      </c>
      <c r="W116" s="59">
        <f>YEAR(DATA[[#This Row],[DISCHARGE DATE]])</f>
        <v>2025</v>
      </c>
      <c r="X116" s="60" t="str">
        <f>TEXT(DATA[[#This Row],[DISCHARGE DATE]],"mmm")</f>
        <v>Aug</v>
      </c>
    </row>
    <row r="117" spans="1:24" s="27" customFormat="1" ht="19.5" hidden="1">
      <c r="A117" s="152" t="s">
        <v>571</v>
      </c>
      <c r="B117" s="151" t="s">
        <v>572</v>
      </c>
      <c r="C117" s="151">
        <v>61</v>
      </c>
      <c r="D117" s="152" t="s">
        <v>11</v>
      </c>
      <c r="E117" s="152" t="s">
        <v>573</v>
      </c>
      <c r="F117" s="153">
        <v>246380664</v>
      </c>
      <c r="G117" s="152" t="s">
        <v>13</v>
      </c>
      <c r="H117" s="154">
        <v>0.625</v>
      </c>
      <c r="I117" s="152" t="s">
        <v>18</v>
      </c>
      <c r="J117" s="155">
        <v>45753</v>
      </c>
      <c r="K117" s="155">
        <v>45807</v>
      </c>
      <c r="L117" s="151">
        <f>IF(ISBLANK(DATA[[#This Row],[DISCHARGE DATE]]),"NO DATE", DATA[[#This Row],[DISCHARGE DATE]]-DATA[[#This Row],[ADMISSION DATE]]+1)</f>
        <v>55</v>
      </c>
      <c r="M117" s="156">
        <v>350</v>
      </c>
      <c r="N117" s="156">
        <v>715</v>
      </c>
      <c r="O117" s="157" t="s">
        <v>574</v>
      </c>
      <c r="P117" s="157" t="s">
        <v>575</v>
      </c>
      <c r="Q117" s="158">
        <f>IF(DATA[[#This Row],[STORAGE FEE]]=0,"NULL",DATA[[#This Row],[COLDROOM FEE]])-DATA[[#This Row],[STORAGE FEE]]</f>
        <v>0</v>
      </c>
      <c r="R117" s="158">
        <f>IF(ISBLANK(DATA[[#This Row],[DISCHARGE DATE]]),0,IF(DATA[[#This Row],[TYPE]]="VIP",20*DATA[[#This Row],[STORAGE DAYS]],13*DATA[[#This Row],[STORAGE DAYS]]))</f>
        <v>715</v>
      </c>
      <c r="S117" s="71" t="str">
        <f>IF(ISBLANK(DATA[[#This Row],[COLDROOM RECEIPT]]), "IN CUSTODY", "DISCHARGED")</f>
        <v>DISCHARGED</v>
      </c>
      <c r="T117" s="58">
        <f>COUNTA(A:A)-2</f>
        <v>419</v>
      </c>
      <c r="U117" s="59">
        <f>YEAR(DATA[[#This Row],[ADMISSION DATE]])</f>
        <v>2025</v>
      </c>
      <c r="V117" s="60" t="str">
        <f>TEXT(DATA[[#This Row],[ADMISSION DATE]],"mmm")</f>
        <v>Apr</v>
      </c>
      <c r="W117" s="59">
        <f>YEAR(DATA[[#This Row],[DISCHARGE DATE]])</f>
        <v>2025</v>
      </c>
      <c r="X117" s="60" t="str">
        <f>TEXT(DATA[[#This Row],[DISCHARGE DATE]],"mmm")</f>
        <v>May</v>
      </c>
    </row>
    <row r="118" spans="1:24" s="27" customFormat="1" ht="19.5" hidden="1">
      <c r="A118" s="152" t="s">
        <v>576</v>
      </c>
      <c r="B118" s="151" t="s">
        <v>577</v>
      </c>
      <c r="C118" s="151">
        <v>63</v>
      </c>
      <c r="D118" s="152" t="s">
        <v>11</v>
      </c>
      <c r="E118" s="152" t="s">
        <v>578</v>
      </c>
      <c r="F118" s="153">
        <v>543280791</v>
      </c>
      <c r="G118" s="152" t="s">
        <v>13</v>
      </c>
      <c r="H118" s="154">
        <v>0.48333333333333334</v>
      </c>
      <c r="I118" s="152" t="s">
        <v>20</v>
      </c>
      <c r="J118" s="155">
        <v>45755</v>
      </c>
      <c r="K118" s="155">
        <v>45870</v>
      </c>
      <c r="L118" s="151">
        <f>IF(ISBLANK(DATA[[#This Row],[DISCHARGE DATE]]),"NO DATE", DATA[[#This Row],[DISCHARGE DATE]]-DATA[[#This Row],[ADMISSION DATE]]+1)</f>
        <v>116</v>
      </c>
      <c r="M118" s="156">
        <v>350</v>
      </c>
      <c r="N118" s="156">
        <v>2320</v>
      </c>
      <c r="O118" s="157" t="s">
        <v>579</v>
      </c>
      <c r="P118" s="157" t="s">
        <v>580</v>
      </c>
      <c r="Q118" s="158">
        <f>IF(DATA[[#This Row],[STORAGE FEE]]=0,"NULL",DATA[[#This Row],[COLDROOM FEE]])-DATA[[#This Row],[STORAGE FEE]]</f>
        <v>0</v>
      </c>
      <c r="R118" s="158">
        <f>IF(ISBLANK(DATA[[#This Row],[DISCHARGE DATE]]),0,IF(DATA[[#This Row],[TYPE]]="VIP",20*DATA[[#This Row],[STORAGE DAYS]],13*DATA[[#This Row],[STORAGE DAYS]]))</f>
        <v>2320</v>
      </c>
      <c r="S118" s="71" t="str">
        <f>IF(ISBLANK(DATA[[#This Row],[COLDROOM RECEIPT]]), "IN CUSTODY", "DISCHARGED")</f>
        <v>DISCHARGED</v>
      </c>
      <c r="T118" s="58">
        <f>COUNTA(A:A)-2</f>
        <v>419</v>
      </c>
      <c r="U118" s="59">
        <f>YEAR(DATA[[#This Row],[ADMISSION DATE]])</f>
        <v>2025</v>
      </c>
      <c r="V118" s="60" t="str">
        <f>TEXT(DATA[[#This Row],[ADMISSION DATE]],"mmm")</f>
        <v>Apr</v>
      </c>
      <c r="W118" s="59">
        <f>YEAR(DATA[[#This Row],[DISCHARGE DATE]])</f>
        <v>2025</v>
      </c>
      <c r="X118" s="60" t="str">
        <f>TEXT(DATA[[#This Row],[DISCHARGE DATE]],"mmm")</f>
        <v>Aug</v>
      </c>
    </row>
    <row r="119" spans="1:24" s="27" customFormat="1" ht="19.5" hidden="1">
      <c r="A119" s="152" t="s">
        <v>581</v>
      </c>
      <c r="B119" s="151" t="s">
        <v>582</v>
      </c>
      <c r="C119" s="151">
        <v>55</v>
      </c>
      <c r="D119" s="152" t="s">
        <v>11</v>
      </c>
      <c r="E119" s="152" t="s">
        <v>583</v>
      </c>
      <c r="F119" s="153">
        <v>543171106</v>
      </c>
      <c r="G119" s="152" t="s">
        <v>13</v>
      </c>
      <c r="H119" s="154">
        <v>0.83333333333333337</v>
      </c>
      <c r="I119" s="152" t="s">
        <v>20</v>
      </c>
      <c r="J119" s="155">
        <v>45757</v>
      </c>
      <c r="K119" s="155">
        <v>45898</v>
      </c>
      <c r="L119" s="151">
        <f>IF(ISBLANK(DATA[[#This Row],[DISCHARGE DATE]]),"NO DATE", DATA[[#This Row],[DISCHARGE DATE]]-DATA[[#This Row],[ADMISSION DATE]]+1)</f>
        <v>142</v>
      </c>
      <c r="M119" s="156">
        <v>350</v>
      </c>
      <c r="N119" s="156">
        <v>2840</v>
      </c>
      <c r="O119" s="157" t="s">
        <v>584</v>
      </c>
      <c r="P119" s="157" t="s">
        <v>585</v>
      </c>
      <c r="Q119" s="158">
        <f>IF(DATA[[#This Row],[STORAGE FEE]]=0,"NULL",DATA[[#This Row],[COLDROOM FEE]])-DATA[[#This Row],[STORAGE FEE]]</f>
        <v>0</v>
      </c>
      <c r="R119" s="158">
        <f>IF(ISBLANK(DATA[[#This Row],[DISCHARGE DATE]]),0,IF(DATA[[#This Row],[TYPE]]="VIP",20*DATA[[#This Row],[STORAGE DAYS]],13*DATA[[#This Row],[STORAGE DAYS]]))</f>
        <v>2840</v>
      </c>
      <c r="S119" s="71" t="str">
        <f>IF(ISBLANK(DATA[[#This Row],[COLDROOM RECEIPT]]), "IN CUSTODY", "DISCHARGED")</f>
        <v>DISCHARGED</v>
      </c>
      <c r="T119" s="58">
        <f>COUNTA(A:A)-2</f>
        <v>419</v>
      </c>
      <c r="U119" s="59">
        <f>YEAR(DATA[[#This Row],[ADMISSION DATE]])</f>
        <v>2025</v>
      </c>
      <c r="V119" s="60" t="str">
        <f>TEXT(DATA[[#This Row],[ADMISSION DATE]],"mmm")</f>
        <v>Apr</v>
      </c>
      <c r="W119" s="59">
        <f>YEAR(DATA[[#This Row],[DISCHARGE DATE]])</f>
        <v>2025</v>
      </c>
      <c r="X119" s="60" t="str">
        <f>TEXT(DATA[[#This Row],[DISCHARGE DATE]],"mmm")</f>
        <v>Aug</v>
      </c>
    </row>
    <row r="120" spans="1:24" s="27" customFormat="1" ht="19.5" hidden="1">
      <c r="A120" s="152" t="s">
        <v>586</v>
      </c>
      <c r="B120" s="151" t="s">
        <v>587</v>
      </c>
      <c r="C120" s="151">
        <v>26</v>
      </c>
      <c r="D120" s="152" t="s">
        <v>11</v>
      </c>
      <c r="E120" s="152" t="s">
        <v>588</v>
      </c>
      <c r="F120" s="153"/>
      <c r="G120" s="152" t="s">
        <v>13</v>
      </c>
      <c r="H120" s="154">
        <v>0.95833333333333337</v>
      </c>
      <c r="I120" s="152" t="s">
        <v>20</v>
      </c>
      <c r="J120" s="155">
        <v>45757</v>
      </c>
      <c r="K120" s="155">
        <v>45835</v>
      </c>
      <c r="L120" s="151">
        <f>IF(ISBLANK(DATA[[#This Row],[DISCHARGE DATE]]),"NO DATE", DATA[[#This Row],[DISCHARGE DATE]]-DATA[[#This Row],[ADMISSION DATE]]+1)</f>
        <v>79</v>
      </c>
      <c r="M120" s="156">
        <v>350</v>
      </c>
      <c r="N120" s="156">
        <v>1580</v>
      </c>
      <c r="O120" s="157" t="s">
        <v>589</v>
      </c>
      <c r="P120" s="157" t="s">
        <v>590</v>
      </c>
      <c r="Q120" s="158">
        <f>IF(DATA[[#This Row],[STORAGE FEE]]=0,"NULL",DATA[[#This Row],[COLDROOM FEE]])-DATA[[#This Row],[STORAGE FEE]]</f>
        <v>0</v>
      </c>
      <c r="R120" s="158">
        <f>IF(ISBLANK(DATA[[#This Row],[DISCHARGE DATE]]),0,IF(DATA[[#This Row],[TYPE]]="VIP",20*DATA[[#This Row],[STORAGE DAYS]],13*DATA[[#This Row],[STORAGE DAYS]]))</f>
        <v>1580</v>
      </c>
      <c r="S120" s="71" t="str">
        <f>IF(ISBLANK(DATA[[#This Row],[COLDROOM RECEIPT]]), "IN CUSTODY", "DISCHARGED")</f>
        <v>DISCHARGED</v>
      </c>
      <c r="T120" s="58">
        <f>COUNTA(A:A)-2</f>
        <v>419</v>
      </c>
      <c r="U120" s="59">
        <f>YEAR(DATA[[#This Row],[ADMISSION DATE]])</f>
        <v>2025</v>
      </c>
      <c r="V120" s="60" t="str">
        <f>TEXT(DATA[[#This Row],[ADMISSION DATE]],"mmm")</f>
        <v>Apr</v>
      </c>
      <c r="W120" s="59">
        <f>YEAR(DATA[[#This Row],[DISCHARGE DATE]])</f>
        <v>2025</v>
      </c>
      <c r="X120" s="60" t="str">
        <f>TEXT(DATA[[#This Row],[DISCHARGE DATE]],"mmm")</f>
        <v>Jun</v>
      </c>
    </row>
    <row r="121" spans="1:24" s="27" customFormat="1" ht="19.5" hidden="1">
      <c r="A121" s="152" t="s">
        <v>591</v>
      </c>
      <c r="B121" s="151" t="s">
        <v>592</v>
      </c>
      <c r="C121" s="151">
        <v>125</v>
      </c>
      <c r="D121" s="152" t="s">
        <v>11</v>
      </c>
      <c r="E121" s="152" t="s">
        <v>593</v>
      </c>
      <c r="F121" s="153">
        <v>542030705</v>
      </c>
      <c r="G121" s="152" t="s">
        <v>13</v>
      </c>
      <c r="H121" s="154">
        <v>0.61319444444444449</v>
      </c>
      <c r="I121" s="152" t="s">
        <v>18</v>
      </c>
      <c r="J121" s="155">
        <v>45758</v>
      </c>
      <c r="K121" s="155">
        <v>45828</v>
      </c>
      <c r="L121" s="151">
        <f>IF(ISBLANK(DATA[[#This Row],[DISCHARGE DATE]]),"NO DATE", DATA[[#This Row],[DISCHARGE DATE]]-DATA[[#This Row],[ADMISSION DATE]]+1)</f>
        <v>71</v>
      </c>
      <c r="M121" s="156">
        <v>350</v>
      </c>
      <c r="N121" s="156">
        <v>923</v>
      </c>
      <c r="O121" s="157" t="s">
        <v>594</v>
      </c>
      <c r="P121" s="157" t="s">
        <v>595</v>
      </c>
      <c r="Q121" s="158">
        <f>IF(DATA[[#This Row],[STORAGE FEE]]=0,"NULL",DATA[[#This Row],[COLDROOM FEE]])-DATA[[#This Row],[STORAGE FEE]]</f>
        <v>0</v>
      </c>
      <c r="R121" s="158">
        <f>IF(ISBLANK(DATA[[#This Row],[DISCHARGE DATE]]),0,IF(DATA[[#This Row],[TYPE]]="VIP",20*DATA[[#This Row],[STORAGE DAYS]],13*DATA[[#This Row],[STORAGE DAYS]]))</f>
        <v>923</v>
      </c>
      <c r="S121" s="71" t="str">
        <f>IF(ISBLANK(DATA[[#This Row],[COLDROOM RECEIPT]]), "IN CUSTODY", "DISCHARGED")</f>
        <v>DISCHARGED</v>
      </c>
      <c r="T121" s="58">
        <f>COUNTA(A:A)-2</f>
        <v>419</v>
      </c>
      <c r="U121" s="59">
        <f>YEAR(DATA[[#This Row],[ADMISSION DATE]])</f>
        <v>2025</v>
      </c>
      <c r="V121" s="60" t="str">
        <f>TEXT(DATA[[#This Row],[ADMISSION DATE]],"mmm")</f>
        <v>Apr</v>
      </c>
      <c r="W121" s="59">
        <f>YEAR(DATA[[#This Row],[DISCHARGE DATE]])</f>
        <v>2025</v>
      </c>
      <c r="X121" s="60" t="str">
        <f>TEXT(DATA[[#This Row],[DISCHARGE DATE]],"mmm")</f>
        <v>Jun</v>
      </c>
    </row>
    <row r="122" spans="1:24" s="27" customFormat="1" ht="19.5" hidden="1">
      <c r="A122" s="152" t="s">
        <v>596</v>
      </c>
      <c r="B122" s="151" t="s">
        <v>597</v>
      </c>
      <c r="C122" s="151">
        <v>66</v>
      </c>
      <c r="D122" s="152" t="s">
        <v>12</v>
      </c>
      <c r="E122" s="152" t="s">
        <v>598</v>
      </c>
      <c r="F122" s="153">
        <v>242310642</v>
      </c>
      <c r="G122" s="152" t="s">
        <v>13</v>
      </c>
      <c r="H122" s="154">
        <v>0.37847222222222221</v>
      </c>
      <c r="I122" s="152" t="s">
        <v>18</v>
      </c>
      <c r="J122" s="155">
        <v>45761</v>
      </c>
      <c r="K122" s="155">
        <v>45762</v>
      </c>
      <c r="L122" s="151">
        <f>IF(ISBLANK(DATA[[#This Row],[DISCHARGE DATE]]),"NO DATE", DATA[[#This Row],[DISCHARGE DATE]]-DATA[[#This Row],[ADMISSION DATE]]+1)</f>
        <v>2</v>
      </c>
      <c r="M122" s="156">
        <v>350</v>
      </c>
      <c r="N122" s="156">
        <v>26</v>
      </c>
      <c r="O122" s="157" t="s">
        <v>599</v>
      </c>
      <c r="P122" s="157" t="s">
        <v>399</v>
      </c>
      <c r="Q122" s="158">
        <f>IF(DATA[[#This Row],[STORAGE FEE]]=0,"NULL",DATA[[#This Row],[COLDROOM FEE]])-DATA[[#This Row],[STORAGE FEE]]</f>
        <v>0</v>
      </c>
      <c r="R122" s="158">
        <f>IF(ISBLANK(DATA[[#This Row],[DISCHARGE DATE]]),0,IF(DATA[[#This Row],[TYPE]]="VIP",20*DATA[[#This Row],[STORAGE DAYS]],13*DATA[[#This Row],[STORAGE DAYS]]))</f>
        <v>26</v>
      </c>
      <c r="S122" s="71" t="str">
        <f>IF(ISBLANK(DATA[[#This Row],[COLDROOM RECEIPT]]), "IN CUSTODY", "DISCHARGED")</f>
        <v>DISCHARGED</v>
      </c>
      <c r="T122" s="58">
        <f>COUNTA(A:A)-2</f>
        <v>419</v>
      </c>
      <c r="U122" s="59">
        <f>YEAR(DATA[[#This Row],[ADMISSION DATE]])</f>
        <v>2025</v>
      </c>
      <c r="V122" s="60" t="str">
        <f>TEXT(DATA[[#This Row],[ADMISSION DATE]],"mmm")</f>
        <v>Apr</v>
      </c>
      <c r="W122" s="59">
        <f>YEAR(DATA[[#This Row],[DISCHARGE DATE]])</f>
        <v>2025</v>
      </c>
      <c r="X122" s="60" t="str">
        <f>TEXT(DATA[[#This Row],[DISCHARGE DATE]],"mmm")</f>
        <v>Apr</v>
      </c>
    </row>
    <row r="123" spans="1:24" s="27" customFormat="1" ht="19.5" hidden="1">
      <c r="A123" s="152" t="s">
        <v>600</v>
      </c>
      <c r="B123" s="151" t="s">
        <v>601</v>
      </c>
      <c r="C123" s="151">
        <v>74</v>
      </c>
      <c r="D123" s="152" t="s">
        <v>12</v>
      </c>
      <c r="E123" s="152" t="s">
        <v>602</v>
      </c>
      <c r="F123" s="153">
        <v>559213415</v>
      </c>
      <c r="G123" s="152" t="s">
        <v>16</v>
      </c>
      <c r="H123" s="154">
        <v>0.66666666666666663</v>
      </c>
      <c r="I123" s="152" t="s">
        <v>18</v>
      </c>
      <c r="J123" s="155">
        <v>45758</v>
      </c>
      <c r="K123" s="155">
        <v>45989</v>
      </c>
      <c r="L123" s="151">
        <f>IF(ISBLANK(DATA[[#This Row],[DISCHARGE DATE]]),"NO DATE", DATA[[#This Row],[DISCHARGE DATE]]-DATA[[#This Row],[ADMISSION DATE]]+1)</f>
        <v>232</v>
      </c>
      <c r="M123" s="156">
        <v>350</v>
      </c>
      <c r="N123" s="156">
        <v>3016</v>
      </c>
      <c r="O123" s="157" t="s">
        <v>603</v>
      </c>
      <c r="P123" s="157" t="s">
        <v>604</v>
      </c>
      <c r="Q123" s="158">
        <f>IF(DATA[[#This Row],[STORAGE FEE]]=0,"NULL",DATA[[#This Row],[COLDROOM FEE]])-DATA[[#This Row],[STORAGE FEE]]</f>
        <v>0</v>
      </c>
      <c r="R123" s="158">
        <f>IF(ISBLANK(DATA[[#This Row],[DISCHARGE DATE]]),0,IF(DATA[[#This Row],[TYPE]]="VIP",20*DATA[[#This Row],[STORAGE DAYS]],13*DATA[[#This Row],[STORAGE DAYS]]))</f>
        <v>3016</v>
      </c>
      <c r="S123" s="71" t="str">
        <f>IF(ISBLANK(DATA[[#This Row],[COLDROOM RECEIPT]]), "IN CUSTODY", "DISCHARGED")</f>
        <v>DISCHARGED</v>
      </c>
      <c r="T123" s="58">
        <f>COUNTA(A:A)-2</f>
        <v>419</v>
      </c>
      <c r="U123" s="59">
        <f>YEAR(DATA[[#This Row],[ADMISSION DATE]])</f>
        <v>2025</v>
      </c>
      <c r="V123" s="60" t="str">
        <f>TEXT(DATA[[#This Row],[ADMISSION DATE]],"mmm")</f>
        <v>Apr</v>
      </c>
      <c r="W123" s="59">
        <f>YEAR(DATA[[#This Row],[DISCHARGE DATE]])</f>
        <v>2025</v>
      </c>
      <c r="X123" s="60" t="str">
        <f>TEXT(DATA[[#This Row],[DISCHARGE DATE]],"mmm")</f>
        <v>Nov</v>
      </c>
    </row>
    <row r="124" spans="1:24" s="27" customFormat="1" ht="19.5" hidden="1">
      <c r="A124" s="152" t="s">
        <v>605</v>
      </c>
      <c r="B124" s="151" t="s">
        <v>606</v>
      </c>
      <c r="C124" s="151">
        <v>62</v>
      </c>
      <c r="D124" s="152" t="s">
        <v>12</v>
      </c>
      <c r="E124" s="152" t="s">
        <v>607</v>
      </c>
      <c r="F124" s="153">
        <v>242827233</v>
      </c>
      <c r="G124" s="152" t="s">
        <v>13</v>
      </c>
      <c r="H124" s="154">
        <v>0.79166666666666663</v>
      </c>
      <c r="I124" s="152" t="s">
        <v>18</v>
      </c>
      <c r="J124" s="155">
        <v>45760</v>
      </c>
      <c r="K124" s="155">
        <v>45898</v>
      </c>
      <c r="L124" s="151">
        <f>IF(ISBLANK(DATA[[#This Row],[DISCHARGE DATE]]),"NO DATE", DATA[[#This Row],[DISCHARGE DATE]]-DATA[[#This Row],[ADMISSION DATE]]+1)</f>
        <v>139</v>
      </c>
      <c r="M124" s="156">
        <v>350</v>
      </c>
      <c r="N124" s="156">
        <v>1807</v>
      </c>
      <c r="O124" s="157" t="s">
        <v>608</v>
      </c>
      <c r="P124" s="157" t="s">
        <v>609</v>
      </c>
      <c r="Q124" s="158">
        <f>IF(DATA[[#This Row],[STORAGE FEE]]=0,"NULL",DATA[[#This Row],[COLDROOM FEE]])-DATA[[#This Row],[STORAGE FEE]]</f>
        <v>0</v>
      </c>
      <c r="R124" s="158">
        <f>IF(ISBLANK(DATA[[#This Row],[DISCHARGE DATE]]),0,IF(DATA[[#This Row],[TYPE]]="VIP",20*DATA[[#This Row],[STORAGE DAYS]],13*DATA[[#This Row],[STORAGE DAYS]]))</f>
        <v>1807</v>
      </c>
      <c r="S124" s="71" t="str">
        <f>IF(ISBLANK(DATA[[#This Row],[COLDROOM RECEIPT]]), "IN CUSTODY", "DISCHARGED")</f>
        <v>DISCHARGED</v>
      </c>
      <c r="T124" s="58">
        <f>COUNTA(A:A)-2</f>
        <v>419</v>
      </c>
      <c r="U124" s="59">
        <f>YEAR(DATA[[#This Row],[ADMISSION DATE]])</f>
        <v>2025</v>
      </c>
      <c r="V124" s="60" t="str">
        <f>TEXT(DATA[[#This Row],[ADMISSION DATE]],"mmm")</f>
        <v>Apr</v>
      </c>
      <c r="W124" s="59">
        <f>YEAR(DATA[[#This Row],[DISCHARGE DATE]])</f>
        <v>2025</v>
      </c>
      <c r="X124" s="60" t="str">
        <f>TEXT(DATA[[#This Row],[DISCHARGE DATE]],"mmm")</f>
        <v>Aug</v>
      </c>
    </row>
    <row r="125" spans="1:24" s="27" customFormat="1" ht="19.5" hidden="1">
      <c r="A125" s="152" t="s">
        <v>610</v>
      </c>
      <c r="B125" s="151" t="s">
        <v>611</v>
      </c>
      <c r="C125" s="151">
        <v>60</v>
      </c>
      <c r="D125" s="152" t="s">
        <v>11</v>
      </c>
      <c r="E125" s="152" t="s">
        <v>612</v>
      </c>
      <c r="F125" s="153">
        <v>249155143</v>
      </c>
      <c r="G125" s="152" t="s">
        <v>13</v>
      </c>
      <c r="H125" s="154">
        <v>0.625</v>
      </c>
      <c r="I125" s="152" t="s">
        <v>20</v>
      </c>
      <c r="J125" s="155">
        <v>45761</v>
      </c>
      <c r="K125" s="155">
        <v>45989</v>
      </c>
      <c r="L125" s="151">
        <f>IF(ISBLANK(DATA[[#This Row],[DISCHARGE DATE]]),"NO DATE", DATA[[#This Row],[DISCHARGE DATE]]-DATA[[#This Row],[ADMISSION DATE]]+1)</f>
        <v>229</v>
      </c>
      <c r="M125" s="156">
        <v>350</v>
      </c>
      <c r="N125" s="156">
        <v>4580</v>
      </c>
      <c r="O125" s="157" t="s">
        <v>613</v>
      </c>
      <c r="P125" s="157" t="s">
        <v>523</v>
      </c>
      <c r="Q125" s="158">
        <f>IF(DATA[[#This Row],[STORAGE FEE]]=0,"NULL",DATA[[#This Row],[COLDROOM FEE]])-DATA[[#This Row],[STORAGE FEE]]</f>
        <v>0</v>
      </c>
      <c r="R125" s="158">
        <f>IF(ISBLANK(DATA[[#This Row],[DISCHARGE DATE]]),0,IF(DATA[[#This Row],[TYPE]]="VIP",20*DATA[[#This Row],[STORAGE DAYS]],13*DATA[[#This Row],[STORAGE DAYS]]))</f>
        <v>4580</v>
      </c>
      <c r="S125" s="71" t="str">
        <f>IF(ISBLANK(DATA[[#This Row],[COLDROOM RECEIPT]]), "IN CUSTODY", "DISCHARGED")</f>
        <v>DISCHARGED</v>
      </c>
      <c r="T125" s="58">
        <f>COUNTA(A:A)-2</f>
        <v>419</v>
      </c>
      <c r="U125" s="59">
        <f>YEAR(DATA[[#This Row],[ADMISSION DATE]])</f>
        <v>2025</v>
      </c>
      <c r="V125" s="60" t="str">
        <f>TEXT(DATA[[#This Row],[ADMISSION DATE]],"mmm")</f>
        <v>Apr</v>
      </c>
      <c r="W125" s="59">
        <f>YEAR(DATA[[#This Row],[DISCHARGE DATE]])</f>
        <v>2025</v>
      </c>
      <c r="X125" s="60" t="str">
        <f>TEXT(DATA[[#This Row],[DISCHARGE DATE]],"mmm")</f>
        <v>Nov</v>
      </c>
    </row>
    <row r="126" spans="1:24" s="27" customFormat="1" ht="19.5" hidden="1">
      <c r="A126" s="152" t="s">
        <v>614</v>
      </c>
      <c r="B126" s="151" t="s">
        <v>615</v>
      </c>
      <c r="C126" s="151">
        <v>46</v>
      </c>
      <c r="D126" s="152" t="s">
        <v>11</v>
      </c>
      <c r="E126" s="152" t="s">
        <v>616</v>
      </c>
      <c r="F126" s="153">
        <v>244706518</v>
      </c>
      <c r="G126" s="152" t="s">
        <v>31</v>
      </c>
      <c r="H126" s="154">
        <v>0.66666666666666663</v>
      </c>
      <c r="I126" s="152" t="s">
        <v>20</v>
      </c>
      <c r="J126" s="155">
        <v>45761</v>
      </c>
      <c r="K126" s="155">
        <v>45870</v>
      </c>
      <c r="L126" s="151">
        <f>IF(ISBLANK(DATA[[#This Row],[DISCHARGE DATE]]),"NO DATE", DATA[[#This Row],[DISCHARGE DATE]]-DATA[[#This Row],[ADMISSION DATE]]+1)</f>
        <v>110</v>
      </c>
      <c r="M126" s="156">
        <v>350</v>
      </c>
      <c r="N126" s="156">
        <v>2200</v>
      </c>
      <c r="O126" s="157" t="s">
        <v>617</v>
      </c>
      <c r="P126" s="157" t="s">
        <v>618</v>
      </c>
      <c r="Q126" s="158">
        <f>IF(DATA[[#This Row],[STORAGE FEE]]=0,"NULL",DATA[[#This Row],[COLDROOM FEE]])-DATA[[#This Row],[STORAGE FEE]]</f>
        <v>0</v>
      </c>
      <c r="R126" s="158">
        <f>IF(ISBLANK(DATA[[#This Row],[DISCHARGE DATE]]),0,IF(DATA[[#This Row],[TYPE]]="VIP",20*DATA[[#This Row],[STORAGE DAYS]],13*DATA[[#This Row],[STORAGE DAYS]]))</f>
        <v>2200</v>
      </c>
      <c r="S126" s="71" t="str">
        <f>IF(ISBLANK(DATA[[#This Row],[COLDROOM RECEIPT]]), "IN CUSTODY", "DISCHARGED")</f>
        <v>DISCHARGED</v>
      </c>
      <c r="T126" s="58">
        <f>COUNTA(A:A)-2</f>
        <v>419</v>
      </c>
      <c r="U126" s="59">
        <f>YEAR(DATA[[#This Row],[ADMISSION DATE]])</f>
        <v>2025</v>
      </c>
      <c r="V126" s="60" t="str">
        <f>TEXT(DATA[[#This Row],[ADMISSION DATE]],"mmm")</f>
        <v>Apr</v>
      </c>
      <c r="W126" s="59">
        <f>YEAR(DATA[[#This Row],[DISCHARGE DATE]])</f>
        <v>2025</v>
      </c>
      <c r="X126" s="60" t="str">
        <f>TEXT(DATA[[#This Row],[DISCHARGE DATE]],"mmm")</f>
        <v>Aug</v>
      </c>
    </row>
    <row r="127" spans="1:24" s="27" customFormat="1" ht="19.5" hidden="1">
      <c r="A127" s="152" t="s">
        <v>619</v>
      </c>
      <c r="B127" s="151" t="s">
        <v>620</v>
      </c>
      <c r="C127" s="151">
        <v>15</v>
      </c>
      <c r="D127" s="152" t="s">
        <v>11</v>
      </c>
      <c r="E127" s="152" t="s">
        <v>621</v>
      </c>
      <c r="F127" s="153">
        <v>556250660</v>
      </c>
      <c r="G127" s="152" t="s">
        <v>13</v>
      </c>
      <c r="H127" s="154">
        <v>0.61458333333333337</v>
      </c>
      <c r="I127" s="152" t="s">
        <v>18</v>
      </c>
      <c r="J127" s="155">
        <v>45762</v>
      </c>
      <c r="K127" s="155">
        <v>45771</v>
      </c>
      <c r="L127" s="151">
        <f>IF(ISBLANK(DATA[[#This Row],[DISCHARGE DATE]]),"NO DATE", DATA[[#This Row],[DISCHARGE DATE]]-DATA[[#This Row],[ADMISSION DATE]]+1)</f>
        <v>10</v>
      </c>
      <c r="M127" s="156">
        <v>350</v>
      </c>
      <c r="N127" s="156">
        <v>130</v>
      </c>
      <c r="O127" s="157" t="s">
        <v>622</v>
      </c>
      <c r="P127" s="157" t="s">
        <v>404</v>
      </c>
      <c r="Q127" s="158">
        <f>IF(DATA[[#This Row],[STORAGE FEE]]=0,"NULL",DATA[[#This Row],[COLDROOM FEE]])-DATA[[#This Row],[STORAGE FEE]]</f>
        <v>0</v>
      </c>
      <c r="R127" s="158">
        <f>IF(ISBLANK(DATA[[#This Row],[DISCHARGE DATE]]),0,IF(DATA[[#This Row],[TYPE]]="VIP",20*DATA[[#This Row],[STORAGE DAYS]],13*DATA[[#This Row],[STORAGE DAYS]]))</f>
        <v>130</v>
      </c>
      <c r="S127" s="71" t="str">
        <f>IF(ISBLANK(DATA[[#This Row],[COLDROOM RECEIPT]]), "IN CUSTODY", "DISCHARGED")</f>
        <v>DISCHARGED</v>
      </c>
      <c r="T127" s="58">
        <f>COUNTA(A:A)-2</f>
        <v>419</v>
      </c>
      <c r="U127" s="59">
        <f>YEAR(DATA[[#This Row],[ADMISSION DATE]])</f>
        <v>2025</v>
      </c>
      <c r="V127" s="60" t="str">
        <f>TEXT(DATA[[#This Row],[ADMISSION DATE]],"mmm")</f>
        <v>Apr</v>
      </c>
      <c r="W127" s="59">
        <f>YEAR(DATA[[#This Row],[DISCHARGE DATE]])</f>
        <v>2025</v>
      </c>
      <c r="X127" s="60" t="str">
        <f>TEXT(DATA[[#This Row],[DISCHARGE DATE]],"mmm")</f>
        <v>Apr</v>
      </c>
    </row>
    <row r="128" spans="1:24" s="27" customFormat="1" ht="19.5" hidden="1">
      <c r="A128" s="152" t="s">
        <v>623</v>
      </c>
      <c r="B128" s="151" t="s">
        <v>624</v>
      </c>
      <c r="C128" s="151">
        <v>54</v>
      </c>
      <c r="D128" s="152" t="s">
        <v>11</v>
      </c>
      <c r="E128" s="152" t="s">
        <v>583</v>
      </c>
      <c r="F128" s="153">
        <v>543171106</v>
      </c>
      <c r="G128" s="152" t="s">
        <v>28</v>
      </c>
      <c r="H128" s="154">
        <v>0.4201388888888889</v>
      </c>
      <c r="I128" s="152" t="s">
        <v>20</v>
      </c>
      <c r="J128" s="155">
        <v>45763</v>
      </c>
      <c r="K128" s="155">
        <v>45959</v>
      </c>
      <c r="L128" s="151">
        <f>IF(ISBLANK(DATA[[#This Row],[DISCHARGE DATE]]),"NO DATE", DATA[[#This Row],[DISCHARGE DATE]]-DATA[[#This Row],[ADMISSION DATE]]+1)</f>
        <v>197</v>
      </c>
      <c r="M128" s="156">
        <v>350</v>
      </c>
      <c r="N128" s="156">
        <v>3940</v>
      </c>
      <c r="O128" s="157" t="s">
        <v>625</v>
      </c>
      <c r="P128" s="157" t="s">
        <v>626</v>
      </c>
      <c r="Q128" s="158">
        <f>IF(DATA[[#This Row],[STORAGE FEE]]=0,"NULL",DATA[[#This Row],[COLDROOM FEE]])-DATA[[#This Row],[STORAGE FEE]]</f>
        <v>0</v>
      </c>
      <c r="R128" s="158">
        <f>IF(ISBLANK(DATA[[#This Row],[DISCHARGE DATE]]),0,IF(DATA[[#This Row],[TYPE]]="VIP",20*DATA[[#This Row],[STORAGE DAYS]],13*DATA[[#This Row],[STORAGE DAYS]]))</f>
        <v>3940</v>
      </c>
      <c r="S128" s="71" t="str">
        <f>IF(ISBLANK(DATA[[#This Row],[COLDROOM RECEIPT]]), "IN CUSTODY", "DISCHARGED")</f>
        <v>DISCHARGED</v>
      </c>
      <c r="T128" s="58">
        <f>COUNTA(A:A)-2</f>
        <v>419</v>
      </c>
      <c r="U128" s="59">
        <f>YEAR(DATA[[#This Row],[ADMISSION DATE]])</f>
        <v>2025</v>
      </c>
      <c r="V128" s="60" t="str">
        <f>TEXT(DATA[[#This Row],[ADMISSION DATE]],"mmm")</f>
        <v>Apr</v>
      </c>
      <c r="W128" s="59">
        <f>YEAR(DATA[[#This Row],[DISCHARGE DATE]])</f>
        <v>2025</v>
      </c>
      <c r="X128" s="60" t="str">
        <f>TEXT(DATA[[#This Row],[DISCHARGE DATE]],"mmm")</f>
        <v>Oct</v>
      </c>
    </row>
    <row r="129" spans="1:24" s="27" customFormat="1" ht="19.5" hidden="1">
      <c r="A129" s="152" t="s">
        <v>627</v>
      </c>
      <c r="B129" s="151" t="s">
        <v>628</v>
      </c>
      <c r="C129" s="151">
        <v>28</v>
      </c>
      <c r="D129" s="152" t="s">
        <v>12</v>
      </c>
      <c r="E129" s="152" t="s">
        <v>629</v>
      </c>
      <c r="F129" s="153">
        <v>533541189</v>
      </c>
      <c r="G129" s="152" t="s">
        <v>17</v>
      </c>
      <c r="H129" s="154">
        <v>0.60416666666666663</v>
      </c>
      <c r="I129" s="152" t="s">
        <v>18</v>
      </c>
      <c r="J129" s="155">
        <v>45763</v>
      </c>
      <c r="K129" s="155">
        <v>45807</v>
      </c>
      <c r="L129" s="151">
        <f>IF(ISBLANK(DATA[[#This Row],[DISCHARGE DATE]]),"NO DATE", DATA[[#This Row],[DISCHARGE DATE]]-DATA[[#This Row],[ADMISSION DATE]]+1)</f>
        <v>45</v>
      </c>
      <c r="M129" s="156">
        <v>350</v>
      </c>
      <c r="N129" s="156">
        <v>585</v>
      </c>
      <c r="O129" s="157" t="s">
        <v>630</v>
      </c>
      <c r="P129" s="157" t="s">
        <v>631</v>
      </c>
      <c r="Q129" s="158">
        <f>IF(DATA[[#This Row],[STORAGE FEE]]=0,"NULL",DATA[[#This Row],[COLDROOM FEE]])-DATA[[#This Row],[STORAGE FEE]]</f>
        <v>0</v>
      </c>
      <c r="R129" s="158">
        <f>IF(ISBLANK(DATA[[#This Row],[DISCHARGE DATE]]),0,IF(DATA[[#This Row],[TYPE]]="VIP",20*DATA[[#This Row],[STORAGE DAYS]],13*DATA[[#This Row],[STORAGE DAYS]]))</f>
        <v>585</v>
      </c>
      <c r="S129" s="71" t="str">
        <f>IF(ISBLANK(DATA[[#This Row],[COLDROOM RECEIPT]]), "IN CUSTODY", "DISCHARGED")</f>
        <v>DISCHARGED</v>
      </c>
      <c r="T129" s="58">
        <f>COUNTA(A:A)-2</f>
        <v>419</v>
      </c>
      <c r="U129" s="59">
        <f>YEAR(DATA[[#This Row],[ADMISSION DATE]])</f>
        <v>2025</v>
      </c>
      <c r="V129" s="60" t="str">
        <f>TEXT(DATA[[#This Row],[ADMISSION DATE]],"mmm")</f>
        <v>Apr</v>
      </c>
      <c r="W129" s="59">
        <f>YEAR(DATA[[#This Row],[DISCHARGE DATE]])</f>
        <v>2025</v>
      </c>
      <c r="X129" s="60" t="str">
        <f>TEXT(DATA[[#This Row],[DISCHARGE DATE]],"mmm")</f>
        <v>May</v>
      </c>
    </row>
    <row r="130" spans="1:24" s="27" customFormat="1" ht="19.5" hidden="1">
      <c r="A130" s="152" t="s">
        <v>632</v>
      </c>
      <c r="B130" s="151" t="s">
        <v>633</v>
      </c>
      <c r="C130" s="151">
        <v>75</v>
      </c>
      <c r="D130" s="152" t="s">
        <v>11</v>
      </c>
      <c r="E130" s="152" t="s">
        <v>634</v>
      </c>
      <c r="F130" s="153">
        <v>543475015</v>
      </c>
      <c r="G130" s="152" t="s">
        <v>44</v>
      </c>
      <c r="H130" s="154">
        <v>0.9375</v>
      </c>
      <c r="I130" s="152" t="s">
        <v>18</v>
      </c>
      <c r="J130" s="155">
        <v>45763</v>
      </c>
      <c r="K130" s="155">
        <v>45982</v>
      </c>
      <c r="L130" s="151">
        <f>IF(ISBLANK(DATA[[#This Row],[DISCHARGE DATE]]),"NO DATE", DATA[[#This Row],[DISCHARGE DATE]]-DATA[[#This Row],[ADMISSION DATE]]+1)</f>
        <v>220</v>
      </c>
      <c r="M130" s="156">
        <v>350</v>
      </c>
      <c r="N130" s="156">
        <v>2860</v>
      </c>
      <c r="O130" s="157" t="s">
        <v>635</v>
      </c>
      <c r="P130" s="157" t="s">
        <v>636</v>
      </c>
      <c r="Q130" s="158">
        <f>IF(DATA[[#This Row],[STORAGE FEE]]=0,"NULL",DATA[[#This Row],[COLDROOM FEE]])-DATA[[#This Row],[STORAGE FEE]]</f>
        <v>0</v>
      </c>
      <c r="R130" s="158">
        <f>IF(ISBLANK(DATA[[#This Row],[DISCHARGE DATE]]),0,IF(DATA[[#This Row],[TYPE]]="VIP",20*DATA[[#This Row],[STORAGE DAYS]],13*DATA[[#This Row],[STORAGE DAYS]]))</f>
        <v>2860</v>
      </c>
      <c r="S130" s="71" t="str">
        <f>IF(ISBLANK(DATA[[#This Row],[COLDROOM RECEIPT]]), "IN CUSTODY", "DISCHARGED")</f>
        <v>DISCHARGED</v>
      </c>
      <c r="T130" s="58">
        <f>COUNTA(A:A)-2</f>
        <v>419</v>
      </c>
      <c r="U130" s="59">
        <f>YEAR(DATA[[#This Row],[ADMISSION DATE]])</f>
        <v>2025</v>
      </c>
      <c r="V130" s="60" t="str">
        <f>TEXT(DATA[[#This Row],[ADMISSION DATE]],"mmm")</f>
        <v>Apr</v>
      </c>
      <c r="W130" s="59">
        <f>YEAR(DATA[[#This Row],[DISCHARGE DATE]])</f>
        <v>2025</v>
      </c>
      <c r="X130" s="60" t="str">
        <f>TEXT(DATA[[#This Row],[DISCHARGE DATE]],"mmm")</f>
        <v>Nov</v>
      </c>
    </row>
    <row r="131" spans="1:24" s="27" customFormat="1" ht="19.5" hidden="1">
      <c r="A131" s="152" t="s">
        <v>637</v>
      </c>
      <c r="B131" s="151" t="s">
        <v>638</v>
      </c>
      <c r="C131" s="151">
        <v>60</v>
      </c>
      <c r="D131" s="152" t="s">
        <v>12</v>
      </c>
      <c r="E131" s="152" t="s">
        <v>639</v>
      </c>
      <c r="F131" s="153">
        <v>249082610</v>
      </c>
      <c r="G131" s="152" t="s">
        <v>13</v>
      </c>
      <c r="H131" s="154">
        <v>0.64583333333333337</v>
      </c>
      <c r="I131" s="152" t="s">
        <v>18</v>
      </c>
      <c r="J131" s="155">
        <v>45765</v>
      </c>
      <c r="K131" s="155">
        <v>45870</v>
      </c>
      <c r="L131" s="151">
        <f>IF(ISBLANK(DATA[[#This Row],[DISCHARGE DATE]]),"NO DATE", DATA[[#This Row],[DISCHARGE DATE]]-DATA[[#This Row],[ADMISSION DATE]]+1)</f>
        <v>106</v>
      </c>
      <c r="M131" s="156">
        <v>350</v>
      </c>
      <c r="N131" s="156">
        <v>1378</v>
      </c>
      <c r="O131" s="157" t="s">
        <v>640</v>
      </c>
      <c r="P131" s="157" t="s">
        <v>641</v>
      </c>
      <c r="Q131" s="158">
        <f>IF(DATA[[#This Row],[STORAGE FEE]]=0,"NULL",DATA[[#This Row],[COLDROOM FEE]])-DATA[[#This Row],[STORAGE FEE]]</f>
        <v>0</v>
      </c>
      <c r="R131" s="158">
        <f>IF(ISBLANK(DATA[[#This Row],[DISCHARGE DATE]]),0,IF(DATA[[#This Row],[TYPE]]="VIP",20*DATA[[#This Row],[STORAGE DAYS]],13*DATA[[#This Row],[STORAGE DAYS]]))</f>
        <v>1378</v>
      </c>
      <c r="S131" s="71" t="str">
        <f>IF(ISBLANK(DATA[[#This Row],[COLDROOM RECEIPT]]), "IN CUSTODY", "DISCHARGED")</f>
        <v>DISCHARGED</v>
      </c>
      <c r="T131" s="58">
        <f>COUNTA(A:A)-2</f>
        <v>419</v>
      </c>
      <c r="U131" s="59">
        <f>YEAR(DATA[[#This Row],[ADMISSION DATE]])</f>
        <v>2025</v>
      </c>
      <c r="V131" s="60" t="str">
        <f>TEXT(DATA[[#This Row],[ADMISSION DATE]],"mmm")</f>
        <v>Apr</v>
      </c>
      <c r="W131" s="59">
        <f>YEAR(DATA[[#This Row],[DISCHARGE DATE]])</f>
        <v>2025</v>
      </c>
      <c r="X131" s="60" t="str">
        <f>TEXT(DATA[[#This Row],[DISCHARGE DATE]],"mmm")</f>
        <v>Aug</v>
      </c>
    </row>
    <row r="132" spans="1:24" s="27" customFormat="1" ht="19.5" hidden="1">
      <c r="A132" s="152" t="s">
        <v>642</v>
      </c>
      <c r="B132" s="151" t="s">
        <v>643</v>
      </c>
      <c r="C132" s="151">
        <v>81</v>
      </c>
      <c r="D132" s="152" t="s">
        <v>12</v>
      </c>
      <c r="E132" s="152" t="s">
        <v>644</v>
      </c>
      <c r="F132" s="153">
        <v>244126977</v>
      </c>
      <c r="G132" s="152" t="s">
        <v>46</v>
      </c>
      <c r="H132" s="154">
        <v>0.22916666666666666</v>
      </c>
      <c r="I132" s="152" t="s">
        <v>20</v>
      </c>
      <c r="J132" s="155">
        <v>45766</v>
      </c>
      <c r="K132" s="155">
        <v>45905</v>
      </c>
      <c r="L132" s="151">
        <f>IF(ISBLANK(DATA[[#This Row],[DISCHARGE DATE]]),"NO DATE", DATA[[#This Row],[DISCHARGE DATE]]-DATA[[#This Row],[ADMISSION DATE]]+1)</f>
        <v>140</v>
      </c>
      <c r="M132" s="156">
        <v>350</v>
      </c>
      <c r="N132" s="156">
        <v>2800</v>
      </c>
      <c r="O132" s="157" t="s">
        <v>645</v>
      </c>
      <c r="P132" s="157" t="s">
        <v>646</v>
      </c>
      <c r="Q132" s="158">
        <f>IF(DATA[[#This Row],[STORAGE FEE]]=0,"NULL",DATA[[#This Row],[COLDROOM FEE]])-DATA[[#This Row],[STORAGE FEE]]</f>
        <v>0</v>
      </c>
      <c r="R132" s="158">
        <f>IF(ISBLANK(DATA[[#This Row],[DISCHARGE DATE]]),0,IF(DATA[[#This Row],[TYPE]]="VIP",20*DATA[[#This Row],[STORAGE DAYS]],13*DATA[[#This Row],[STORAGE DAYS]]))</f>
        <v>2800</v>
      </c>
      <c r="S132" s="71" t="str">
        <f>IF(ISBLANK(DATA[[#This Row],[COLDROOM RECEIPT]]), "IN CUSTODY", "DISCHARGED")</f>
        <v>DISCHARGED</v>
      </c>
      <c r="T132" s="58">
        <f>COUNTA(A:A)-2</f>
        <v>419</v>
      </c>
      <c r="U132" s="59">
        <f>YEAR(DATA[[#This Row],[ADMISSION DATE]])</f>
        <v>2025</v>
      </c>
      <c r="V132" s="60" t="str">
        <f>TEXT(DATA[[#This Row],[ADMISSION DATE]],"mmm")</f>
        <v>Apr</v>
      </c>
      <c r="W132" s="59">
        <f>YEAR(DATA[[#This Row],[DISCHARGE DATE]])</f>
        <v>2025</v>
      </c>
      <c r="X132" s="60" t="str">
        <f>TEXT(DATA[[#This Row],[DISCHARGE DATE]],"mmm")</f>
        <v>Sep</v>
      </c>
    </row>
    <row r="133" spans="1:24" s="27" customFormat="1" ht="19.5" hidden="1">
      <c r="A133" s="152" t="s">
        <v>647</v>
      </c>
      <c r="B133" s="151" t="s">
        <v>648</v>
      </c>
      <c r="C133" s="151">
        <v>50</v>
      </c>
      <c r="D133" s="152" t="s">
        <v>12</v>
      </c>
      <c r="E133" s="152" t="s">
        <v>649</v>
      </c>
      <c r="F133" s="153">
        <v>243650763</v>
      </c>
      <c r="G133" s="152" t="s">
        <v>16</v>
      </c>
      <c r="H133" s="154">
        <v>0.5625</v>
      </c>
      <c r="I133" s="152" t="s">
        <v>18</v>
      </c>
      <c r="J133" s="155">
        <v>45777</v>
      </c>
      <c r="K133" s="155">
        <v>45961</v>
      </c>
      <c r="L133" s="151">
        <f>IF(ISBLANK(DATA[[#This Row],[DISCHARGE DATE]]),"NO DATE", DATA[[#This Row],[DISCHARGE DATE]]-DATA[[#This Row],[ADMISSION DATE]]+1)</f>
        <v>185</v>
      </c>
      <c r="M133" s="156">
        <v>350</v>
      </c>
      <c r="N133" s="156">
        <v>2405</v>
      </c>
      <c r="O133" s="157" t="s">
        <v>650</v>
      </c>
      <c r="P133" s="157" t="s">
        <v>651</v>
      </c>
      <c r="Q133" s="158">
        <f>IF(DATA[[#This Row],[STORAGE FEE]]=0,"NULL",DATA[[#This Row],[COLDROOM FEE]])-DATA[[#This Row],[STORAGE FEE]]</f>
        <v>0</v>
      </c>
      <c r="R133" s="158">
        <f>IF(ISBLANK(DATA[[#This Row],[DISCHARGE DATE]]),0,IF(DATA[[#This Row],[TYPE]]="VIP",20*DATA[[#This Row],[STORAGE DAYS]],13*DATA[[#This Row],[STORAGE DAYS]]))</f>
        <v>2405</v>
      </c>
      <c r="S133" s="71" t="str">
        <f>IF(ISBLANK(DATA[[#This Row],[COLDROOM RECEIPT]]), "IN CUSTODY", "DISCHARGED")</f>
        <v>DISCHARGED</v>
      </c>
      <c r="T133" s="58">
        <f>COUNTA(A:A)-2</f>
        <v>419</v>
      </c>
      <c r="U133" s="59">
        <f>YEAR(DATA[[#This Row],[ADMISSION DATE]])</f>
        <v>2025</v>
      </c>
      <c r="V133" s="60" t="str">
        <f>TEXT(DATA[[#This Row],[ADMISSION DATE]],"mmm")</f>
        <v>Apr</v>
      </c>
      <c r="W133" s="59">
        <f>YEAR(DATA[[#This Row],[DISCHARGE DATE]])</f>
        <v>2025</v>
      </c>
      <c r="X133" s="60" t="str">
        <f>TEXT(DATA[[#This Row],[DISCHARGE DATE]],"mmm")</f>
        <v>Oct</v>
      </c>
    </row>
    <row r="134" spans="1:24" s="27" customFormat="1" ht="19.5" hidden="1">
      <c r="A134" s="152" t="s">
        <v>652</v>
      </c>
      <c r="B134" s="151" t="s">
        <v>653</v>
      </c>
      <c r="C134" s="151">
        <v>45</v>
      </c>
      <c r="D134" s="152" t="s">
        <v>12</v>
      </c>
      <c r="E134" s="152" t="s">
        <v>654</v>
      </c>
      <c r="F134" s="153">
        <v>249608599</v>
      </c>
      <c r="G134" s="152" t="s">
        <v>13</v>
      </c>
      <c r="H134" s="154">
        <v>0.40277777777777779</v>
      </c>
      <c r="I134" s="152" t="s">
        <v>18</v>
      </c>
      <c r="J134" s="155">
        <v>45778</v>
      </c>
      <c r="K134" s="155">
        <v>45849</v>
      </c>
      <c r="L134" s="151">
        <f>IF(ISBLANK(DATA[[#This Row],[DISCHARGE DATE]]),"NO DATE", DATA[[#This Row],[DISCHARGE DATE]]-DATA[[#This Row],[ADMISSION DATE]]+1)</f>
        <v>72</v>
      </c>
      <c r="M134" s="156">
        <v>350</v>
      </c>
      <c r="N134" s="156">
        <v>936</v>
      </c>
      <c r="O134" s="157" t="s">
        <v>655</v>
      </c>
      <c r="P134" s="157" t="s">
        <v>656</v>
      </c>
      <c r="Q134" s="158">
        <f>IF(DATA[[#This Row],[STORAGE FEE]]=0,"NULL",DATA[[#This Row],[COLDROOM FEE]])-DATA[[#This Row],[STORAGE FEE]]</f>
        <v>0</v>
      </c>
      <c r="R134" s="158">
        <f>IF(ISBLANK(DATA[[#This Row],[DISCHARGE DATE]]),0,IF(DATA[[#This Row],[TYPE]]="VIP",20*DATA[[#This Row],[STORAGE DAYS]],13*DATA[[#This Row],[STORAGE DAYS]]))</f>
        <v>936</v>
      </c>
      <c r="S134" s="71" t="str">
        <f>IF(ISBLANK(DATA[[#This Row],[COLDROOM RECEIPT]]), "IN CUSTODY", "DISCHARGED")</f>
        <v>DISCHARGED</v>
      </c>
      <c r="T134" s="58">
        <f>COUNTA(A:A)-2</f>
        <v>419</v>
      </c>
      <c r="U134" s="59">
        <f>YEAR(DATA[[#This Row],[ADMISSION DATE]])</f>
        <v>2025</v>
      </c>
      <c r="V134" s="60" t="str">
        <f>TEXT(DATA[[#This Row],[ADMISSION DATE]],"mmm")</f>
        <v>May</v>
      </c>
      <c r="W134" s="59">
        <f>YEAR(DATA[[#This Row],[DISCHARGE DATE]])</f>
        <v>2025</v>
      </c>
      <c r="X134" s="60" t="str">
        <f>TEXT(DATA[[#This Row],[DISCHARGE DATE]],"mmm")</f>
        <v>Jul</v>
      </c>
    </row>
    <row r="135" spans="1:24" s="27" customFormat="1" ht="19.5" hidden="1">
      <c r="A135" s="152" t="s">
        <v>657</v>
      </c>
      <c r="B135" s="151" t="s">
        <v>658</v>
      </c>
      <c r="C135" s="151">
        <v>78</v>
      </c>
      <c r="D135" s="152" t="s">
        <v>11</v>
      </c>
      <c r="E135" s="152" t="s">
        <v>659</v>
      </c>
      <c r="F135" s="153">
        <v>246381281</v>
      </c>
      <c r="G135" s="152" t="s">
        <v>13</v>
      </c>
      <c r="H135" s="154">
        <v>0.91666666666666663</v>
      </c>
      <c r="I135" s="152" t="s">
        <v>20</v>
      </c>
      <c r="J135" s="155">
        <v>45779</v>
      </c>
      <c r="K135" s="155">
        <v>45933</v>
      </c>
      <c r="L135" s="151">
        <f>IF(ISBLANK(DATA[[#This Row],[DISCHARGE DATE]]),"NO DATE", DATA[[#This Row],[DISCHARGE DATE]]-DATA[[#This Row],[ADMISSION DATE]]+1)</f>
        <v>155</v>
      </c>
      <c r="M135" s="156">
        <v>350</v>
      </c>
      <c r="N135" s="156">
        <v>3100</v>
      </c>
      <c r="O135" s="157" t="s">
        <v>660</v>
      </c>
      <c r="P135" s="157" t="s">
        <v>661</v>
      </c>
      <c r="Q135" s="158">
        <f>IF(DATA[[#This Row],[STORAGE FEE]]=0,"NULL",DATA[[#This Row],[COLDROOM FEE]])-DATA[[#This Row],[STORAGE FEE]]</f>
        <v>0</v>
      </c>
      <c r="R135" s="158">
        <f>IF(ISBLANK(DATA[[#This Row],[DISCHARGE DATE]]),0,IF(DATA[[#This Row],[TYPE]]="VIP",20*DATA[[#This Row],[STORAGE DAYS]],13*DATA[[#This Row],[STORAGE DAYS]]))</f>
        <v>3100</v>
      </c>
      <c r="S135" s="71" t="str">
        <f>IF(ISBLANK(DATA[[#This Row],[COLDROOM RECEIPT]]), "IN CUSTODY", "DISCHARGED")</f>
        <v>DISCHARGED</v>
      </c>
      <c r="T135" s="58">
        <f>COUNTA(A:A)-2</f>
        <v>419</v>
      </c>
      <c r="U135" s="59">
        <f>YEAR(DATA[[#This Row],[ADMISSION DATE]])</f>
        <v>2025</v>
      </c>
      <c r="V135" s="60" t="str">
        <f>TEXT(DATA[[#This Row],[ADMISSION DATE]],"mmm")</f>
        <v>May</v>
      </c>
      <c r="W135" s="59">
        <f>YEAR(DATA[[#This Row],[DISCHARGE DATE]])</f>
        <v>2025</v>
      </c>
      <c r="X135" s="60" t="str">
        <f>TEXT(DATA[[#This Row],[DISCHARGE DATE]],"mmm")</f>
        <v>Oct</v>
      </c>
    </row>
    <row r="136" spans="1:24" s="27" customFormat="1" ht="19.5" hidden="1">
      <c r="A136" s="152" t="s">
        <v>662</v>
      </c>
      <c r="B136" s="151" t="s">
        <v>663</v>
      </c>
      <c r="C136" s="151">
        <v>81</v>
      </c>
      <c r="D136" s="152" t="s">
        <v>12</v>
      </c>
      <c r="E136" s="152" t="s">
        <v>664</v>
      </c>
      <c r="F136" s="153">
        <v>246708361</v>
      </c>
      <c r="G136" s="152" t="s">
        <v>21</v>
      </c>
      <c r="H136" s="154">
        <v>0.83333333333333337</v>
      </c>
      <c r="I136" s="152" t="s">
        <v>20</v>
      </c>
      <c r="J136" s="155">
        <v>45781</v>
      </c>
      <c r="K136" s="155">
        <v>45961</v>
      </c>
      <c r="L136" s="151">
        <f>IF(ISBLANK(DATA[[#This Row],[DISCHARGE DATE]]),"NO DATE", DATA[[#This Row],[DISCHARGE DATE]]-DATA[[#This Row],[ADMISSION DATE]]+1)</f>
        <v>181</v>
      </c>
      <c r="M136" s="156">
        <v>350</v>
      </c>
      <c r="N136" s="156">
        <v>3620</v>
      </c>
      <c r="O136" s="157" t="s">
        <v>665</v>
      </c>
      <c r="P136" s="157" t="s">
        <v>666</v>
      </c>
      <c r="Q136" s="158">
        <f>IF(DATA[[#This Row],[STORAGE FEE]]=0,"NULL",DATA[[#This Row],[COLDROOM FEE]])-DATA[[#This Row],[STORAGE FEE]]</f>
        <v>0</v>
      </c>
      <c r="R136" s="158">
        <f>IF(ISBLANK(DATA[[#This Row],[DISCHARGE DATE]]),0,IF(DATA[[#This Row],[TYPE]]="VIP",20*DATA[[#This Row],[STORAGE DAYS]],13*DATA[[#This Row],[STORAGE DAYS]]))</f>
        <v>3620</v>
      </c>
      <c r="S136" s="71" t="str">
        <f>IF(ISBLANK(DATA[[#This Row],[COLDROOM RECEIPT]]), "IN CUSTODY", "DISCHARGED")</f>
        <v>DISCHARGED</v>
      </c>
      <c r="T136" s="58">
        <f>COUNTA(A:A)-2</f>
        <v>419</v>
      </c>
      <c r="U136" s="59">
        <f>YEAR(DATA[[#This Row],[ADMISSION DATE]])</f>
        <v>2025</v>
      </c>
      <c r="V136" s="60" t="str">
        <f>TEXT(DATA[[#This Row],[ADMISSION DATE]],"mmm")</f>
        <v>May</v>
      </c>
      <c r="W136" s="59">
        <f>YEAR(DATA[[#This Row],[DISCHARGE DATE]])</f>
        <v>2025</v>
      </c>
      <c r="X136" s="60" t="str">
        <f>TEXT(DATA[[#This Row],[DISCHARGE DATE]],"mmm")</f>
        <v>Oct</v>
      </c>
    </row>
    <row r="137" spans="1:24" s="27" customFormat="1" ht="19.5" hidden="1">
      <c r="A137" s="152" t="s">
        <v>667</v>
      </c>
      <c r="B137" s="151" t="s">
        <v>668</v>
      </c>
      <c r="C137" s="151">
        <v>63</v>
      </c>
      <c r="D137" s="152" t="s">
        <v>11</v>
      </c>
      <c r="E137" s="152" t="s">
        <v>669</v>
      </c>
      <c r="F137" s="153">
        <v>553066010</v>
      </c>
      <c r="G137" s="152" t="s">
        <v>13</v>
      </c>
      <c r="H137" s="154">
        <v>0.46180555555555558</v>
      </c>
      <c r="I137" s="152" t="s">
        <v>20</v>
      </c>
      <c r="J137" s="155">
        <v>45786</v>
      </c>
      <c r="K137" s="155">
        <v>45898</v>
      </c>
      <c r="L137" s="151">
        <f>IF(ISBLANK(DATA[[#This Row],[DISCHARGE DATE]]),"NO DATE", DATA[[#This Row],[DISCHARGE DATE]]-DATA[[#This Row],[ADMISSION DATE]]+1)</f>
        <v>113</v>
      </c>
      <c r="M137" s="156">
        <v>350</v>
      </c>
      <c r="N137" s="156">
        <v>2260</v>
      </c>
      <c r="O137" s="157" t="s">
        <v>670</v>
      </c>
      <c r="P137" s="157" t="s">
        <v>671</v>
      </c>
      <c r="Q137" s="158">
        <f>IF(DATA[[#This Row],[STORAGE FEE]]=0,"NULL",DATA[[#This Row],[COLDROOM FEE]])-DATA[[#This Row],[STORAGE FEE]]</f>
        <v>0</v>
      </c>
      <c r="R137" s="158">
        <f>IF(ISBLANK(DATA[[#This Row],[DISCHARGE DATE]]),0,IF(DATA[[#This Row],[TYPE]]="VIP",20*DATA[[#This Row],[STORAGE DAYS]],13*DATA[[#This Row],[STORAGE DAYS]]))</f>
        <v>2260</v>
      </c>
      <c r="S137" s="71" t="str">
        <f>IF(ISBLANK(DATA[[#This Row],[COLDROOM RECEIPT]]), "IN CUSTODY", "DISCHARGED")</f>
        <v>DISCHARGED</v>
      </c>
      <c r="T137" s="58">
        <f>COUNTA(A:A)-2</f>
        <v>419</v>
      </c>
      <c r="U137" s="59">
        <f>YEAR(DATA[[#This Row],[ADMISSION DATE]])</f>
        <v>2025</v>
      </c>
      <c r="V137" s="60" t="str">
        <f>TEXT(DATA[[#This Row],[ADMISSION DATE]],"mmm")</f>
        <v>May</v>
      </c>
      <c r="W137" s="59">
        <f>YEAR(DATA[[#This Row],[DISCHARGE DATE]])</f>
        <v>2025</v>
      </c>
      <c r="X137" s="60" t="str">
        <f>TEXT(DATA[[#This Row],[DISCHARGE DATE]],"mmm")</f>
        <v>Aug</v>
      </c>
    </row>
    <row r="138" spans="1:24" s="27" customFormat="1" ht="19.5" hidden="1">
      <c r="A138" s="152" t="s">
        <v>672</v>
      </c>
      <c r="B138" s="151" t="s">
        <v>673</v>
      </c>
      <c r="C138" s="151">
        <v>54</v>
      </c>
      <c r="D138" s="152" t="s">
        <v>11</v>
      </c>
      <c r="E138" s="152" t="s">
        <v>674</v>
      </c>
      <c r="F138" s="153">
        <v>247404050</v>
      </c>
      <c r="G138" s="152" t="s">
        <v>28</v>
      </c>
      <c r="H138" s="154">
        <v>0.65277777777777779</v>
      </c>
      <c r="I138" s="152" t="s">
        <v>18</v>
      </c>
      <c r="J138" s="155">
        <v>45788</v>
      </c>
      <c r="K138" s="155">
        <v>45898</v>
      </c>
      <c r="L138" s="151">
        <f>IF(ISBLANK(DATA[[#This Row],[DISCHARGE DATE]]),"NO DATE", DATA[[#This Row],[DISCHARGE DATE]]-DATA[[#This Row],[ADMISSION DATE]]+1)</f>
        <v>111</v>
      </c>
      <c r="M138" s="156">
        <v>350</v>
      </c>
      <c r="N138" s="156">
        <v>1443</v>
      </c>
      <c r="O138" s="157" t="s">
        <v>675</v>
      </c>
      <c r="P138" s="157" t="s">
        <v>676</v>
      </c>
      <c r="Q138" s="158">
        <f>IF(DATA[[#This Row],[STORAGE FEE]]=0,"NULL",DATA[[#This Row],[COLDROOM FEE]])-DATA[[#This Row],[STORAGE FEE]]</f>
        <v>0</v>
      </c>
      <c r="R138" s="158">
        <f>IF(ISBLANK(DATA[[#This Row],[DISCHARGE DATE]]),0,IF(DATA[[#This Row],[TYPE]]="VIP",20*DATA[[#This Row],[STORAGE DAYS]],13*DATA[[#This Row],[STORAGE DAYS]]))</f>
        <v>1443</v>
      </c>
      <c r="S138" s="71" t="str">
        <f>IF(ISBLANK(DATA[[#This Row],[COLDROOM RECEIPT]]), "IN CUSTODY", "DISCHARGED")</f>
        <v>DISCHARGED</v>
      </c>
      <c r="T138" s="58">
        <f>COUNTA(A:A)-2</f>
        <v>419</v>
      </c>
      <c r="U138" s="59">
        <f>YEAR(DATA[[#This Row],[ADMISSION DATE]])</f>
        <v>2025</v>
      </c>
      <c r="V138" s="60" t="str">
        <f>TEXT(DATA[[#This Row],[ADMISSION DATE]],"mmm")</f>
        <v>May</v>
      </c>
      <c r="W138" s="59">
        <f>YEAR(DATA[[#This Row],[DISCHARGE DATE]])</f>
        <v>2025</v>
      </c>
      <c r="X138" s="60" t="str">
        <f>TEXT(DATA[[#This Row],[DISCHARGE DATE]],"mmm")</f>
        <v>Aug</v>
      </c>
    </row>
    <row r="139" spans="1:24" s="27" customFormat="1" ht="19.5" hidden="1">
      <c r="A139" s="152" t="s">
        <v>677</v>
      </c>
      <c r="B139" s="151" t="s">
        <v>678</v>
      </c>
      <c r="C139" s="151">
        <v>62</v>
      </c>
      <c r="D139" s="152" t="s">
        <v>12</v>
      </c>
      <c r="E139" s="152" t="s">
        <v>679</v>
      </c>
      <c r="F139" s="153">
        <v>245776362</v>
      </c>
      <c r="G139" s="152" t="s">
        <v>23</v>
      </c>
      <c r="H139" s="154">
        <v>0.47916666666666669</v>
      </c>
      <c r="I139" s="152" t="s">
        <v>18</v>
      </c>
      <c r="J139" s="155">
        <v>45792</v>
      </c>
      <c r="K139" s="155">
        <v>45891</v>
      </c>
      <c r="L139" s="151">
        <f>IF(ISBLANK(DATA[[#This Row],[DISCHARGE DATE]]),"NO DATE", DATA[[#This Row],[DISCHARGE DATE]]-DATA[[#This Row],[ADMISSION DATE]]+1)</f>
        <v>100</v>
      </c>
      <c r="M139" s="156">
        <v>350</v>
      </c>
      <c r="N139" s="156">
        <v>1300</v>
      </c>
      <c r="O139" s="157" t="s">
        <v>680</v>
      </c>
      <c r="P139" s="157" t="s">
        <v>681</v>
      </c>
      <c r="Q139" s="158">
        <f>IF(DATA[[#This Row],[STORAGE FEE]]=0,"NULL",DATA[[#This Row],[COLDROOM FEE]])-DATA[[#This Row],[STORAGE FEE]]</f>
        <v>0</v>
      </c>
      <c r="R139" s="158">
        <f>IF(ISBLANK(DATA[[#This Row],[DISCHARGE DATE]]),0,IF(DATA[[#This Row],[TYPE]]="VIP",20*DATA[[#This Row],[STORAGE DAYS]],13*DATA[[#This Row],[STORAGE DAYS]]))</f>
        <v>1300</v>
      </c>
      <c r="S139" s="71" t="str">
        <f>IF(ISBLANK(DATA[[#This Row],[COLDROOM RECEIPT]]), "IN CUSTODY", "DISCHARGED")</f>
        <v>DISCHARGED</v>
      </c>
      <c r="T139" s="58">
        <f>COUNTA(A:A)-2</f>
        <v>419</v>
      </c>
      <c r="U139" s="59">
        <f>YEAR(DATA[[#This Row],[ADMISSION DATE]])</f>
        <v>2025</v>
      </c>
      <c r="V139" s="60" t="str">
        <f>TEXT(DATA[[#This Row],[ADMISSION DATE]],"mmm")</f>
        <v>May</v>
      </c>
      <c r="W139" s="59">
        <f>YEAR(DATA[[#This Row],[DISCHARGE DATE]])</f>
        <v>2025</v>
      </c>
      <c r="X139" s="60" t="str">
        <f>TEXT(DATA[[#This Row],[DISCHARGE DATE]],"mmm")</f>
        <v>Aug</v>
      </c>
    </row>
    <row r="140" spans="1:24" s="27" customFormat="1" ht="19.5" hidden="1">
      <c r="A140" s="152" t="s">
        <v>682</v>
      </c>
      <c r="B140" s="151" t="s">
        <v>683</v>
      </c>
      <c r="C140" s="151">
        <v>42</v>
      </c>
      <c r="D140" s="152" t="s">
        <v>12</v>
      </c>
      <c r="E140" s="152" t="s">
        <v>684</v>
      </c>
      <c r="F140" s="153">
        <v>243660105</v>
      </c>
      <c r="G140" s="152" t="s">
        <v>13</v>
      </c>
      <c r="H140" s="154">
        <v>0.625</v>
      </c>
      <c r="I140" s="152" t="s">
        <v>18</v>
      </c>
      <c r="J140" s="155">
        <v>45797</v>
      </c>
      <c r="K140" s="155">
        <v>45870</v>
      </c>
      <c r="L140" s="151">
        <f>IF(ISBLANK(DATA[[#This Row],[DISCHARGE DATE]]),"NO DATE", DATA[[#This Row],[DISCHARGE DATE]]-DATA[[#This Row],[ADMISSION DATE]]+1)</f>
        <v>74</v>
      </c>
      <c r="M140" s="156">
        <v>350</v>
      </c>
      <c r="N140" s="156">
        <v>962</v>
      </c>
      <c r="O140" s="157" t="s">
        <v>685</v>
      </c>
      <c r="P140" s="157" t="s">
        <v>686</v>
      </c>
      <c r="Q140" s="158">
        <f>IF(DATA[[#This Row],[STORAGE FEE]]=0,"NULL",DATA[[#This Row],[COLDROOM FEE]])-DATA[[#This Row],[STORAGE FEE]]</f>
        <v>0</v>
      </c>
      <c r="R140" s="158">
        <f>IF(ISBLANK(DATA[[#This Row],[DISCHARGE DATE]]),0,IF(DATA[[#This Row],[TYPE]]="VIP",20*DATA[[#This Row],[STORAGE DAYS]],13*DATA[[#This Row],[STORAGE DAYS]]))</f>
        <v>962</v>
      </c>
      <c r="S140" s="71" t="str">
        <f>IF(ISBLANK(DATA[[#This Row],[COLDROOM RECEIPT]]), "IN CUSTODY", "DISCHARGED")</f>
        <v>DISCHARGED</v>
      </c>
      <c r="T140" s="58">
        <f>COUNTA(A:A)-2</f>
        <v>419</v>
      </c>
      <c r="U140" s="59">
        <f>YEAR(DATA[[#This Row],[ADMISSION DATE]])</f>
        <v>2025</v>
      </c>
      <c r="V140" s="60" t="str">
        <f>TEXT(DATA[[#This Row],[ADMISSION DATE]],"mmm")</f>
        <v>May</v>
      </c>
      <c r="W140" s="59">
        <f>YEAR(DATA[[#This Row],[DISCHARGE DATE]])</f>
        <v>2025</v>
      </c>
      <c r="X140" s="60" t="str">
        <f>TEXT(DATA[[#This Row],[DISCHARGE DATE]],"mmm")</f>
        <v>Aug</v>
      </c>
    </row>
    <row r="141" spans="1:24" s="27" customFormat="1" ht="19.5" hidden="1">
      <c r="A141" s="152" t="s">
        <v>687</v>
      </c>
      <c r="B141" s="151" t="s">
        <v>688</v>
      </c>
      <c r="C141" s="151">
        <v>59</v>
      </c>
      <c r="D141" s="152" t="s">
        <v>11</v>
      </c>
      <c r="E141" s="152" t="s">
        <v>649</v>
      </c>
      <c r="F141" s="153">
        <v>536038692</v>
      </c>
      <c r="G141" s="152" t="s">
        <v>13</v>
      </c>
      <c r="H141" s="154">
        <v>0.5</v>
      </c>
      <c r="I141" s="152" t="s">
        <v>18</v>
      </c>
      <c r="J141" s="155">
        <v>45798</v>
      </c>
      <c r="K141" s="155">
        <v>45961</v>
      </c>
      <c r="L141" s="151">
        <f>IF(ISBLANK(DATA[[#This Row],[DISCHARGE DATE]]),"NO DATE", DATA[[#This Row],[DISCHARGE DATE]]-DATA[[#This Row],[ADMISSION DATE]]+1)</f>
        <v>164</v>
      </c>
      <c r="M141" s="156">
        <v>350</v>
      </c>
      <c r="N141" s="156">
        <v>2132</v>
      </c>
      <c r="O141" s="157" t="s">
        <v>689</v>
      </c>
      <c r="P141" s="157" t="s">
        <v>690</v>
      </c>
      <c r="Q141" s="158">
        <f>IF(DATA[[#This Row],[STORAGE FEE]]=0,"NULL",DATA[[#This Row],[COLDROOM FEE]])-DATA[[#This Row],[STORAGE FEE]]</f>
        <v>0</v>
      </c>
      <c r="R141" s="158">
        <f>IF(ISBLANK(DATA[[#This Row],[DISCHARGE DATE]]),0,IF(DATA[[#This Row],[TYPE]]="VIP",20*DATA[[#This Row],[STORAGE DAYS]],13*DATA[[#This Row],[STORAGE DAYS]]))</f>
        <v>2132</v>
      </c>
      <c r="S141" s="71" t="str">
        <f>IF(ISBLANK(DATA[[#This Row],[COLDROOM RECEIPT]]), "IN CUSTODY", "DISCHARGED")</f>
        <v>DISCHARGED</v>
      </c>
      <c r="T141" s="58">
        <f>COUNTA(A:A)-2</f>
        <v>419</v>
      </c>
      <c r="U141" s="59">
        <f>YEAR(DATA[[#This Row],[ADMISSION DATE]])</f>
        <v>2025</v>
      </c>
      <c r="V141" s="60" t="str">
        <f>TEXT(DATA[[#This Row],[ADMISSION DATE]],"mmm")</f>
        <v>May</v>
      </c>
      <c r="W141" s="59">
        <f>YEAR(DATA[[#This Row],[DISCHARGE DATE]])</f>
        <v>2025</v>
      </c>
      <c r="X141" s="60" t="str">
        <f>TEXT(DATA[[#This Row],[DISCHARGE DATE]],"mmm")</f>
        <v>Oct</v>
      </c>
    </row>
    <row r="142" spans="1:24" s="27" customFormat="1" ht="19.5" hidden="1">
      <c r="A142" s="152" t="s">
        <v>691</v>
      </c>
      <c r="B142" s="151" t="s">
        <v>692</v>
      </c>
      <c r="C142" s="151">
        <v>60</v>
      </c>
      <c r="D142" s="152" t="s">
        <v>11</v>
      </c>
      <c r="E142" s="152" t="s">
        <v>693</v>
      </c>
      <c r="F142" s="153">
        <v>537667291</v>
      </c>
      <c r="G142" s="152" t="s">
        <v>42</v>
      </c>
      <c r="H142" s="154">
        <v>0.58333333333333337</v>
      </c>
      <c r="I142" s="152" t="s">
        <v>18</v>
      </c>
      <c r="J142" s="155">
        <v>45799</v>
      </c>
      <c r="K142" s="155">
        <v>45961</v>
      </c>
      <c r="L142" s="151">
        <f>IF(ISBLANK(DATA[[#This Row],[DISCHARGE DATE]]),"NO DATE", DATA[[#This Row],[DISCHARGE DATE]]-DATA[[#This Row],[ADMISSION DATE]]+1)</f>
        <v>163</v>
      </c>
      <c r="M142" s="156">
        <v>350</v>
      </c>
      <c r="N142" s="156">
        <v>2119</v>
      </c>
      <c r="O142" s="157" t="s">
        <v>694</v>
      </c>
      <c r="P142" s="157" t="s">
        <v>695</v>
      </c>
      <c r="Q142" s="158">
        <f>IF(DATA[[#This Row],[STORAGE FEE]]=0,"NULL",DATA[[#This Row],[COLDROOM FEE]])-DATA[[#This Row],[STORAGE FEE]]</f>
        <v>0</v>
      </c>
      <c r="R142" s="158">
        <f>IF(ISBLANK(DATA[[#This Row],[DISCHARGE DATE]]),0,IF(DATA[[#This Row],[TYPE]]="VIP",20*DATA[[#This Row],[STORAGE DAYS]],13*DATA[[#This Row],[STORAGE DAYS]]))</f>
        <v>2119</v>
      </c>
      <c r="S142" s="71" t="str">
        <f>IF(ISBLANK(DATA[[#This Row],[COLDROOM RECEIPT]]), "IN CUSTODY", "DISCHARGED")</f>
        <v>DISCHARGED</v>
      </c>
      <c r="T142" s="58">
        <f>COUNTA(A:A)-2</f>
        <v>419</v>
      </c>
      <c r="U142" s="59">
        <f>YEAR(DATA[[#This Row],[ADMISSION DATE]])</f>
        <v>2025</v>
      </c>
      <c r="V142" s="60" t="str">
        <f>TEXT(DATA[[#This Row],[ADMISSION DATE]],"mmm")</f>
        <v>May</v>
      </c>
      <c r="W142" s="59">
        <f>YEAR(DATA[[#This Row],[DISCHARGE DATE]])</f>
        <v>2025</v>
      </c>
      <c r="X142" s="60" t="str">
        <f>TEXT(DATA[[#This Row],[DISCHARGE DATE]],"mmm")</f>
        <v>Oct</v>
      </c>
    </row>
    <row r="143" spans="1:24" s="27" customFormat="1" ht="19.5" hidden="1">
      <c r="A143" s="152" t="s">
        <v>696</v>
      </c>
      <c r="B143" s="151" t="s">
        <v>697</v>
      </c>
      <c r="C143" s="151">
        <v>61</v>
      </c>
      <c r="D143" s="152" t="s">
        <v>12</v>
      </c>
      <c r="E143" s="152" t="s">
        <v>698</v>
      </c>
      <c r="F143" s="153">
        <v>249810418</v>
      </c>
      <c r="G143" s="152" t="s">
        <v>13</v>
      </c>
      <c r="H143" s="154">
        <v>0.3125</v>
      </c>
      <c r="I143" s="152" t="s">
        <v>18</v>
      </c>
      <c r="J143" s="155">
        <v>45800</v>
      </c>
      <c r="K143" s="155">
        <v>45849</v>
      </c>
      <c r="L143" s="151">
        <f>IF(ISBLANK(DATA[[#This Row],[DISCHARGE DATE]]),"NO DATE", DATA[[#This Row],[DISCHARGE DATE]]-DATA[[#This Row],[ADMISSION DATE]]+1)</f>
        <v>50</v>
      </c>
      <c r="M143" s="156">
        <v>350</v>
      </c>
      <c r="N143" s="156">
        <v>650</v>
      </c>
      <c r="O143" s="157" t="s">
        <v>699</v>
      </c>
      <c r="P143" s="157" t="s">
        <v>700</v>
      </c>
      <c r="Q143" s="158">
        <f>IF(DATA[[#This Row],[STORAGE FEE]]=0,"NULL",DATA[[#This Row],[COLDROOM FEE]])-DATA[[#This Row],[STORAGE FEE]]</f>
        <v>0</v>
      </c>
      <c r="R143" s="158">
        <f>IF(ISBLANK(DATA[[#This Row],[DISCHARGE DATE]]),0,IF(DATA[[#This Row],[TYPE]]="VIP",20*DATA[[#This Row],[STORAGE DAYS]],13*DATA[[#This Row],[STORAGE DAYS]]))</f>
        <v>650</v>
      </c>
      <c r="S143" s="71" t="str">
        <f>IF(ISBLANK(DATA[[#This Row],[COLDROOM RECEIPT]]), "IN CUSTODY", "DISCHARGED")</f>
        <v>DISCHARGED</v>
      </c>
      <c r="T143" s="58">
        <f>COUNTA(A:A)-2</f>
        <v>419</v>
      </c>
      <c r="U143" s="59">
        <f>YEAR(DATA[[#This Row],[ADMISSION DATE]])</f>
        <v>2025</v>
      </c>
      <c r="V143" s="60" t="str">
        <f>TEXT(DATA[[#This Row],[ADMISSION DATE]],"mmm")</f>
        <v>May</v>
      </c>
      <c r="W143" s="59">
        <f>YEAR(DATA[[#This Row],[DISCHARGE DATE]])</f>
        <v>2025</v>
      </c>
      <c r="X143" s="60" t="str">
        <f>TEXT(DATA[[#This Row],[DISCHARGE DATE]],"mmm")</f>
        <v>Jul</v>
      </c>
    </row>
    <row r="144" spans="1:24" s="27" customFormat="1" ht="19.5" hidden="1">
      <c r="A144" s="152" t="s">
        <v>701</v>
      </c>
      <c r="B144" s="151" t="s">
        <v>702</v>
      </c>
      <c r="C144" s="151">
        <v>65</v>
      </c>
      <c r="D144" s="152" t="s">
        <v>12</v>
      </c>
      <c r="E144" s="152" t="s">
        <v>703</v>
      </c>
      <c r="F144" s="153">
        <v>545753195</v>
      </c>
      <c r="G144" s="152" t="s">
        <v>13</v>
      </c>
      <c r="H144" s="154">
        <v>0.33333333333333331</v>
      </c>
      <c r="I144" s="152" t="s">
        <v>20</v>
      </c>
      <c r="J144" s="155">
        <v>45802</v>
      </c>
      <c r="K144" s="155">
        <v>45989</v>
      </c>
      <c r="L144" s="151">
        <f>IF(ISBLANK(DATA[[#This Row],[DISCHARGE DATE]]),"NO DATE", DATA[[#This Row],[DISCHARGE DATE]]-DATA[[#This Row],[ADMISSION DATE]]+1)</f>
        <v>188</v>
      </c>
      <c r="M144" s="156">
        <v>350</v>
      </c>
      <c r="N144" s="156">
        <v>3760</v>
      </c>
      <c r="O144" s="157" t="s">
        <v>704</v>
      </c>
      <c r="P144" s="157" t="s">
        <v>555</v>
      </c>
      <c r="Q144" s="158">
        <f>IF(DATA[[#This Row],[STORAGE FEE]]=0,"NULL",DATA[[#This Row],[COLDROOM FEE]])-DATA[[#This Row],[STORAGE FEE]]</f>
        <v>0</v>
      </c>
      <c r="R144" s="158">
        <f>IF(ISBLANK(DATA[[#This Row],[DISCHARGE DATE]]),0,IF(DATA[[#This Row],[TYPE]]="VIP",20*DATA[[#This Row],[STORAGE DAYS]],13*DATA[[#This Row],[STORAGE DAYS]]))</f>
        <v>3760</v>
      </c>
      <c r="S144" s="71" t="str">
        <f>IF(ISBLANK(DATA[[#This Row],[COLDROOM RECEIPT]]), "IN CUSTODY", "DISCHARGED")</f>
        <v>DISCHARGED</v>
      </c>
      <c r="T144" s="58">
        <f>COUNTA(A:A)-2</f>
        <v>419</v>
      </c>
      <c r="U144" s="59">
        <f>YEAR(DATA[[#This Row],[ADMISSION DATE]])</f>
        <v>2025</v>
      </c>
      <c r="V144" s="60" t="str">
        <f>TEXT(DATA[[#This Row],[ADMISSION DATE]],"mmm")</f>
        <v>May</v>
      </c>
      <c r="W144" s="59">
        <f>YEAR(DATA[[#This Row],[DISCHARGE DATE]])</f>
        <v>2025</v>
      </c>
      <c r="X144" s="60" t="str">
        <f>TEXT(DATA[[#This Row],[DISCHARGE DATE]],"mmm")</f>
        <v>Nov</v>
      </c>
    </row>
    <row r="145" spans="1:24" s="27" customFormat="1" ht="19.5" hidden="1">
      <c r="A145" s="152" t="s">
        <v>705</v>
      </c>
      <c r="B145" s="151" t="s">
        <v>706</v>
      </c>
      <c r="C145" s="151">
        <v>66</v>
      </c>
      <c r="D145" s="152" t="s">
        <v>11</v>
      </c>
      <c r="E145" s="152" t="s">
        <v>707</v>
      </c>
      <c r="F145" s="153">
        <v>248139308</v>
      </c>
      <c r="G145" s="152" t="s">
        <v>13</v>
      </c>
      <c r="H145" s="154">
        <v>0.29166666666666669</v>
      </c>
      <c r="I145" s="152" t="s">
        <v>20</v>
      </c>
      <c r="J145" s="155">
        <v>45805</v>
      </c>
      <c r="K145" s="155">
        <v>45898</v>
      </c>
      <c r="L145" s="151">
        <f>IF(ISBLANK(DATA[[#This Row],[DISCHARGE DATE]]),"NO DATE", DATA[[#This Row],[DISCHARGE DATE]]-DATA[[#This Row],[ADMISSION DATE]]+1)</f>
        <v>94</v>
      </c>
      <c r="M145" s="156">
        <v>350</v>
      </c>
      <c r="N145" s="156">
        <v>1880</v>
      </c>
      <c r="O145" s="157" t="s">
        <v>708</v>
      </c>
      <c r="P145" s="157" t="s">
        <v>709</v>
      </c>
      <c r="Q145" s="158">
        <f>IF(DATA[[#This Row],[STORAGE FEE]]=0,"NULL",DATA[[#This Row],[COLDROOM FEE]])-DATA[[#This Row],[STORAGE FEE]]</f>
        <v>0</v>
      </c>
      <c r="R145" s="158">
        <f>IF(ISBLANK(DATA[[#This Row],[DISCHARGE DATE]]),0,IF(DATA[[#This Row],[TYPE]]="VIP",20*DATA[[#This Row],[STORAGE DAYS]],13*DATA[[#This Row],[STORAGE DAYS]]))</f>
        <v>1880</v>
      </c>
      <c r="S145" s="71" t="str">
        <f>IF(ISBLANK(DATA[[#This Row],[COLDROOM RECEIPT]]), "IN CUSTODY", "DISCHARGED")</f>
        <v>DISCHARGED</v>
      </c>
      <c r="T145" s="58">
        <f>COUNTA(A:A)-2</f>
        <v>419</v>
      </c>
      <c r="U145" s="59">
        <f>YEAR(DATA[[#This Row],[ADMISSION DATE]])</f>
        <v>2025</v>
      </c>
      <c r="V145" s="60" t="str">
        <f>TEXT(DATA[[#This Row],[ADMISSION DATE]],"mmm")</f>
        <v>May</v>
      </c>
      <c r="W145" s="59">
        <f>YEAR(DATA[[#This Row],[DISCHARGE DATE]])</f>
        <v>2025</v>
      </c>
      <c r="X145" s="60" t="str">
        <f>TEXT(DATA[[#This Row],[DISCHARGE DATE]],"mmm")</f>
        <v>Aug</v>
      </c>
    </row>
    <row r="146" spans="1:24" s="27" customFormat="1" ht="19.5" hidden="1">
      <c r="A146" s="152" t="s">
        <v>710</v>
      </c>
      <c r="B146" s="151" t="s">
        <v>711</v>
      </c>
      <c r="C146" s="151">
        <v>65</v>
      </c>
      <c r="D146" s="152" t="s">
        <v>12</v>
      </c>
      <c r="E146" s="152" t="s">
        <v>712</v>
      </c>
      <c r="F146" s="153">
        <v>244934551</v>
      </c>
      <c r="G146" s="152" t="s">
        <v>48</v>
      </c>
      <c r="H146" s="154">
        <v>0.72916666666666663</v>
      </c>
      <c r="I146" s="152" t="s">
        <v>18</v>
      </c>
      <c r="J146" s="155">
        <v>45806</v>
      </c>
      <c r="K146" s="155">
        <v>45891</v>
      </c>
      <c r="L146" s="151">
        <f>IF(ISBLANK(DATA[[#This Row],[DISCHARGE DATE]]),"NO DATE", DATA[[#This Row],[DISCHARGE DATE]]-DATA[[#This Row],[ADMISSION DATE]]+1)</f>
        <v>86</v>
      </c>
      <c r="M146" s="156">
        <v>350</v>
      </c>
      <c r="N146" s="156">
        <v>1118</v>
      </c>
      <c r="O146" s="157" t="s">
        <v>713</v>
      </c>
      <c r="P146" s="157" t="s">
        <v>714</v>
      </c>
      <c r="Q146" s="158">
        <f>IF(DATA[[#This Row],[STORAGE FEE]]=0,"NULL",DATA[[#This Row],[COLDROOM FEE]])-DATA[[#This Row],[STORAGE FEE]]</f>
        <v>0</v>
      </c>
      <c r="R146" s="158">
        <f>IF(ISBLANK(DATA[[#This Row],[DISCHARGE DATE]]),0,IF(DATA[[#This Row],[TYPE]]="VIP",20*DATA[[#This Row],[STORAGE DAYS]],13*DATA[[#This Row],[STORAGE DAYS]]))</f>
        <v>1118</v>
      </c>
      <c r="S146" s="71" t="str">
        <f>IF(ISBLANK(DATA[[#This Row],[COLDROOM RECEIPT]]), "IN CUSTODY", "DISCHARGED")</f>
        <v>DISCHARGED</v>
      </c>
      <c r="T146" s="58">
        <f>COUNTA(A:A)-2</f>
        <v>419</v>
      </c>
      <c r="U146" s="59">
        <f>YEAR(DATA[[#This Row],[ADMISSION DATE]])</f>
        <v>2025</v>
      </c>
      <c r="V146" s="60" t="str">
        <f>TEXT(DATA[[#This Row],[ADMISSION DATE]],"mmm")</f>
        <v>May</v>
      </c>
      <c r="W146" s="59">
        <f>YEAR(DATA[[#This Row],[DISCHARGE DATE]])</f>
        <v>2025</v>
      </c>
      <c r="X146" s="60" t="str">
        <f>TEXT(DATA[[#This Row],[DISCHARGE DATE]],"mmm")</f>
        <v>Aug</v>
      </c>
    </row>
    <row r="147" spans="1:24" s="27" customFormat="1" ht="19.5" hidden="1">
      <c r="A147" s="152" t="s">
        <v>715</v>
      </c>
      <c r="B147" s="151" t="s">
        <v>716</v>
      </c>
      <c r="C147" s="151">
        <v>63</v>
      </c>
      <c r="D147" s="152" t="s">
        <v>12</v>
      </c>
      <c r="E147" s="152" t="s">
        <v>717</v>
      </c>
      <c r="F147" s="153">
        <v>599135006</v>
      </c>
      <c r="G147" s="152" t="s">
        <v>13</v>
      </c>
      <c r="H147" s="154">
        <v>0.89583333333333337</v>
      </c>
      <c r="I147" s="152" t="s">
        <v>18</v>
      </c>
      <c r="J147" s="155">
        <v>45809</v>
      </c>
      <c r="K147" s="155">
        <v>45849</v>
      </c>
      <c r="L147" s="151">
        <f>IF(ISBLANK(DATA[[#This Row],[DISCHARGE DATE]]),"NO DATE", DATA[[#This Row],[DISCHARGE DATE]]-DATA[[#This Row],[ADMISSION DATE]]+1)</f>
        <v>41</v>
      </c>
      <c r="M147" s="156">
        <v>350</v>
      </c>
      <c r="N147" s="156">
        <v>533</v>
      </c>
      <c r="O147" s="157" t="s">
        <v>718</v>
      </c>
      <c r="P147" s="157" t="s">
        <v>719</v>
      </c>
      <c r="Q147" s="158">
        <f>IF(DATA[[#This Row],[STORAGE FEE]]=0,"NULL",DATA[[#This Row],[COLDROOM FEE]])-DATA[[#This Row],[STORAGE FEE]]</f>
        <v>0</v>
      </c>
      <c r="R147" s="158">
        <f>IF(ISBLANK(DATA[[#This Row],[DISCHARGE DATE]]),0,IF(DATA[[#This Row],[TYPE]]="VIP",20*DATA[[#This Row],[STORAGE DAYS]],13*DATA[[#This Row],[STORAGE DAYS]]))</f>
        <v>533</v>
      </c>
      <c r="S147" s="71" t="str">
        <f>IF(ISBLANK(DATA[[#This Row],[COLDROOM RECEIPT]]), "IN CUSTODY", "DISCHARGED")</f>
        <v>DISCHARGED</v>
      </c>
      <c r="T147" s="58">
        <f>COUNTA(A:A)-2</f>
        <v>419</v>
      </c>
      <c r="U147" s="59">
        <f>YEAR(DATA[[#This Row],[ADMISSION DATE]])</f>
        <v>2025</v>
      </c>
      <c r="V147" s="60" t="str">
        <f>TEXT(DATA[[#This Row],[ADMISSION DATE]],"mmm")</f>
        <v>Jun</v>
      </c>
      <c r="W147" s="59">
        <f>YEAR(DATA[[#This Row],[DISCHARGE DATE]])</f>
        <v>2025</v>
      </c>
      <c r="X147" s="60" t="str">
        <f>TEXT(DATA[[#This Row],[DISCHARGE DATE]],"mmm")</f>
        <v>Jul</v>
      </c>
    </row>
    <row r="148" spans="1:24" s="27" customFormat="1" ht="19.5" hidden="1">
      <c r="A148" s="152" t="s">
        <v>720</v>
      </c>
      <c r="B148" s="151" t="s">
        <v>721</v>
      </c>
      <c r="C148" s="151">
        <v>80</v>
      </c>
      <c r="D148" s="152" t="s">
        <v>11</v>
      </c>
      <c r="E148" s="152" t="s">
        <v>722</v>
      </c>
      <c r="F148" s="153">
        <v>543526579</v>
      </c>
      <c r="G148" s="152" t="s">
        <v>15</v>
      </c>
      <c r="H148" s="154">
        <v>0.5625</v>
      </c>
      <c r="I148" s="152" t="s">
        <v>20</v>
      </c>
      <c r="J148" s="155">
        <v>45808</v>
      </c>
      <c r="K148" s="155">
        <v>45961</v>
      </c>
      <c r="L148" s="151">
        <f>IF(ISBLANK(DATA[[#This Row],[DISCHARGE DATE]]),"NO DATE", DATA[[#This Row],[DISCHARGE DATE]]-DATA[[#This Row],[ADMISSION DATE]]+1)</f>
        <v>154</v>
      </c>
      <c r="M148" s="156">
        <v>350</v>
      </c>
      <c r="N148" s="156">
        <v>3080</v>
      </c>
      <c r="O148" s="157" t="s">
        <v>488</v>
      </c>
      <c r="P148" s="157" t="s">
        <v>723</v>
      </c>
      <c r="Q148" s="158">
        <f>IF(DATA[[#This Row],[STORAGE FEE]]=0,"NULL",DATA[[#This Row],[COLDROOM FEE]])-DATA[[#This Row],[STORAGE FEE]]</f>
        <v>0</v>
      </c>
      <c r="R148" s="158">
        <f>IF(ISBLANK(DATA[[#This Row],[DISCHARGE DATE]]),0,IF(DATA[[#This Row],[TYPE]]="VIP",20*DATA[[#This Row],[STORAGE DAYS]],13*DATA[[#This Row],[STORAGE DAYS]]))</f>
        <v>3080</v>
      </c>
      <c r="S148" s="71" t="str">
        <f>IF(ISBLANK(DATA[[#This Row],[COLDROOM RECEIPT]]), "IN CUSTODY", "DISCHARGED")</f>
        <v>DISCHARGED</v>
      </c>
      <c r="T148" s="58">
        <f>COUNTA(A:A)-2</f>
        <v>419</v>
      </c>
      <c r="U148" s="59">
        <f>YEAR(DATA[[#This Row],[ADMISSION DATE]])</f>
        <v>2025</v>
      </c>
      <c r="V148" s="60" t="str">
        <f>TEXT(DATA[[#This Row],[ADMISSION DATE]],"mmm")</f>
        <v>May</v>
      </c>
      <c r="W148" s="59">
        <f>YEAR(DATA[[#This Row],[DISCHARGE DATE]])</f>
        <v>2025</v>
      </c>
      <c r="X148" s="60" t="str">
        <f>TEXT(DATA[[#This Row],[DISCHARGE DATE]],"mmm")</f>
        <v>Oct</v>
      </c>
    </row>
    <row r="149" spans="1:24" s="27" customFormat="1" ht="19.5" hidden="1">
      <c r="A149" s="152" t="s">
        <v>724</v>
      </c>
      <c r="B149" s="151" t="s">
        <v>182</v>
      </c>
      <c r="C149" s="151">
        <v>70</v>
      </c>
      <c r="D149" s="152" t="s">
        <v>12</v>
      </c>
      <c r="E149" s="152" t="s">
        <v>725</v>
      </c>
      <c r="F149" s="153">
        <v>243586552</v>
      </c>
      <c r="G149" s="152" t="s">
        <v>13</v>
      </c>
      <c r="H149" s="154">
        <v>0.33333333333333331</v>
      </c>
      <c r="I149" s="152" t="s">
        <v>18</v>
      </c>
      <c r="J149" s="155">
        <v>45811</v>
      </c>
      <c r="K149" s="155">
        <v>45933</v>
      </c>
      <c r="L149" s="151">
        <f>IF(ISBLANK(DATA[[#This Row],[DISCHARGE DATE]]),"NO DATE", DATA[[#This Row],[DISCHARGE DATE]]-DATA[[#This Row],[ADMISSION DATE]]+1)</f>
        <v>123</v>
      </c>
      <c r="M149" s="156">
        <v>350</v>
      </c>
      <c r="N149" s="156">
        <v>1599</v>
      </c>
      <c r="O149" s="157" t="s">
        <v>575</v>
      </c>
      <c r="P149" s="157" t="s">
        <v>726</v>
      </c>
      <c r="Q149" s="158">
        <f>IF(DATA[[#This Row],[STORAGE FEE]]=0,"NULL",DATA[[#This Row],[COLDROOM FEE]])-DATA[[#This Row],[STORAGE FEE]]</f>
        <v>0</v>
      </c>
      <c r="R149" s="158">
        <f>IF(ISBLANK(DATA[[#This Row],[DISCHARGE DATE]]),0,IF(DATA[[#This Row],[TYPE]]="VIP",20*DATA[[#This Row],[STORAGE DAYS]],13*DATA[[#This Row],[STORAGE DAYS]]))</f>
        <v>1599</v>
      </c>
      <c r="S149" s="71" t="str">
        <f>IF(ISBLANK(DATA[[#This Row],[COLDROOM RECEIPT]]), "IN CUSTODY", "DISCHARGED")</f>
        <v>DISCHARGED</v>
      </c>
      <c r="T149" s="58">
        <f>COUNTA(A:A)-2</f>
        <v>419</v>
      </c>
      <c r="U149" s="59">
        <f>YEAR(DATA[[#This Row],[ADMISSION DATE]])</f>
        <v>2025</v>
      </c>
      <c r="V149" s="60" t="str">
        <f>TEXT(DATA[[#This Row],[ADMISSION DATE]],"mmm")</f>
        <v>Jun</v>
      </c>
      <c r="W149" s="59">
        <f>YEAR(DATA[[#This Row],[DISCHARGE DATE]])</f>
        <v>2025</v>
      </c>
      <c r="X149" s="60" t="str">
        <f>TEXT(DATA[[#This Row],[DISCHARGE DATE]],"mmm")</f>
        <v>Oct</v>
      </c>
    </row>
    <row r="150" spans="1:24" s="27" customFormat="1" ht="19.5" hidden="1">
      <c r="A150" s="152" t="s">
        <v>727</v>
      </c>
      <c r="B150" s="151" t="s">
        <v>728</v>
      </c>
      <c r="C150" s="151">
        <v>100</v>
      </c>
      <c r="D150" s="152" t="s">
        <v>11</v>
      </c>
      <c r="E150" s="152" t="s">
        <v>729</v>
      </c>
      <c r="F150" s="153">
        <v>543683813</v>
      </c>
      <c r="G150" s="152" t="s">
        <v>13</v>
      </c>
      <c r="H150" s="154">
        <v>0.35416666666666669</v>
      </c>
      <c r="I150" s="152" t="s">
        <v>18</v>
      </c>
      <c r="J150" s="155">
        <v>45812</v>
      </c>
      <c r="K150" s="155">
        <v>45933</v>
      </c>
      <c r="L150" s="151">
        <f>IF(ISBLANK(DATA[[#This Row],[DISCHARGE DATE]]),"NO DATE", DATA[[#This Row],[DISCHARGE DATE]]-DATA[[#This Row],[ADMISSION DATE]]+1)</f>
        <v>122</v>
      </c>
      <c r="M150" s="156">
        <v>350</v>
      </c>
      <c r="N150" s="156">
        <v>1586</v>
      </c>
      <c r="O150" s="157" t="s">
        <v>483</v>
      </c>
      <c r="P150" s="157" t="s">
        <v>730</v>
      </c>
      <c r="Q150" s="158">
        <f>IF(DATA[[#This Row],[STORAGE FEE]]=0,"NULL",DATA[[#This Row],[COLDROOM FEE]])-DATA[[#This Row],[STORAGE FEE]]</f>
        <v>0</v>
      </c>
      <c r="R150" s="158">
        <f>IF(ISBLANK(DATA[[#This Row],[DISCHARGE DATE]]),0,IF(DATA[[#This Row],[TYPE]]="VIP",20*DATA[[#This Row],[STORAGE DAYS]],13*DATA[[#This Row],[STORAGE DAYS]]))</f>
        <v>1586</v>
      </c>
      <c r="S150" s="71" t="str">
        <f>IF(ISBLANK(DATA[[#This Row],[COLDROOM RECEIPT]]), "IN CUSTODY", "DISCHARGED")</f>
        <v>DISCHARGED</v>
      </c>
      <c r="T150" s="58">
        <f>COUNTA(A:A)-2</f>
        <v>419</v>
      </c>
      <c r="U150" s="59">
        <f>YEAR(DATA[[#This Row],[ADMISSION DATE]])</f>
        <v>2025</v>
      </c>
      <c r="V150" s="60" t="str">
        <f>TEXT(DATA[[#This Row],[ADMISSION DATE]],"mmm")</f>
        <v>Jun</v>
      </c>
      <c r="W150" s="59">
        <f>YEAR(DATA[[#This Row],[DISCHARGE DATE]])</f>
        <v>2025</v>
      </c>
      <c r="X150" s="60" t="str">
        <f>TEXT(DATA[[#This Row],[DISCHARGE DATE]],"mmm")</f>
        <v>Oct</v>
      </c>
    </row>
    <row r="151" spans="1:24" s="27" customFormat="1" ht="19.5" hidden="1">
      <c r="A151" s="152" t="s">
        <v>731</v>
      </c>
      <c r="B151" s="151" t="s">
        <v>732</v>
      </c>
      <c r="C151" s="151">
        <v>69</v>
      </c>
      <c r="D151" s="152" t="s">
        <v>11</v>
      </c>
      <c r="E151" s="152" t="s">
        <v>145</v>
      </c>
      <c r="F151" s="153">
        <v>247422898</v>
      </c>
      <c r="G151" s="152" t="s">
        <v>13</v>
      </c>
      <c r="H151" s="154">
        <v>0.70833333333333337</v>
      </c>
      <c r="I151" s="152" t="s">
        <v>18</v>
      </c>
      <c r="J151" s="155">
        <v>45811</v>
      </c>
      <c r="K151" s="155">
        <v>46108</v>
      </c>
      <c r="L151" s="151">
        <f>IF(ISBLANK(DATA[[#This Row],[DISCHARGE DATE]]),"NO DATE", DATA[[#This Row],[DISCHARGE DATE]]-DATA[[#This Row],[ADMISSION DATE]]+1)</f>
        <v>298</v>
      </c>
      <c r="M151" s="156">
        <v>350</v>
      </c>
      <c r="N151" s="156">
        <v>3874</v>
      </c>
      <c r="O151" s="157" t="s">
        <v>631</v>
      </c>
      <c r="P151" s="157">
        <v>257</v>
      </c>
      <c r="Q151" s="158">
        <f>IF(DATA[[#This Row],[STORAGE FEE]]=0,"NULL",DATA[[#This Row],[COLDROOM FEE]])-DATA[[#This Row],[STORAGE FEE]]</f>
        <v>0</v>
      </c>
      <c r="R151" s="158">
        <f>IF(ISBLANK(DATA[[#This Row],[DISCHARGE DATE]]),0,IF(DATA[[#This Row],[TYPE]]="VIP",20*DATA[[#This Row],[STORAGE DAYS]],13*DATA[[#This Row],[STORAGE DAYS]]))</f>
        <v>3874</v>
      </c>
      <c r="S151" s="71" t="str">
        <f>IF(ISBLANK(DATA[[#This Row],[COLDROOM RECEIPT]]), "IN CUSTODY", "DISCHARGED")</f>
        <v>DISCHARGED</v>
      </c>
      <c r="T151" s="58">
        <f>COUNTA(A:A)-2</f>
        <v>419</v>
      </c>
      <c r="U151" s="59">
        <f>YEAR(DATA[[#This Row],[ADMISSION DATE]])</f>
        <v>2025</v>
      </c>
      <c r="V151" s="60" t="str">
        <f>TEXT(DATA[[#This Row],[ADMISSION DATE]],"mmm")</f>
        <v>Jun</v>
      </c>
      <c r="W151" s="59">
        <f>YEAR(DATA[[#This Row],[DISCHARGE DATE]])</f>
        <v>2026</v>
      </c>
      <c r="X151" s="60" t="str">
        <f>TEXT(DATA[[#This Row],[DISCHARGE DATE]],"mmm")</f>
        <v>Mar</v>
      </c>
    </row>
    <row r="152" spans="1:24" s="27" customFormat="1" ht="19.5" hidden="1">
      <c r="A152" s="152" t="s">
        <v>733</v>
      </c>
      <c r="B152" s="151" t="s">
        <v>734</v>
      </c>
      <c r="C152" s="151">
        <v>58</v>
      </c>
      <c r="D152" s="152" t="s">
        <v>12</v>
      </c>
      <c r="E152" s="152" t="s">
        <v>735</v>
      </c>
      <c r="F152" s="153">
        <v>547163139</v>
      </c>
      <c r="G152" s="152" t="s">
        <v>28</v>
      </c>
      <c r="H152" s="154">
        <v>0.66666666666666663</v>
      </c>
      <c r="I152" s="152" t="s">
        <v>20</v>
      </c>
      <c r="J152" s="155">
        <v>45811</v>
      </c>
      <c r="K152" s="155">
        <v>45919</v>
      </c>
      <c r="L152" s="151">
        <f>IF(ISBLANK(DATA[[#This Row],[DISCHARGE DATE]]),"NO DATE", DATA[[#This Row],[DISCHARGE DATE]]-DATA[[#This Row],[ADMISSION DATE]]+1)</f>
        <v>109</v>
      </c>
      <c r="M152" s="156">
        <v>350</v>
      </c>
      <c r="N152" s="156">
        <v>2180</v>
      </c>
      <c r="O152" s="157" t="s">
        <v>184</v>
      </c>
      <c r="P152" s="157" t="s">
        <v>736</v>
      </c>
      <c r="Q152" s="158">
        <f>IF(DATA[[#This Row],[STORAGE FEE]]=0,"NULL",DATA[[#This Row],[COLDROOM FEE]])-DATA[[#This Row],[STORAGE FEE]]</f>
        <v>0</v>
      </c>
      <c r="R152" s="158">
        <f>IF(ISBLANK(DATA[[#This Row],[DISCHARGE DATE]]),0,IF(DATA[[#This Row],[TYPE]]="VIP",20*DATA[[#This Row],[STORAGE DAYS]],13*DATA[[#This Row],[STORAGE DAYS]]))</f>
        <v>2180</v>
      </c>
      <c r="S152" s="71" t="str">
        <f>IF(ISBLANK(DATA[[#This Row],[COLDROOM RECEIPT]]), "IN CUSTODY", "DISCHARGED")</f>
        <v>DISCHARGED</v>
      </c>
      <c r="T152" s="58">
        <f>COUNTA(A:A)-2</f>
        <v>419</v>
      </c>
      <c r="U152" s="59">
        <f>YEAR(DATA[[#This Row],[ADMISSION DATE]])</f>
        <v>2025</v>
      </c>
      <c r="V152" s="60" t="str">
        <f>TEXT(DATA[[#This Row],[ADMISSION DATE]],"mmm")</f>
        <v>Jun</v>
      </c>
      <c r="W152" s="59">
        <f>YEAR(DATA[[#This Row],[DISCHARGE DATE]])</f>
        <v>2025</v>
      </c>
      <c r="X152" s="60" t="str">
        <f>TEXT(DATA[[#This Row],[DISCHARGE DATE]],"mmm")</f>
        <v>Sep</v>
      </c>
    </row>
    <row r="153" spans="1:24" s="27" customFormat="1" ht="19.5" hidden="1">
      <c r="A153" s="152" t="s">
        <v>737</v>
      </c>
      <c r="B153" s="151" t="s">
        <v>738</v>
      </c>
      <c r="C153" s="151">
        <v>80</v>
      </c>
      <c r="D153" s="152" t="s">
        <v>12</v>
      </c>
      <c r="E153" s="152" t="s">
        <v>739</v>
      </c>
      <c r="F153" s="153">
        <v>244736149</v>
      </c>
      <c r="G153" s="152" t="s">
        <v>13</v>
      </c>
      <c r="H153" s="154">
        <v>0.55069444444444449</v>
      </c>
      <c r="I153" s="152" t="s">
        <v>20</v>
      </c>
      <c r="J153" s="155">
        <v>45813</v>
      </c>
      <c r="K153" s="155">
        <v>45989</v>
      </c>
      <c r="L153" s="151">
        <f>IF(ISBLANK(DATA[[#This Row],[DISCHARGE DATE]]),"NO DATE", DATA[[#This Row],[DISCHARGE DATE]]-DATA[[#This Row],[ADMISSION DATE]]+1)</f>
        <v>177</v>
      </c>
      <c r="M153" s="156">
        <v>350</v>
      </c>
      <c r="N153" s="156">
        <v>3540</v>
      </c>
      <c r="O153" s="157" t="s">
        <v>440</v>
      </c>
      <c r="P153" s="157" t="s">
        <v>740</v>
      </c>
      <c r="Q153" s="158">
        <f>IF(DATA[[#This Row],[STORAGE FEE]]=0,"NULL",DATA[[#This Row],[COLDROOM FEE]])-DATA[[#This Row],[STORAGE FEE]]</f>
        <v>0</v>
      </c>
      <c r="R153" s="158">
        <f>IF(ISBLANK(DATA[[#This Row],[DISCHARGE DATE]]),0,IF(DATA[[#This Row],[TYPE]]="VIP",20*DATA[[#This Row],[STORAGE DAYS]],13*DATA[[#This Row],[STORAGE DAYS]]))</f>
        <v>3540</v>
      </c>
      <c r="S153" s="71" t="str">
        <f>IF(ISBLANK(DATA[[#This Row],[COLDROOM RECEIPT]]), "IN CUSTODY", "DISCHARGED")</f>
        <v>DISCHARGED</v>
      </c>
      <c r="T153" s="58">
        <f>COUNTA(A:A)-2</f>
        <v>419</v>
      </c>
      <c r="U153" s="59">
        <f>YEAR(DATA[[#This Row],[ADMISSION DATE]])</f>
        <v>2025</v>
      </c>
      <c r="V153" s="60" t="str">
        <f>TEXT(DATA[[#This Row],[ADMISSION DATE]],"mmm")</f>
        <v>Jun</v>
      </c>
      <c r="W153" s="59">
        <f>YEAR(DATA[[#This Row],[DISCHARGE DATE]])</f>
        <v>2025</v>
      </c>
      <c r="X153" s="60" t="str">
        <f>TEXT(DATA[[#This Row],[DISCHARGE DATE]],"mmm")</f>
        <v>Nov</v>
      </c>
    </row>
    <row r="154" spans="1:24" s="27" customFormat="1" ht="19.5" hidden="1">
      <c r="A154" s="152" t="s">
        <v>741</v>
      </c>
      <c r="B154" s="151" t="s">
        <v>742</v>
      </c>
      <c r="C154" s="151">
        <v>90</v>
      </c>
      <c r="D154" s="152" t="s">
        <v>12</v>
      </c>
      <c r="E154" s="152" t="s">
        <v>743</v>
      </c>
      <c r="F154" s="153">
        <v>242115652</v>
      </c>
      <c r="G154" s="152" t="s">
        <v>13</v>
      </c>
      <c r="H154" s="154">
        <v>0.4375</v>
      </c>
      <c r="I154" s="152" t="s">
        <v>18</v>
      </c>
      <c r="J154" s="155">
        <v>45814</v>
      </c>
      <c r="K154" s="155">
        <v>45933</v>
      </c>
      <c r="L154" s="151">
        <f>IF(ISBLANK(DATA[[#This Row],[DISCHARGE DATE]]),"NO DATE", DATA[[#This Row],[DISCHARGE DATE]]-DATA[[#This Row],[ADMISSION DATE]]+1)</f>
        <v>120</v>
      </c>
      <c r="M154" s="156">
        <v>350</v>
      </c>
      <c r="N154" s="156">
        <v>1560</v>
      </c>
      <c r="O154" s="157" t="s">
        <v>382</v>
      </c>
      <c r="P154" s="157" t="s">
        <v>744</v>
      </c>
      <c r="Q154" s="158">
        <f>IF(DATA[[#This Row],[STORAGE FEE]]=0,"NULL",DATA[[#This Row],[COLDROOM FEE]])-DATA[[#This Row],[STORAGE FEE]]</f>
        <v>0</v>
      </c>
      <c r="R154" s="158">
        <f>IF(ISBLANK(DATA[[#This Row],[DISCHARGE DATE]]),0,IF(DATA[[#This Row],[TYPE]]="VIP",20*DATA[[#This Row],[STORAGE DAYS]],13*DATA[[#This Row],[STORAGE DAYS]]))</f>
        <v>1560</v>
      </c>
      <c r="S154" s="71" t="str">
        <f>IF(ISBLANK(DATA[[#This Row],[COLDROOM RECEIPT]]), "IN CUSTODY", "DISCHARGED")</f>
        <v>DISCHARGED</v>
      </c>
      <c r="T154" s="58">
        <f>COUNTA(A:A)-2</f>
        <v>419</v>
      </c>
      <c r="U154" s="59">
        <f>YEAR(DATA[[#This Row],[ADMISSION DATE]])</f>
        <v>2025</v>
      </c>
      <c r="V154" s="60" t="str">
        <f>TEXT(DATA[[#This Row],[ADMISSION DATE]],"mmm")</f>
        <v>Jun</v>
      </c>
      <c r="W154" s="59">
        <f>YEAR(DATA[[#This Row],[DISCHARGE DATE]])</f>
        <v>2025</v>
      </c>
      <c r="X154" s="60" t="str">
        <f>TEXT(DATA[[#This Row],[DISCHARGE DATE]],"mmm")</f>
        <v>Oct</v>
      </c>
    </row>
    <row r="155" spans="1:24" s="27" customFormat="1" ht="19.5" hidden="1">
      <c r="A155" s="152" t="s">
        <v>745</v>
      </c>
      <c r="B155" s="151" t="s">
        <v>746</v>
      </c>
      <c r="C155" s="151">
        <v>80</v>
      </c>
      <c r="D155" s="152" t="s">
        <v>12</v>
      </c>
      <c r="E155" s="152" t="s">
        <v>747</v>
      </c>
      <c r="F155" s="153">
        <v>548459710</v>
      </c>
      <c r="G155" s="152" t="s">
        <v>13</v>
      </c>
      <c r="H155" s="154">
        <v>0.29166666666666669</v>
      </c>
      <c r="I155" s="152" t="s">
        <v>18</v>
      </c>
      <c r="J155" s="155">
        <v>45815</v>
      </c>
      <c r="K155" s="155">
        <v>45959</v>
      </c>
      <c r="L155" s="151">
        <f>IF(ISBLANK(DATA[[#This Row],[DISCHARGE DATE]]),"NO DATE", DATA[[#This Row],[DISCHARGE DATE]]-DATA[[#This Row],[ADMISSION DATE]]+1)</f>
        <v>145</v>
      </c>
      <c r="M155" s="156">
        <v>350</v>
      </c>
      <c r="N155" s="156">
        <v>1885</v>
      </c>
      <c r="O155" s="157" t="s">
        <v>595</v>
      </c>
      <c r="P155" s="157" t="s">
        <v>748</v>
      </c>
      <c r="Q155" s="158">
        <f>IF(DATA[[#This Row],[STORAGE FEE]]=0,"NULL",DATA[[#This Row],[COLDROOM FEE]])-DATA[[#This Row],[STORAGE FEE]]</f>
        <v>0</v>
      </c>
      <c r="R155" s="158">
        <f>IF(ISBLANK(DATA[[#This Row],[DISCHARGE DATE]]),0,IF(DATA[[#This Row],[TYPE]]="VIP",20*DATA[[#This Row],[STORAGE DAYS]],13*DATA[[#This Row],[STORAGE DAYS]]))</f>
        <v>1885</v>
      </c>
      <c r="S155" s="71" t="str">
        <f>IF(ISBLANK(DATA[[#This Row],[COLDROOM RECEIPT]]), "IN CUSTODY", "DISCHARGED")</f>
        <v>DISCHARGED</v>
      </c>
      <c r="T155" s="58">
        <f>COUNTA(A:A)-2</f>
        <v>419</v>
      </c>
      <c r="U155" s="59">
        <f>YEAR(DATA[[#This Row],[ADMISSION DATE]])</f>
        <v>2025</v>
      </c>
      <c r="V155" s="60" t="str">
        <f>TEXT(DATA[[#This Row],[ADMISSION DATE]],"mmm")</f>
        <v>Jun</v>
      </c>
      <c r="W155" s="59">
        <f>YEAR(DATA[[#This Row],[DISCHARGE DATE]])</f>
        <v>2025</v>
      </c>
      <c r="X155" s="60" t="str">
        <f>TEXT(DATA[[#This Row],[DISCHARGE DATE]],"mmm")</f>
        <v>Oct</v>
      </c>
    </row>
    <row r="156" spans="1:24" s="27" customFormat="1" ht="19.5" hidden="1">
      <c r="A156" s="152" t="s">
        <v>749</v>
      </c>
      <c r="B156" s="151" t="s">
        <v>750</v>
      </c>
      <c r="C156" s="151">
        <v>41</v>
      </c>
      <c r="D156" s="152" t="s">
        <v>11</v>
      </c>
      <c r="E156" s="152" t="s">
        <v>751</v>
      </c>
      <c r="F156" s="153">
        <v>244256288</v>
      </c>
      <c r="G156" s="152" t="s">
        <v>15</v>
      </c>
      <c r="H156" s="154">
        <v>0.72916666666666663</v>
      </c>
      <c r="I156" s="152" t="s">
        <v>18</v>
      </c>
      <c r="J156" s="155">
        <v>45817</v>
      </c>
      <c r="K156" s="155">
        <v>45898</v>
      </c>
      <c r="L156" s="151">
        <f>IF(ISBLANK(DATA[[#This Row],[DISCHARGE DATE]]),"NO DATE", DATA[[#This Row],[DISCHARGE DATE]]-DATA[[#This Row],[ADMISSION DATE]]+1)</f>
        <v>82</v>
      </c>
      <c r="M156" s="156">
        <v>350</v>
      </c>
      <c r="N156" s="156">
        <v>1066</v>
      </c>
      <c r="O156" s="157" t="s">
        <v>752</v>
      </c>
      <c r="P156" s="157" t="s">
        <v>753</v>
      </c>
      <c r="Q156" s="158">
        <f>IF(DATA[[#This Row],[STORAGE FEE]]=0,"NULL",DATA[[#This Row],[COLDROOM FEE]])-DATA[[#This Row],[STORAGE FEE]]</f>
        <v>0</v>
      </c>
      <c r="R156" s="158">
        <f>IF(ISBLANK(DATA[[#This Row],[DISCHARGE DATE]]),0,IF(DATA[[#This Row],[TYPE]]="VIP",20*DATA[[#This Row],[STORAGE DAYS]],13*DATA[[#This Row],[STORAGE DAYS]]))</f>
        <v>1066</v>
      </c>
      <c r="S156" s="71" t="str">
        <f>IF(ISBLANK(DATA[[#This Row],[COLDROOM RECEIPT]]), "IN CUSTODY", "DISCHARGED")</f>
        <v>DISCHARGED</v>
      </c>
      <c r="T156" s="58">
        <f>COUNTA(A:A)-2</f>
        <v>419</v>
      </c>
      <c r="U156" s="59">
        <f>YEAR(DATA[[#This Row],[ADMISSION DATE]])</f>
        <v>2025</v>
      </c>
      <c r="V156" s="60" t="str">
        <f>TEXT(DATA[[#This Row],[ADMISSION DATE]],"mmm")</f>
        <v>Jun</v>
      </c>
      <c r="W156" s="59">
        <f>YEAR(DATA[[#This Row],[DISCHARGE DATE]])</f>
        <v>2025</v>
      </c>
      <c r="X156" s="60" t="str">
        <f>TEXT(DATA[[#This Row],[DISCHARGE DATE]],"mmm")</f>
        <v>Aug</v>
      </c>
    </row>
    <row r="157" spans="1:24" s="27" customFormat="1" ht="19.5" hidden="1">
      <c r="A157" s="152" t="s">
        <v>754</v>
      </c>
      <c r="B157" s="151" t="s">
        <v>755</v>
      </c>
      <c r="C157" s="151">
        <v>70</v>
      </c>
      <c r="D157" s="152" t="s">
        <v>12</v>
      </c>
      <c r="E157" s="152" t="s">
        <v>756</v>
      </c>
      <c r="F157" s="153">
        <v>245765663</v>
      </c>
      <c r="G157" s="152" t="s">
        <v>17</v>
      </c>
      <c r="H157" s="154">
        <v>45818</v>
      </c>
      <c r="I157" s="152" t="s">
        <v>18</v>
      </c>
      <c r="J157" s="155">
        <v>45818</v>
      </c>
      <c r="K157" s="155">
        <v>45954</v>
      </c>
      <c r="L157" s="151">
        <f>IF(ISBLANK(DATA[[#This Row],[DISCHARGE DATE]]),"NO DATE", DATA[[#This Row],[DISCHARGE DATE]]-DATA[[#This Row],[ADMISSION DATE]]+1)</f>
        <v>137</v>
      </c>
      <c r="M157" s="156">
        <v>350</v>
      </c>
      <c r="N157" s="156">
        <v>1781</v>
      </c>
      <c r="O157" s="157" t="s">
        <v>757</v>
      </c>
      <c r="P157" s="157" t="s">
        <v>758</v>
      </c>
      <c r="Q157" s="158">
        <f>IF(DATA[[#This Row],[STORAGE FEE]]=0,"NULL",DATA[[#This Row],[COLDROOM FEE]])-DATA[[#This Row],[STORAGE FEE]]</f>
        <v>0</v>
      </c>
      <c r="R157" s="158">
        <f>IF(ISBLANK(DATA[[#This Row],[DISCHARGE DATE]]),0,IF(DATA[[#This Row],[TYPE]]="VIP",20*DATA[[#This Row],[STORAGE DAYS]],13*DATA[[#This Row],[STORAGE DAYS]]))</f>
        <v>1781</v>
      </c>
      <c r="S157" s="71" t="str">
        <f>IF(ISBLANK(DATA[[#This Row],[COLDROOM RECEIPT]]), "IN CUSTODY", "DISCHARGED")</f>
        <v>DISCHARGED</v>
      </c>
      <c r="T157" s="58">
        <f>COUNTA(A:A)-2</f>
        <v>419</v>
      </c>
      <c r="U157" s="59">
        <f>YEAR(DATA[[#This Row],[ADMISSION DATE]])</f>
        <v>2025</v>
      </c>
      <c r="V157" s="60" t="str">
        <f>TEXT(DATA[[#This Row],[ADMISSION DATE]],"mmm")</f>
        <v>Jun</v>
      </c>
      <c r="W157" s="59">
        <f>YEAR(DATA[[#This Row],[DISCHARGE DATE]])</f>
        <v>2025</v>
      </c>
      <c r="X157" s="60" t="str">
        <f>TEXT(DATA[[#This Row],[DISCHARGE DATE]],"mmm")</f>
        <v>Oct</v>
      </c>
    </row>
    <row r="158" spans="1:24" s="27" customFormat="1" ht="19.5" hidden="1">
      <c r="A158" s="152" t="s">
        <v>759</v>
      </c>
      <c r="B158" s="151" t="s">
        <v>760</v>
      </c>
      <c r="C158" s="151">
        <v>90</v>
      </c>
      <c r="D158" s="152" t="s">
        <v>12</v>
      </c>
      <c r="E158" s="152" t="s">
        <v>761</v>
      </c>
      <c r="F158" s="153">
        <v>240937182</v>
      </c>
      <c r="G158" s="152" t="s">
        <v>13</v>
      </c>
      <c r="H158" s="154">
        <v>0.53125</v>
      </c>
      <c r="I158" s="152" t="s">
        <v>18</v>
      </c>
      <c r="J158" s="155">
        <v>45818</v>
      </c>
      <c r="K158" s="155">
        <v>45898</v>
      </c>
      <c r="L158" s="151">
        <f>IF(ISBLANK(DATA[[#This Row],[DISCHARGE DATE]]),"NO DATE", DATA[[#This Row],[DISCHARGE DATE]]-DATA[[#This Row],[ADMISSION DATE]]+1)</f>
        <v>81</v>
      </c>
      <c r="M158" s="156">
        <v>350</v>
      </c>
      <c r="N158" s="156">
        <v>1053</v>
      </c>
      <c r="O158" s="157" t="s">
        <v>590</v>
      </c>
      <c r="P158" s="157" t="s">
        <v>762</v>
      </c>
      <c r="Q158" s="158">
        <f>IF(DATA[[#This Row],[STORAGE FEE]]=0,"NULL",DATA[[#This Row],[COLDROOM FEE]])-DATA[[#This Row],[STORAGE FEE]]</f>
        <v>0</v>
      </c>
      <c r="R158" s="158">
        <f>IF(ISBLANK(DATA[[#This Row],[DISCHARGE DATE]]),0,IF(DATA[[#This Row],[TYPE]]="VIP",20*DATA[[#This Row],[STORAGE DAYS]],13*DATA[[#This Row],[STORAGE DAYS]]))</f>
        <v>1053</v>
      </c>
      <c r="S158" s="71" t="str">
        <f>IF(ISBLANK(DATA[[#This Row],[COLDROOM RECEIPT]]), "IN CUSTODY", "DISCHARGED")</f>
        <v>DISCHARGED</v>
      </c>
      <c r="T158" s="58">
        <f>COUNTA(A:A)-2</f>
        <v>419</v>
      </c>
      <c r="U158" s="59">
        <f>YEAR(DATA[[#This Row],[ADMISSION DATE]])</f>
        <v>2025</v>
      </c>
      <c r="V158" s="60" t="str">
        <f>TEXT(DATA[[#This Row],[ADMISSION DATE]],"mmm")</f>
        <v>Jun</v>
      </c>
      <c r="W158" s="59">
        <f>YEAR(DATA[[#This Row],[DISCHARGE DATE]])</f>
        <v>2025</v>
      </c>
      <c r="X158" s="60" t="str">
        <f>TEXT(DATA[[#This Row],[DISCHARGE DATE]],"mmm")</f>
        <v>Aug</v>
      </c>
    </row>
    <row r="159" spans="1:24" s="27" customFormat="1" ht="19.5" hidden="1">
      <c r="A159" s="152" t="s">
        <v>763</v>
      </c>
      <c r="B159" s="151" t="s">
        <v>764</v>
      </c>
      <c r="C159" s="151">
        <v>55</v>
      </c>
      <c r="D159" s="152" t="s">
        <v>11</v>
      </c>
      <c r="E159" s="152" t="s">
        <v>765</v>
      </c>
      <c r="F159" s="153">
        <v>248113292</v>
      </c>
      <c r="G159" s="152" t="s">
        <v>13</v>
      </c>
      <c r="H159" s="154">
        <v>0.80208333333333337</v>
      </c>
      <c r="I159" s="152" t="s">
        <v>18</v>
      </c>
      <c r="J159" s="155">
        <v>45820</v>
      </c>
      <c r="K159" s="155">
        <v>45961</v>
      </c>
      <c r="L159" s="151">
        <f>IF(ISBLANK(DATA[[#This Row],[DISCHARGE DATE]]),"NO DATE", DATA[[#This Row],[DISCHARGE DATE]]-DATA[[#This Row],[ADMISSION DATE]]+1)</f>
        <v>142</v>
      </c>
      <c r="M159" s="156">
        <v>350</v>
      </c>
      <c r="N159" s="156">
        <v>1846</v>
      </c>
      <c r="O159" s="157" t="s">
        <v>533</v>
      </c>
      <c r="P159" s="157" t="s">
        <v>766</v>
      </c>
      <c r="Q159" s="158">
        <f>IF(DATA[[#This Row],[STORAGE FEE]]=0,"NULL",DATA[[#This Row],[COLDROOM FEE]])-DATA[[#This Row],[STORAGE FEE]]</f>
        <v>0</v>
      </c>
      <c r="R159" s="158">
        <f>IF(ISBLANK(DATA[[#This Row],[DISCHARGE DATE]]),0,IF(DATA[[#This Row],[TYPE]]="VIP",20*DATA[[#This Row],[STORAGE DAYS]],13*DATA[[#This Row],[STORAGE DAYS]]))</f>
        <v>1846</v>
      </c>
      <c r="S159" s="71" t="str">
        <f>IF(ISBLANK(DATA[[#This Row],[COLDROOM RECEIPT]]), "IN CUSTODY", "DISCHARGED")</f>
        <v>DISCHARGED</v>
      </c>
      <c r="T159" s="58">
        <f>COUNTA(A:A)-2</f>
        <v>419</v>
      </c>
      <c r="U159" s="59">
        <f>YEAR(DATA[[#This Row],[ADMISSION DATE]])</f>
        <v>2025</v>
      </c>
      <c r="V159" s="60" t="str">
        <f>TEXT(DATA[[#This Row],[ADMISSION DATE]],"mmm")</f>
        <v>Jun</v>
      </c>
      <c r="W159" s="59">
        <f>YEAR(DATA[[#This Row],[DISCHARGE DATE]])</f>
        <v>2025</v>
      </c>
      <c r="X159" s="60" t="str">
        <f>TEXT(DATA[[#This Row],[DISCHARGE DATE]],"mmm")</f>
        <v>Oct</v>
      </c>
    </row>
    <row r="160" spans="1:24" s="27" customFormat="1" ht="19.5" hidden="1">
      <c r="A160" s="152" t="s">
        <v>767</v>
      </c>
      <c r="B160" s="151" t="s">
        <v>768</v>
      </c>
      <c r="C160" s="151">
        <v>87</v>
      </c>
      <c r="D160" s="152" t="s">
        <v>11</v>
      </c>
      <c r="E160" s="152" t="s">
        <v>545</v>
      </c>
      <c r="F160" s="153">
        <v>242122292</v>
      </c>
      <c r="G160" s="152" t="s">
        <v>13</v>
      </c>
      <c r="H160" s="154">
        <v>0.56944444444444442</v>
      </c>
      <c r="I160" s="152" t="s">
        <v>18</v>
      </c>
      <c r="J160" s="155">
        <v>45822</v>
      </c>
      <c r="K160" s="155">
        <v>46143</v>
      </c>
      <c r="L160" s="151">
        <f>IF(ISBLANK(DATA[[#This Row],[DISCHARGE DATE]]),"NO DATE", DATA[[#This Row],[DISCHARGE DATE]]-DATA[[#This Row],[ADMISSION DATE]]+1)</f>
        <v>322</v>
      </c>
      <c r="M160" s="156">
        <v>350</v>
      </c>
      <c r="N160" s="156">
        <v>4186</v>
      </c>
      <c r="O160" s="157" t="s">
        <v>769</v>
      </c>
      <c r="P160" s="157">
        <v>294</v>
      </c>
      <c r="Q160" s="158">
        <f>IF(DATA[[#This Row],[STORAGE FEE]]=0,"NULL",DATA[[#This Row],[COLDROOM FEE]])-DATA[[#This Row],[STORAGE FEE]]</f>
        <v>0</v>
      </c>
      <c r="R160" s="158">
        <f>IF(ISBLANK(DATA[[#This Row],[DISCHARGE DATE]]),0,IF(DATA[[#This Row],[TYPE]]="VIP",20*DATA[[#This Row],[STORAGE DAYS]],13*DATA[[#This Row],[STORAGE DAYS]]))</f>
        <v>4186</v>
      </c>
      <c r="S160" s="71" t="str">
        <f>IF(ISBLANK(DATA[[#This Row],[COLDROOM RECEIPT]]), "IN CUSTODY", "DISCHARGED")</f>
        <v>DISCHARGED</v>
      </c>
      <c r="T160" s="58">
        <f>COUNTA(A:A)-2</f>
        <v>419</v>
      </c>
      <c r="U160" s="59">
        <f>YEAR(DATA[[#This Row],[ADMISSION DATE]])</f>
        <v>2025</v>
      </c>
      <c r="V160" s="60" t="str">
        <f>TEXT(DATA[[#This Row],[ADMISSION DATE]],"mmm")</f>
        <v>Jun</v>
      </c>
      <c r="W160" s="59">
        <f>YEAR(DATA[[#This Row],[DISCHARGE DATE]])</f>
        <v>2026</v>
      </c>
      <c r="X160" s="60" t="str">
        <f>TEXT(DATA[[#This Row],[DISCHARGE DATE]],"mmm")</f>
        <v>May</v>
      </c>
    </row>
    <row r="161" spans="1:24" s="27" customFormat="1" ht="19.5" hidden="1">
      <c r="A161" s="152" t="s">
        <v>770</v>
      </c>
      <c r="B161" s="151" t="s">
        <v>771</v>
      </c>
      <c r="C161" s="151">
        <v>50</v>
      </c>
      <c r="D161" s="152" t="s">
        <v>11</v>
      </c>
      <c r="E161" s="152" t="s">
        <v>772</v>
      </c>
      <c r="F161" s="153">
        <v>248632476</v>
      </c>
      <c r="G161" s="152" t="s">
        <v>13</v>
      </c>
      <c r="H161" s="154">
        <v>0.45833333333333331</v>
      </c>
      <c r="I161" s="152" t="s">
        <v>20</v>
      </c>
      <c r="J161" s="155">
        <v>45824</v>
      </c>
      <c r="K161" s="155">
        <v>45898</v>
      </c>
      <c r="L161" s="151">
        <f>IF(ISBLANK(DATA[[#This Row],[DISCHARGE DATE]]),"NO DATE", DATA[[#This Row],[DISCHARGE DATE]]-DATA[[#This Row],[ADMISSION DATE]]+1)</f>
        <v>75</v>
      </c>
      <c r="M161" s="156">
        <v>350</v>
      </c>
      <c r="N161" s="156">
        <v>1500</v>
      </c>
      <c r="O161" s="157" t="s">
        <v>556</v>
      </c>
      <c r="P161" s="157" t="s">
        <v>773</v>
      </c>
      <c r="Q161" s="158">
        <f>IF(DATA[[#This Row],[STORAGE FEE]]=0,"NULL",DATA[[#This Row],[COLDROOM FEE]])-DATA[[#This Row],[STORAGE FEE]]</f>
        <v>0</v>
      </c>
      <c r="R161" s="158">
        <f>IF(ISBLANK(DATA[[#This Row],[DISCHARGE DATE]]),0,IF(DATA[[#This Row],[TYPE]]="VIP",20*DATA[[#This Row],[STORAGE DAYS]],13*DATA[[#This Row],[STORAGE DAYS]]))</f>
        <v>1500</v>
      </c>
      <c r="S161" s="71" t="str">
        <f>IF(ISBLANK(DATA[[#This Row],[COLDROOM RECEIPT]]), "IN CUSTODY", "DISCHARGED")</f>
        <v>DISCHARGED</v>
      </c>
      <c r="T161" s="58">
        <f>COUNTA(A:A)-2</f>
        <v>419</v>
      </c>
      <c r="U161" s="59">
        <f>YEAR(DATA[[#This Row],[ADMISSION DATE]])</f>
        <v>2025</v>
      </c>
      <c r="V161" s="60" t="str">
        <f>TEXT(DATA[[#This Row],[ADMISSION DATE]],"mmm")</f>
        <v>Jun</v>
      </c>
      <c r="W161" s="59">
        <f>YEAR(DATA[[#This Row],[DISCHARGE DATE]])</f>
        <v>2025</v>
      </c>
      <c r="X161" s="60" t="str">
        <f>TEXT(DATA[[#This Row],[DISCHARGE DATE]],"mmm")</f>
        <v>Aug</v>
      </c>
    </row>
    <row r="162" spans="1:24" s="27" customFormat="1" ht="19.5" hidden="1">
      <c r="A162" s="152" t="s">
        <v>774</v>
      </c>
      <c r="B162" s="151" t="s">
        <v>775</v>
      </c>
      <c r="C162" s="151">
        <v>74</v>
      </c>
      <c r="D162" s="152" t="s">
        <v>12</v>
      </c>
      <c r="E162" s="152" t="s">
        <v>776</v>
      </c>
      <c r="F162" s="153">
        <v>257082636</v>
      </c>
      <c r="G162" s="152" t="s">
        <v>16</v>
      </c>
      <c r="H162" s="154">
        <v>0.35416666666666669</v>
      </c>
      <c r="I162" s="152" t="s">
        <v>18</v>
      </c>
      <c r="J162" s="155">
        <v>45827</v>
      </c>
      <c r="K162" s="155">
        <v>45864</v>
      </c>
      <c r="L162" s="151">
        <f>IF(ISBLANK(DATA[[#This Row],[DISCHARGE DATE]]),"NO DATE", DATA[[#This Row],[DISCHARGE DATE]]-DATA[[#This Row],[ADMISSION DATE]]+1)</f>
        <v>38</v>
      </c>
      <c r="M162" s="156">
        <v>350</v>
      </c>
      <c r="N162" s="156">
        <v>494</v>
      </c>
      <c r="O162" s="157" t="s">
        <v>656</v>
      </c>
      <c r="P162" s="157" t="s">
        <v>777</v>
      </c>
      <c r="Q162" s="158">
        <f>IF(DATA[[#This Row],[STORAGE FEE]]=0,"NULL",DATA[[#This Row],[COLDROOM FEE]])-DATA[[#This Row],[STORAGE FEE]]</f>
        <v>0</v>
      </c>
      <c r="R162" s="158">
        <f>IF(ISBLANK(DATA[[#This Row],[DISCHARGE DATE]]),0,IF(DATA[[#This Row],[TYPE]]="VIP",20*DATA[[#This Row],[STORAGE DAYS]],13*DATA[[#This Row],[STORAGE DAYS]]))</f>
        <v>494</v>
      </c>
      <c r="S162" s="71" t="str">
        <f>IF(ISBLANK(DATA[[#This Row],[COLDROOM RECEIPT]]), "IN CUSTODY", "DISCHARGED")</f>
        <v>DISCHARGED</v>
      </c>
      <c r="T162" s="58">
        <f>COUNTA(A:A)-2</f>
        <v>419</v>
      </c>
      <c r="U162" s="59">
        <f>YEAR(DATA[[#This Row],[ADMISSION DATE]])</f>
        <v>2025</v>
      </c>
      <c r="V162" s="60" t="str">
        <f>TEXT(DATA[[#This Row],[ADMISSION DATE]],"mmm")</f>
        <v>Jun</v>
      </c>
      <c r="W162" s="59">
        <f>YEAR(DATA[[#This Row],[DISCHARGE DATE]])</f>
        <v>2025</v>
      </c>
      <c r="X162" s="60" t="str">
        <f>TEXT(DATA[[#This Row],[DISCHARGE DATE]],"mmm")</f>
        <v>Jul</v>
      </c>
    </row>
    <row r="163" spans="1:24" s="27" customFormat="1" ht="19.5" hidden="1">
      <c r="A163" s="152" t="s">
        <v>778</v>
      </c>
      <c r="B163" s="151" t="s">
        <v>779</v>
      </c>
      <c r="C163" s="151">
        <v>60</v>
      </c>
      <c r="D163" s="152" t="s">
        <v>11</v>
      </c>
      <c r="E163" s="152" t="s">
        <v>780</v>
      </c>
      <c r="F163" s="153">
        <v>248145638</v>
      </c>
      <c r="G163" s="152" t="s">
        <v>13</v>
      </c>
      <c r="H163" s="154">
        <v>0.4375</v>
      </c>
      <c r="I163" s="152" t="s">
        <v>18</v>
      </c>
      <c r="J163" s="155">
        <v>45827</v>
      </c>
      <c r="K163" s="155">
        <v>45933</v>
      </c>
      <c r="L163" s="151">
        <f>IF(ISBLANK(DATA[[#This Row],[DISCHARGE DATE]]),"NO DATE", DATA[[#This Row],[DISCHARGE DATE]]-DATA[[#This Row],[ADMISSION DATE]]+1)</f>
        <v>107</v>
      </c>
      <c r="M163" s="156">
        <v>350</v>
      </c>
      <c r="N163" s="156">
        <v>1391</v>
      </c>
      <c r="O163" s="157" t="s">
        <v>719</v>
      </c>
      <c r="P163" s="157" t="s">
        <v>781</v>
      </c>
      <c r="Q163" s="158">
        <f>IF(DATA[[#This Row],[STORAGE FEE]]=0,"NULL",DATA[[#This Row],[COLDROOM FEE]])-DATA[[#This Row],[STORAGE FEE]]</f>
        <v>0</v>
      </c>
      <c r="R163" s="158">
        <f>IF(ISBLANK(DATA[[#This Row],[DISCHARGE DATE]]),0,IF(DATA[[#This Row],[TYPE]]="VIP",20*DATA[[#This Row],[STORAGE DAYS]],13*DATA[[#This Row],[STORAGE DAYS]]))</f>
        <v>1391</v>
      </c>
      <c r="S163" s="71" t="str">
        <f>IF(ISBLANK(DATA[[#This Row],[COLDROOM RECEIPT]]), "IN CUSTODY", "DISCHARGED")</f>
        <v>DISCHARGED</v>
      </c>
      <c r="T163" s="58">
        <f>COUNTA(A:A)-2</f>
        <v>419</v>
      </c>
      <c r="U163" s="59">
        <f>YEAR(DATA[[#This Row],[ADMISSION DATE]])</f>
        <v>2025</v>
      </c>
      <c r="V163" s="60" t="str">
        <f>TEXT(DATA[[#This Row],[ADMISSION DATE]],"mmm")</f>
        <v>Jun</v>
      </c>
      <c r="W163" s="59">
        <f>YEAR(DATA[[#This Row],[DISCHARGE DATE]])</f>
        <v>2025</v>
      </c>
      <c r="X163" s="60" t="str">
        <f>TEXT(DATA[[#This Row],[DISCHARGE DATE]],"mmm")</f>
        <v>Oct</v>
      </c>
    </row>
    <row r="164" spans="1:24" s="27" customFormat="1" ht="19.5" hidden="1">
      <c r="A164" s="152" t="s">
        <v>782</v>
      </c>
      <c r="B164" s="151" t="s">
        <v>783</v>
      </c>
      <c r="C164" s="151">
        <v>55</v>
      </c>
      <c r="D164" s="152" t="s">
        <v>12</v>
      </c>
      <c r="E164" s="152" t="s">
        <v>784</v>
      </c>
      <c r="F164" s="153">
        <v>594386555</v>
      </c>
      <c r="G164" s="152" t="s">
        <v>13</v>
      </c>
      <c r="H164" s="154">
        <v>0.52777777777777779</v>
      </c>
      <c r="I164" s="152" t="s">
        <v>18</v>
      </c>
      <c r="J164" s="155">
        <v>45827</v>
      </c>
      <c r="K164" s="155">
        <v>45832</v>
      </c>
      <c r="L164" s="151">
        <f>IF(ISBLANK(DATA[[#This Row],[DISCHARGE DATE]]),"NO DATE", DATA[[#This Row],[DISCHARGE DATE]]-DATA[[#This Row],[ADMISSION DATE]]+1)</f>
        <v>6</v>
      </c>
      <c r="M164" s="156">
        <v>350</v>
      </c>
      <c r="N164" s="156">
        <v>78</v>
      </c>
      <c r="O164" s="157" t="s">
        <v>700</v>
      </c>
      <c r="P164" s="157" t="s">
        <v>757</v>
      </c>
      <c r="Q164" s="158">
        <f>IF(DATA[[#This Row],[STORAGE FEE]]=0,"NULL",DATA[[#This Row],[COLDROOM FEE]])-DATA[[#This Row],[STORAGE FEE]]</f>
        <v>0</v>
      </c>
      <c r="R164" s="158">
        <f>IF(ISBLANK(DATA[[#This Row],[DISCHARGE DATE]]),0,IF(DATA[[#This Row],[TYPE]]="VIP",20*DATA[[#This Row],[STORAGE DAYS]],13*DATA[[#This Row],[STORAGE DAYS]]))</f>
        <v>78</v>
      </c>
      <c r="S164" s="71" t="str">
        <f>IF(ISBLANK(DATA[[#This Row],[COLDROOM RECEIPT]]), "IN CUSTODY", "DISCHARGED")</f>
        <v>DISCHARGED</v>
      </c>
      <c r="T164" s="58">
        <f>COUNTA(A:A)-2</f>
        <v>419</v>
      </c>
      <c r="U164" s="59">
        <f>YEAR(DATA[[#This Row],[ADMISSION DATE]])</f>
        <v>2025</v>
      </c>
      <c r="V164" s="60" t="str">
        <f>TEXT(DATA[[#This Row],[ADMISSION DATE]],"mmm")</f>
        <v>Jun</v>
      </c>
      <c r="W164" s="59">
        <f>YEAR(DATA[[#This Row],[DISCHARGE DATE]])</f>
        <v>2025</v>
      </c>
      <c r="X164" s="60" t="str">
        <f>TEXT(DATA[[#This Row],[DISCHARGE DATE]],"mmm")</f>
        <v>Jun</v>
      </c>
    </row>
    <row r="165" spans="1:24" s="27" customFormat="1" ht="19.5" hidden="1">
      <c r="A165" s="152" t="s">
        <v>785</v>
      </c>
      <c r="B165" s="151" t="s">
        <v>786</v>
      </c>
      <c r="C165" s="151">
        <v>42</v>
      </c>
      <c r="D165" s="152" t="s">
        <v>11</v>
      </c>
      <c r="E165" s="152" t="s">
        <v>787</v>
      </c>
      <c r="F165" s="153">
        <v>508406180</v>
      </c>
      <c r="G165" s="152" t="s">
        <v>15</v>
      </c>
      <c r="H165" s="154">
        <v>0.60416666666666663</v>
      </c>
      <c r="I165" s="152" t="s">
        <v>18</v>
      </c>
      <c r="J165" s="155">
        <v>45827</v>
      </c>
      <c r="K165" s="155">
        <v>45842</v>
      </c>
      <c r="L165" s="151">
        <f>IF(ISBLANK(DATA[[#This Row],[DISCHARGE DATE]]),"NO DATE", DATA[[#This Row],[DISCHARGE DATE]]-DATA[[#This Row],[ADMISSION DATE]]+1)</f>
        <v>16</v>
      </c>
      <c r="M165" s="156">
        <v>350</v>
      </c>
      <c r="N165" s="156">
        <v>208</v>
      </c>
      <c r="O165" s="157" t="s">
        <v>528</v>
      </c>
      <c r="P165" s="157" t="s">
        <v>788</v>
      </c>
      <c r="Q165" s="158">
        <f>IF(DATA[[#This Row],[STORAGE FEE]]=0,"NULL",DATA[[#This Row],[COLDROOM FEE]])-DATA[[#This Row],[STORAGE FEE]]</f>
        <v>0</v>
      </c>
      <c r="R165" s="158">
        <f>IF(ISBLANK(DATA[[#This Row],[DISCHARGE DATE]]),0,IF(DATA[[#This Row],[TYPE]]="VIP",20*DATA[[#This Row],[STORAGE DAYS]],13*DATA[[#This Row],[STORAGE DAYS]]))</f>
        <v>208</v>
      </c>
      <c r="S165" s="71" t="str">
        <f>IF(ISBLANK(DATA[[#This Row],[COLDROOM RECEIPT]]), "IN CUSTODY", "DISCHARGED")</f>
        <v>DISCHARGED</v>
      </c>
      <c r="T165" s="58">
        <f>COUNTA(A:A)-2</f>
        <v>419</v>
      </c>
      <c r="U165" s="59">
        <f>YEAR(DATA[[#This Row],[ADMISSION DATE]])</f>
        <v>2025</v>
      </c>
      <c r="V165" s="60" t="str">
        <f>TEXT(DATA[[#This Row],[ADMISSION DATE]],"mmm")</f>
        <v>Jun</v>
      </c>
      <c r="W165" s="59">
        <f>YEAR(DATA[[#This Row],[DISCHARGE DATE]])</f>
        <v>2025</v>
      </c>
      <c r="X165" s="60" t="str">
        <f>TEXT(DATA[[#This Row],[DISCHARGE DATE]],"mmm")</f>
        <v>Jul</v>
      </c>
    </row>
    <row r="166" spans="1:24" s="27" customFormat="1" ht="19.5" hidden="1">
      <c r="A166" s="152" t="s">
        <v>789</v>
      </c>
      <c r="B166" s="151" t="s">
        <v>790</v>
      </c>
      <c r="C166" s="151">
        <v>72</v>
      </c>
      <c r="D166" s="152" t="s">
        <v>11</v>
      </c>
      <c r="E166" s="152" t="s">
        <v>791</v>
      </c>
      <c r="F166" s="153">
        <v>242364213</v>
      </c>
      <c r="G166" s="152" t="s">
        <v>49</v>
      </c>
      <c r="H166" s="154">
        <v>0.54166666666666663</v>
      </c>
      <c r="I166" s="152" t="s">
        <v>18</v>
      </c>
      <c r="J166" s="155">
        <v>45830</v>
      </c>
      <c r="K166" s="155">
        <v>45961</v>
      </c>
      <c r="L166" s="151">
        <f>IF(ISBLANK(DATA[[#This Row],[DISCHARGE DATE]]),"NO DATE", DATA[[#This Row],[DISCHARGE DATE]]-DATA[[#This Row],[ADMISSION DATE]]+1)</f>
        <v>132</v>
      </c>
      <c r="M166" s="156">
        <v>350</v>
      </c>
      <c r="N166" s="156">
        <v>1716</v>
      </c>
      <c r="O166" s="157" t="s">
        <v>435</v>
      </c>
      <c r="P166" s="157" t="s">
        <v>792</v>
      </c>
      <c r="Q166" s="158">
        <f>IF(DATA[[#This Row],[STORAGE FEE]]=0,"NULL",DATA[[#This Row],[COLDROOM FEE]])-DATA[[#This Row],[STORAGE FEE]]</f>
        <v>0</v>
      </c>
      <c r="R166" s="158">
        <f>IF(ISBLANK(DATA[[#This Row],[DISCHARGE DATE]]),0,IF(DATA[[#This Row],[TYPE]]="VIP",20*DATA[[#This Row],[STORAGE DAYS]],13*DATA[[#This Row],[STORAGE DAYS]]))</f>
        <v>1716</v>
      </c>
      <c r="S166" s="71" t="str">
        <f>IF(ISBLANK(DATA[[#This Row],[COLDROOM RECEIPT]]), "IN CUSTODY", "DISCHARGED")</f>
        <v>DISCHARGED</v>
      </c>
      <c r="T166" s="58">
        <f>COUNTA(A:A)-2</f>
        <v>419</v>
      </c>
      <c r="U166" s="59">
        <f>YEAR(DATA[[#This Row],[ADMISSION DATE]])</f>
        <v>2025</v>
      </c>
      <c r="V166" s="60" t="str">
        <f>TEXT(DATA[[#This Row],[ADMISSION DATE]],"mmm")</f>
        <v>Jun</v>
      </c>
      <c r="W166" s="59">
        <f>YEAR(DATA[[#This Row],[DISCHARGE DATE]])</f>
        <v>2025</v>
      </c>
      <c r="X166" s="60" t="str">
        <f>TEXT(DATA[[#This Row],[DISCHARGE DATE]],"mmm")</f>
        <v>Oct</v>
      </c>
    </row>
    <row r="167" spans="1:24" s="27" customFormat="1" ht="19.5" hidden="1">
      <c r="A167" s="152" t="s">
        <v>793</v>
      </c>
      <c r="B167" s="151" t="s">
        <v>794</v>
      </c>
      <c r="C167" s="151">
        <v>58</v>
      </c>
      <c r="D167" s="152" t="s">
        <v>11</v>
      </c>
      <c r="E167" s="152" t="s">
        <v>795</v>
      </c>
      <c r="F167" s="153"/>
      <c r="G167" s="152" t="s">
        <v>13</v>
      </c>
      <c r="H167" s="154">
        <v>0.72916666666666663</v>
      </c>
      <c r="I167" s="152" t="s">
        <v>20</v>
      </c>
      <c r="J167" s="155">
        <v>45832</v>
      </c>
      <c r="K167" s="155">
        <v>45933</v>
      </c>
      <c r="L167" s="151">
        <f>IF(ISBLANK(DATA[[#This Row],[DISCHARGE DATE]]),"NO DATE", DATA[[#This Row],[DISCHARGE DATE]]-DATA[[#This Row],[ADMISSION DATE]]+1)</f>
        <v>102</v>
      </c>
      <c r="M167" s="156">
        <v>350</v>
      </c>
      <c r="N167" s="156">
        <v>2040</v>
      </c>
      <c r="O167" s="157" t="s">
        <v>547</v>
      </c>
      <c r="P167" s="157" t="s">
        <v>796</v>
      </c>
      <c r="Q167" s="158">
        <f>IF(DATA[[#This Row],[STORAGE FEE]]=0,"NULL",DATA[[#This Row],[COLDROOM FEE]])-DATA[[#This Row],[STORAGE FEE]]</f>
        <v>0</v>
      </c>
      <c r="R167" s="158">
        <f>IF(ISBLANK(DATA[[#This Row],[DISCHARGE DATE]]),0,IF(DATA[[#This Row],[TYPE]]="VIP",20*DATA[[#This Row],[STORAGE DAYS]],13*DATA[[#This Row],[STORAGE DAYS]]))</f>
        <v>2040</v>
      </c>
      <c r="S167" s="71" t="str">
        <f>IF(ISBLANK(DATA[[#This Row],[COLDROOM RECEIPT]]), "IN CUSTODY", "DISCHARGED")</f>
        <v>DISCHARGED</v>
      </c>
      <c r="T167" s="58">
        <f>COUNTA(A:A)-2</f>
        <v>419</v>
      </c>
      <c r="U167" s="59">
        <f>YEAR(DATA[[#This Row],[ADMISSION DATE]])</f>
        <v>2025</v>
      </c>
      <c r="V167" s="60" t="str">
        <f>TEXT(DATA[[#This Row],[ADMISSION DATE]],"mmm")</f>
        <v>Jun</v>
      </c>
      <c r="W167" s="59">
        <f>YEAR(DATA[[#This Row],[DISCHARGE DATE]])</f>
        <v>2025</v>
      </c>
      <c r="X167" s="60" t="str">
        <f>TEXT(DATA[[#This Row],[DISCHARGE DATE]],"mmm")</f>
        <v>Oct</v>
      </c>
    </row>
    <row r="168" spans="1:24" s="27" customFormat="1" ht="19.5" hidden="1">
      <c r="A168" s="152" t="s">
        <v>797</v>
      </c>
      <c r="B168" s="151" t="s">
        <v>798</v>
      </c>
      <c r="C168" s="151">
        <v>97</v>
      </c>
      <c r="D168" s="152" t="s">
        <v>11</v>
      </c>
      <c r="E168" s="152" t="s">
        <v>799</v>
      </c>
      <c r="F168" s="153"/>
      <c r="G168" s="152" t="s">
        <v>13</v>
      </c>
      <c r="H168" s="154">
        <v>0.47916666666666669</v>
      </c>
      <c r="I168" s="152" t="s">
        <v>18</v>
      </c>
      <c r="J168" s="155">
        <v>45833</v>
      </c>
      <c r="K168" s="155">
        <v>45961</v>
      </c>
      <c r="L168" s="151">
        <f>IF(ISBLANK(DATA[[#This Row],[DISCHARGE DATE]]),"NO DATE", DATA[[#This Row],[DISCHARGE DATE]]-DATA[[#This Row],[ADMISSION DATE]]+1)</f>
        <v>129</v>
      </c>
      <c r="M168" s="156">
        <v>350</v>
      </c>
      <c r="N168" s="156">
        <v>1677</v>
      </c>
      <c r="O168" s="157" t="s">
        <v>374</v>
      </c>
      <c r="P168" s="157" t="s">
        <v>800</v>
      </c>
      <c r="Q168" s="158">
        <f>IF(DATA[[#This Row],[STORAGE FEE]]=0,"NULL",DATA[[#This Row],[COLDROOM FEE]])-DATA[[#This Row],[STORAGE FEE]]</f>
        <v>0</v>
      </c>
      <c r="R168" s="158">
        <f>IF(ISBLANK(DATA[[#This Row],[DISCHARGE DATE]]),0,IF(DATA[[#This Row],[TYPE]]="VIP",20*DATA[[#This Row],[STORAGE DAYS]],13*DATA[[#This Row],[STORAGE DAYS]]))</f>
        <v>1677</v>
      </c>
      <c r="S168" s="71" t="str">
        <f>IF(ISBLANK(DATA[[#This Row],[COLDROOM RECEIPT]]), "IN CUSTODY", "DISCHARGED")</f>
        <v>DISCHARGED</v>
      </c>
      <c r="T168" s="58">
        <f>COUNTA(A:A)-2</f>
        <v>419</v>
      </c>
      <c r="U168" s="59">
        <f>YEAR(DATA[[#This Row],[ADMISSION DATE]])</f>
        <v>2025</v>
      </c>
      <c r="V168" s="60" t="str">
        <f>TEXT(DATA[[#This Row],[ADMISSION DATE]],"mmm")</f>
        <v>Jun</v>
      </c>
      <c r="W168" s="59">
        <f>YEAR(DATA[[#This Row],[DISCHARGE DATE]])</f>
        <v>2025</v>
      </c>
      <c r="X168" s="60" t="str">
        <f>TEXT(DATA[[#This Row],[DISCHARGE DATE]],"mmm")</f>
        <v>Oct</v>
      </c>
    </row>
    <row r="169" spans="1:24" s="27" customFormat="1" ht="19.5" hidden="1">
      <c r="A169" s="152" t="s">
        <v>801</v>
      </c>
      <c r="B169" s="151" t="s">
        <v>802</v>
      </c>
      <c r="C169" s="151">
        <v>82</v>
      </c>
      <c r="D169" s="152" t="s">
        <v>12</v>
      </c>
      <c r="E169" s="152" t="s">
        <v>803</v>
      </c>
      <c r="F169" s="153">
        <v>546675537</v>
      </c>
      <c r="G169" s="152" t="s">
        <v>16</v>
      </c>
      <c r="H169" s="154">
        <v>0.79166666666666663</v>
      </c>
      <c r="I169" s="152" t="s">
        <v>18</v>
      </c>
      <c r="J169" s="155">
        <v>45833</v>
      </c>
      <c r="K169" s="155">
        <v>45960</v>
      </c>
      <c r="L169" s="151">
        <f>IF(ISBLANK(DATA[[#This Row],[DISCHARGE DATE]]),"NO DATE", DATA[[#This Row],[DISCHARGE DATE]]-DATA[[#This Row],[ADMISSION DATE]]+1)</f>
        <v>128</v>
      </c>
      <c r="M169" s="156">
        <v>350</v>
      </c>
      <c r="N169" s="156">
        <v>1664</v>
      </c>
      <c r="O169" s="157" t="s">
        <v>456</v>
      </c>
      <c r="P169" s="157" t="s">
        <v>804</v>
      </c>
      <c r="Q169" s="158">
        <f>IF(DATA[[#This Row],[STORAGE FEE]]=0,"NULL",DATA[[#This Row],[COLDROOM FEE]])-DATA[[#This Row],[STORAGE FEE]]</f>
        <v>0</v>
      </c>
      <c r="R169" s="158">
        <f>IF(ISBLANK(DATA[[#This Row],[DISCHARGE DATE]]),0,IF(DATA[[#This Row],[TYPE]]="VIP",20*DATA[[#This Row],[STORAGE DAYS]],13*DATA[[#This Row],[STORAGE DAYS]]))</f>
        <v>1664</v>
      </c>
      <c r="S169" s="71" t="str">
        <f>IF(ISBLANK(DATA[[#This Row],[COLDROOM RECEIPT]]), "IN CUSTODY", "DISCHARGED")</f>
        <v>DISCHARGED</v>
      </c>
      <c r="T169" s="58">
        <f>COUNTA(A:A)-2</f>
        <v>419</v>
      </c>
      <c r="U169" s="59">
        <f>YEAR(DATA[[#This Row],[ADMISSION DATE]])</f>
        <v>2025</v>
      </c>
      <c r="V169" s="60" t="str">
        <f>TEXT(DATA[[#This Row],[ADMISSION DATE]],"mmm")</f>
        <v>Jun</v>
      </c>
      <c r="W169" s="59">
        <f>YEAR(DATA[[#This Row],[DISCHARGE DATE]])</f>
        <v>2025</v>
      </c>
      <c r="X169" s="60" t="str">
        <f>TEXT(DATA[[#This Row],[DISCHARGE DATE]],"mmm")</f>
        <v>Oct</v>
      </c>
    </row>
    <row r="170" spans="1:24" s="27" customFormat="1" ht="19.5" hidden="1">
      <c r="A170" s="152" t="s">
        <v>805</v>
      </c>
      <c r="B170" s="151" t="s">
        <v>806</v>
      </c>
      <c r="C170" s="151">
        <v>50</v>
      </c>
      <c r="D170" s="152" t="s">
        <v>12</v>
      </c>
      <c r="E170" s="152" t="s">
        <v>807</v>
      </c>
      <c r="F170" s="153">
        <v>550255518</v>
      </c>
      <c r="G170" s="152" t="s">
        <v>15</v>
      </c>
      <c r="H170" s="154">
        <v>0.66666666666666663</v>
      </c>
      <c r="I170" s="152" t="s">
        <v>18</v>
      </c>
      <c r="J170" s="155">
        <v>45837</v>
      </c>
      <c r="K170" s="155">
        <v>45933</v>
      </c>
      <c r="L170" s="151">
        <f>IF(ISBLANK(DATA[[#This Row],[DISCHARGE DATE]]),"NO DATE", DATA[[#This Row],[DISCHARGE DATE]]-DATA[[#This Row],[ADMISSION DATE]]+1)</f>
        <v>97</v>
      </c>
      <c r="M170" s="156">
        <v>350</v>
      </c>
      <c r="N170" s="156">
        <v>1261</v>
      </c>
      <c r="O170" s="157" t="s">
        <v>777</v>
      </c>
      <c r="P170" s="157" t="s">
        <v>808</v>
      </c>
      <c r="Q170" s="158">
        <f>IF(DATA[[#This Row],[STORAGE FEE]]=0,"NULL",DATA[[#This Row],[COLDROOM FEE]])-DATA[[#This Row],[STORAGE FEE]]</f>
        <v>0</v>
      </c>
      <c r="R170" s="158">
        <f>IF(ISBLANK(DATA[[#This Row],[DISCHARGE DATE]]),0,IF(DATA[[#This Row],[TYPE]]="VIP",20*DATA[[#This Row],[STORAGE DAYS]],13*DATA[[#This Row],[STORAGE DAYS]]))</f>
        <v>1261</v>
      </c>
      <c r="S170" s="71" t="str">
        <f>IF(ISBLANK(DATA[[#This Row],[COLDROOM RECEIPT]]), "IN CUSTODY", "DISCHARGED")</f>
        <v>DISCHARGED</v>
      </c>
      <c r="T170" s="58">
        <f>COUNTA(A:A)-2</f>
        <v>419</v>
      </c>
      <c r="U170" s="59">
        <f>YEAR(DATA[[#This Row],[ADMISSION DATE]])</f>
        <v>2025</v>
      </c>
      <c r="V170" s="60" t="str">
        <f>TEXT(DATA[[#This Row],[ADMISSION DATE]],"mmm")</f>
        <v>Jun</v>
      </c>
      <c r="W170" s="59">
        <f>YEAR(DATA[[#This Row],[DISCHARGE DATE]])</f>
        <v>2025</v>
      </c>
      <c r="X170" s="60" t="str">
        <f>TEXT(DATA[[#This Row],[DISCHARGE DATE]],"mmm")</f>
        <v>Oct</v>
      </c>
    </row>
    <row r="171" spans="1:24" s="27" customFormat="1" ht="19.5" hidden="1">
      <c r="A171" s="152" t="s">
        <v>809</v>
      </c>
      <c r="B171" s="151" t="s">
        <v>810</v>
      </c>
      <c r="C171" s="151">
        <v>70</v>
      </c>
      <c r="D171" s="152" t="s">
        <v>11</v>
      </c>
      <c r="E171" s="152" t="s">
        <v>205</v>
      </c>
      <c r="F171" s="153">
        <v>247744664</v>
      </c>
      <c r="G171" s="152" t="s">
        <v>16</v>
      </c>
      <c r="H171" s="154">
        <v>0.79166666666666663</v>
      </c>
      <c r="I171" s="152" t="s">
        <v>18</v>
      </c>
      <c r="J171" s="155">
        <v>45836</v>
      </c>
      <c r="K171" s="155">
        <v>45961</v>
      </c>
      <c r="L171" s="151">
        <f>IF(ISBLANK(DATA[[#This Row],[DISCHARGE DATE]]),"NO DATE", DATA[[#This Row],[DISCHARGE DATE]]-DATA[[#This Row],[ADMISSION DATE]]+1)</f>
        <v>126</v>
      </c>
      <c r="M171" s="156">
        <v>350</v>
      </c>
      <c r="N171" s="156">
        <v>1638</v>
      </c>
      <c r="O171" s="157" t="s">
        <v>788</v>
      </c>
      <c r="P171" s="157" t="s">
        <v>811</v>
      </c>
      <c r="Q171" s="158">
        <f>IF(DATA[[#This Row],[STORAGE FEE]]=0,"NULL",DATA[[#This Row],[COLDROOM FEE]])-DATA[[#This Row],[STORAGE FEE]]</f>
        <v>0</v>
      </c>
      <c r="R171" s="158">
        <f>IF(ISBLANK(DATA[[#This Row],[DISCHARGE DATE]]),0,IF(DATA[[#This Row],[TYPE]]="VIP",20*DATA[[#This Row],[STORAGE DAYS]],13*DATA[[#This Row],[STORAGE DAYS]]))</f>
        <v>1638</v>
      </c>
      <c r="S171" s="71" t="str">
        <f>IF(ISBLANK(DATA[[#This Row],[COLDROOM RECEIPT]]), "IN CUSTODY", "DISCHARGED")</f>
        <v>DISCHARGED</v>
      </c>
      <c r="T171" s="58">
        <f>COUNTA(A:A)-2</f>
        <v>419</v>
      </c>
      <c r="U171" s="59">
        <f>YEAR(DATA[[#This Row],[ADMISSION DATE]])</f>
        <v>2025</v>
      </c>
      <c r="V171" s="60" t="str">
        <f>TEXT(DATA[[#This Row],[ADMISSION DATE]],"mmm")</f>
        <v>Jun</v>
      </c>
      <c r="W171" s="59">
        <f>YEAR(DATA[[#This Row],[DISCHARGE DATE]])</f>
        <v>2025</v>
      </c>
      <c r="X171" s="60" t="str">
        <f>TEXT(DATA[[#This Row],[DISCHARGE DATE]],"mmm")</f>
        <v>Oct</v>
      </c>
    </row>
    <row r="172" spans="1:24" s="27" customFormat="1" ht="19.5" hidden="1">
      <c r="A172" s="152" t="s">
        <v>812</v>
      </c>
      <c r="B172" s="151" t="s">
        <v>813</v>
      </c>
      <c r="C172" s="151">
        <v>70</v>
      </c>
      <c r="D172" s="152" t="s">
        <v>11</v>
      </c>
      <c r="E172" s="152" t="s">
        <v>814</v>
      </c>
      <c r="F172" s="153">
        <v>246802783</v>
      </c>
      <c r="G172" s="152" t="s">
        <v>16</v>
      </c>
      <c r="H172" s="154">
        <v>0.6875</v>
      </c>
      <c r="I172" s="152" t="s">
        <v>20</v>
      </c>
      <c r="J172" s="155">
        <v>45838</v>
      </c>
      <c r="K172" s="155">
        <v>45961</v>
      </c>
      <c r="L172" s="151">
        <f>IF(ISBLANK(DATA[[#This Row],[DISCHARGE DATE]]),"NO DATE", DATA[[#This Row],[DISCHARGE DATE]]-DATA[[#This Row],[ADMISSION DATE]]+1)</f>
        <v>124</v>
      </c>
      <c r="M172" s="156">
        <v>350</v>
      </c>
      <c r="N172" s="156">
        <v>2480</v>
      </c>
      <c r="O172" s="157" t="s">
        <v>618</v>
      </c>
      <c r="P172" s="157" t="s">
        <v>815</v>
      </c>
      <c r="Q172" s="158">
        <f>IF(DATA[[#This Row],[STORAGE FEE]]=0,"NULL",DATA[[#This Row],[COLDROOM FEE]])-DATA[[#This Row],[STORAGE FEE]]</f>
        <v>0</v>
      </c>
      <c r="R172" s="158">
        <f>IF(ISBLANK(DATA[[#This Row],[DISCHARGE DATE]]),0,IF(DATA[[#This Row],[TYPE]]="VIP",20*DATA[[#This Row],[STORAGE DAYS]],13*DATA[[#This Row],[STORAGE DAYS]]))</f>
        <v>2480</v>
      </c>
      <c r="S172" s="71" t="str">
        <f>IF(ISBLANK(DATA[[#This Row],[COLDROOM RECEIPT]]), "IN CUSTODY", "DISCHARGED")</f>
        <v>DISCHARGED</v>
      </c>
      <c r="T172" s="58">
        <f>COUNTA(A:A)-2</f>
        <v>419</v>
      </c>
      <c r="U172" s="59">
        <f>YEAR(DATA[[#This Row],[ADMISSION DATE]])</f>
        <v>2025</v>
      </c>
      <c r="V172" s="60" t="str">
        <f>TEXT(DATA[[#This Row],[ADMISSION DATE]],"mmm")</f>
        <v>Jun</v>
      </c>
      <c r="W172" s="59">
        <f>YEAR(DATA[[#This Row],[DISCHARGE DATE]])</f>
        <v>2025</v>
      </c>
      <c r="X172" s="60" t="str">
        <f>TEXT(DATA[[#This Row],[DISCHARGE DATE]],"mmm")</f>
        <v>Oct</v>
      </c>
    </row>
    <row r="173" spans="1:24" s="27" customFormat="1" ht="19.5" hidden="1">
      <c r="A173" s="152" t="s">
        <v>816</v>
      </c>
      <c r="B173" s="151" t="s">
        <v>817</v>
      </c>
      <c r="C173" s="151">
        <v>41</v>
      </c>
      <c r="D173" s="152" t="s">
        <v>12</v>
      </c>
      <c r="E173" s="152" t="s">
        <v>352</v>
      </c>
      <c r="F173" s="153">
        <v>559942653</v>
      </c>
      <c r="G173" s="152" t="s">
        <v>13</v>
      </c>
      <c r="H173" s="154">
        <v>0.5</v>
      </c>
      <c r="I173" s="152" t="s">
        <v>18</v>
      </c>
      <c r="J173" s="155">
        <v>45839</v>
      </c>
      <c r="K173" s="155">
        <v>45898</v>
      </c>
      <c r="L173" s="151">
        <f>IF(ISBLANK(DATA[[#This Row],[DISCHARGE DATE]]),"NO DATE", DATA[[#This Row],[DISCHARGE DATE]]-DATA[[#This Row],[ADMISSION DATE]]+1)</f>
        <v>60</v>
      </c>
      <c r="M173" s="156">
        <v>350</v>
      </c>
      <c r="N173" s="156">
        <v>780</v>
      </c>
      <c r="O173" s="157" t="s">
        <v>580</v>
      </c>
      <c r="P173" s="157" t="s">
        <v>818</v>
      </c>
      <c r="Q173" s="158">
        <f>IF(DATA[[#This Row],[STORAGE FEE]]=0,"NULL",DATA[[#This Row],[COLDROOM FEE]])-DATA[[#This Row],[STORAGE FEE]]</f>
        <v>0</v>
      </c>
      <c r="R173" s="158">
        <f>IF(ISBLANK(DATA[[#This Row],[DISCHARGE DATE]]),0,IF(DATA[[#This Row],[TYPE]]="VIP",20*DATA[[#This Row],[STORAGE DAYS]],13*DATA[[#This Row],[STORAGE DAYS]]))</f>
        <v>780</v>
      </c>
      <c r="S173" s="71" t="str">
        <f>IF(ISBLANK(DATA[[#This Row],[COLDROOM RECEIPT]]), "IN CUSTODY", "DISCHARGED")</f>
        <v>DISCHARGED</v>
      </c>
      <c r="T173" s="58">
        <f>COUNTA(A:A)-2</f>
        <v>419</v>
      </c>
      <c r="U173" s="59">
        <f>YEAR(DATA[[#This Row],[ADMISSION DATE]])</f>
        <v>2025</v>
      </c>
      <c r="V173" s="60" t="str">
        <f>TEXT(DATA[[#This Row],[ADMISSION DATE]],"mmm")</f>
        <v>Jul</v>
      </c>
      <c r="W173" s="59">
        <f>YEAR(DATA[[#This Row],[DISCHARGE DATE]])</f>
        <v>2025</v>
      </c>
      <c r="X173" s="60" t="str">
        <f>TEXT(DATA[[#This Row],[DISCHARGE DATE]],"mmm")</f>
        <v>Aug</v>
      </c>
    </row>
    <row r="174" spans="1:24" s="27" customFormat="1" ht="19.5" hidden="1">
      <c r="A174" s="152" t="s">
        <v>819</v>
      </c>
      <c r="B174" s="151" t="s">
        <v>820</v>
      </c>
      <c r="C174" s="151">
        <v>90</v>
      </c>
      <c r="D174" s="152" t="s">
        <v>11</v>
      </c>
      <c r="E174" s="152" t="s">
        <v>821</v>
      </c>
      <c r="F174" s="153">
        <v>537961472</v>
      </c>
      <c r="G174" s="152" t="s">
        <v>13</v>
      </c>
      <c r="H174" s="154">
        <v>0.58333333333333337</v>
      </c>
      <c r="I174" s="152" t="s">
        <v>18</v>
      </c>
      <c r="J174" s="155">
        <v>45847</v>
      </c>
      <c r="K174" s="155">
        <v>45989</v>
      </c>
      <c r="L174" s="151">
        <f>IF(ISBLANK(DATA[[#This Row],[DISCHARGE DATE]]),"NO DATE", DATA[[#This Row],[DISCHARGE DATE]]-DATA[[#This Row],[ADMISSION DATE]]+1)</f>
        <v>143</v>
      </c>
      <c r="M174" s="156">
        <v>350</v>
      </c>
      <c r="N174" s="156">
        <v>1859</v>
      </c>
      <c r="O174" s="157" t="s">
        <v>822</v>
      </c>
      <c r="P174" s="157" t="s">
        <v>823</v>
      </c>
      <c r="Q174" s="158">
        <f>IF(DATA[[#This Row],[STORAGE FEE]]=0,"NULL",DATA[[#This Row],[COLDROOM FEE]])-DATA[[#This Row],[STORAGE FEE]]</f>
        <v>0</v>
      </c>
      <c r="R174" s="158">
        <f>IF(ISBLANK(DATA[[#This Row],[DISCHARGE DATE]]),0,IF(DATA[[#This Row],[TYPE]]="VIP",20*DATA[[#This Row],[STORAGE DAYS]],13*DATA[[#This Row],[STORAGE DAYS]]))</f>
        <v>1859</v>
      </c>
      <c r="S174" s="71" t="str">
        <f>IF(ISBLANK(DATA[[#This Row],[COLDROOM RECEIPT]]), "IN CUSTODY", "DISCHARGED")</f>
        <v>DISCHARGED</v>
      </c>
      <c r="T174" s="58">
        <f>COUNTA(A:A)-2</f>
        <v>419</v>
      </c>
      <c r="U174" s="59">
        <f>YEAR(DATA[[#This Row],[ADMISSION DATE]])</f>
        <v>2025</v>
      </c>
      <c r="V174" s="60" t="str">
        <f>TEXT(DATA[[#This Row],[ADMISSION DATE]],"mmm")</f>
        <v>Jul</v>
      </c>
      <c r="W174" s="59">
        <f>YEAR(DATA[[#This Row],[DISCHARGE DATE]])</f>
        <v>2025</v>
      </c>
      <c r="X174" s="60" t="str">
        <f>TEXT(DATA[[#This Row],[DISCHARGE DATE]],"mmm")</f>
        <v>Nov</v>
      </c>
    </row>
    <row r="175" spans="1:24" s="27" customFormat="1" ht="19.5" hidden="1">
      <c r="A175" s="152" t="s">
        <v>824</v>
      </c>
      <c r="B175" s="151" t="s">
        <v>825</v>
      </c>
      <c r="C175" s="151">
        <v>78</v>
      </c>
      <c r="D175" s="152" t="s">
        <v>12</v>
      </c>
      <c r="E175" s="152" t="s">
        <v>545</v>
      </c>
      <c r="F175" s="153">
        <v>242122292</v>
      </c>
      <c r="G175" s="152" t="s">
        <v>13</v>
      </c>
      <c r="H175" s="154">
        <v>0.625</v>
      </c>
      <c r="I175" s="152" t="s">
        <v>18</v>
      </c>
      <c r="J175" s="155">
        <v>45849</v>
      </c>
      <c r="K175" s="155">
        <v>46143</v>
      </c>
      <c r="L175" s="151">
        <f>IF(ISBLANK(DATA[[#This Row],[DISCHARGE DATE]]),"NO DATE", DATA[[#This Row],[DISCHARGE DATE]]-DATA[[#This Row],[ADMISSION DATE]]+1)</f>
        <v>295</v>
      </c>
      <c r="M175" s="156">
        <v>350</v>
      </c>
      <c r="N175" s="156">
        <v>3835</v>
      </c>
      <c r="O175" s="157" t="s">
        <v>641</v>
      </c>
      <c r="P175" s="157">
        <v>270</v>
      </c>
      <c r="Q175" s="158">
        <f>IF(DATA[[#This Row],[STORAGE FEE]]=0,"NULL",DATA[[#This Row],[COLDROOM FEE]])-DATA[[#This Row],[STORAGE FEE]]</f>
        <v>0</v>
      </c>
      <c r="R175" s="158">
        <f>IF(ISBLANK(DATA[[#This Row],[DISCHARGE DATE]]),0,IF(DATA[[#This Row],[TYPE]]="VIP",20*DATA[[#This Row],[STORAGE DAYS]],13*DATA[[#This Row],[STORAGE DAYS]]))</f>
        <v>3835</v>
      </c>
      <c r="S175" s="71" t="str">
        <f>IF(ISBLANK(DATA[[#This Row],[COLDROOM RECEIPT]]), "IN CUSTODY", "DISCHARGED")</f>
        <v>DISCHARGED</v>
      </c>
      <c r="T175" s="58">
        <f>COUNTA(A:A)-2</f>
        <v>419</v>
      </c>
      <c r="U175" s="59">
        <f>YEAR(DATA[[#This Row],[ADMISSION DATE]])</f>
        <v>2025</v>
      </c>
      <c r="V175" s="60" t="str">
        <f>TEXT(DATA[[#This Row],[ADMISSION DATE]],"mmm")</f>
        <v>Jul</v>
      </c>
      <c r="W175" s="59">
        <f>YEAR(DATA[[#This Row],[DISCHARGE DATE]])</f>
        <v>2026</v>
      </c>
      <c r="X175" s="60" t="str">
        <f>TEXT(DATA[[#This Row],[DISCHARGE DATE]],"mmm")</f>
        <v>May</v>
      </c>
    </row>
    <row r="176" spans="1:24" s="27" customFormat="1" ht="19.5" hidden="1">
      <c r="A176" s="152" t="s">
        <v>826</v>
      </c>
      <c r="B176" s="151" t="s">
        <v>827</v>
      </c>
      <c r="C176" s="151">
        <v>53</v>
      </c>
      <c r="D176" s="152" t="s">
        <v>11</v>
      </c>
      <c r="E176" s="152" t="s">
        <v>828</v>
      </c>
      <c r="F176" s="153">
        <v>546500381</v>
      </c>
      <c r="G176" s="152" t="s">
        <v>15</v>
      </c>
      <c r="H176" s="154">
        <v>0.58333333333333337</v>
      </c>
      <c r="I176" s="152" t="s">
        <v>18</v>
      </c>
      <c r="J176" s="155">
        <v>45851</v>
      </c>
      <c r="K176" s="155">
        <v>45933</v>
      </c>
      <c r="L176" s="151">
        <f>IF(ISBLANK(DATA[[#This Row],[DISCHARGE DATE]]),"NO DATE", DATA[[#This Row],[DISCHARGE DATE]]-DATA[[#This Row],[ADMISSION DATE]]+1)</f>
        <v>83</v>
      </c>
      <c r="M176" s="156">
        <v>350</v>
      </c>
      <c r="N176" s="156">
        <v>1079</v>
      </c>
      <c r="O176" s="157" t="s">
        <v>474</v>
      </c>
      <c r="P176" s="157" t="s">
        <v>829</v>
      </c>
      <c r="Q176" s="158">
        <f>IF(DATA[[#This Row],[STORAGE FEE]]=0,"NULL",DATA[[#This Row],[COLDROOM FEE]])-DATA[[#This Row],[STORAGE FEE]]</f>
        <v>0</v>
      </c>
      <c r="R176" s="158">
        <f>IF(ISBLANK(DATA[[#This Row],[DISCHARGE DATE]]),0,IF(DATA[[#This Row],[TYPE]]="VIP",20*DATA[[#This Row],[STORAGE DAYS]],13*DATA[[#This Row],[STORAGE DAYS]]))</f>
        <v>1079</v>
      </c>
      <c r="S176" s="71" t="str">
        <f>IF(ISBLANK(DATA[[#This Row],[COLDROOM RECEIPT]]), "IN CUSTODY", "DISCHARGED")</f>
        <v>DISCHARGED</v>
      </c>
      <c r="T176" s="58">
        <f>COUNTA(A:A)-2</f>
        <v>419</v>
      </c>
      <c r="U176" s="59">
        <f>YEAR(DATA[[#This Row],[ADMISSION DATE]])</f>
        <v>2025</v>
      </c>
      <c r="V176" s="60" t="str">
        <f>TEXT(DATA[[#This Row],[ADMISSION DATE]],"mmm")</f>
        <v>Jul</v>
      </c>
      <c r="W176" s="59">
        <f>YEAR(DATA[[#This Row],[DISCHARGE DATE]])</f>
        <v>2025</v>
      </c>
      <c r="X176" s="60" t="str">
        <f>TEXT(DATA[[#This Row],[DISCHARGE DATE]],"mmm")</f>
        <v>Oct</v>
      </c>
    </row>
    <row r="177" spans="1:24" s="27" customFormat="1" ht="19.5" hidden="1">
      <c r="A177" s="152" t="s">
        <v>830</v>
      </c>
      <c r="B177" s="151" t="s">
        <v>831</v>
      </c>
      <c r="C177" s="151">
        <v>60</v>
      </c>
      <c r="D177" s="152" t="s">
        <v>12</v>
      </c>
      <c r="E177" s="152" t="s">
        <v>832</v>
      </c>
      <c r="F177" s="153">
        <v>535372585</v>
      </c>
      <c r="G177" s="152" t="s">
        <v>15</v>
      </c>
      <c r="H177" s="154">
        <v>0.71944444444444444</v>
      </c>
      <c r="I177" s="152" t="s">
        <v>18</v>
      </c>
      <c r="J177" s="155">
        <v>45855</v>
      </c>
      <c r="K177" s="155">
        <v>45933</v>
      </c>
      <c r="L177" s="151">
        <f>IF(ISBLANK(DATA[[#This Row],[DISCHARGE DATE]]),"NO DATE", DATA[[#This Row],[DISCHARGE DATE]]-DATA[[#This Row],[ADMISSION DATE]]+1)</f>
        <v>79</v>
      </c>
      <c r="M177" s="156">
        <v>350</v>
      </c>
      <c r="N177" s="156">
        <v>1027</v>
      </c>
      <c r="O177" s="157" t="s">
        <v>686</v>
      </c>
      <c r="P177" s="157" t="s">
        <v>833</v>
      </c>
      <c r="Q177" s="158">
        <f>IF(DATA[[#This Row],[STORAGE FEE]]=0,"NULL",DATA[[#This Row],[COLDROOM FEE]])-DATA[[#This Row],[STORAGE FEE]]</f>
        <v>0</v>
      </c>
      <c r="R177" s="158">
        <f>IF(ISBLANK(DATA[[#This Row],[DISCHARGE DATE]]),0,IF(DATA[[#This Row],[TYPE]]="VIP",20*DATA[[#This Row],[STORAGE DAYS]],13*DATA[[#This Row],[STORAGE DAYS]]))</f>
        <v>1027</v>
      </c>
      <c r="S177" s="71" t="str">
        <f>IF(ISBLANK(DATA[[#This Row],[COLDROOM RECEIPT]]), "IN CUSTODY", "DISCHARGED")</f>
        <v>DISCHARGED</v>
      </c>
      <c r="T177" s="58">
        <f>COUNTA(A:A)-2</f>
        <v>419</v>
      </c>
      <c r="U177" s="59">
        <f>YEAR(DATA[[#This Row],[ADMISSION DATE]])</f>
        <v>2025</v>
      </c>
      <c r="V177" s="60" t="str">
        <f>TEXT(DATA[[#This Row],[ADMISSION DATE]],"mmm")</f>
        <v>Jul</v>
      </c>
      <c r="W177" s="59">
        <f>YEAR(DATA[[#This Row],[DISCHARGE DATE]])</f>
        <v>2025</v>
      </c>
      <c r="X177" s="60" t="str">
        <f>TEXT(DATA[[#This Row],[DISCHARGE DATE]],"mmm")</f>
        <v>Oct</v>
      </c>
    </row>
    <row r="178" spans="1:24" s="27" customFormat="1" ht="19.5" hidden="1">
      <c r="A178" s="152" t="s">
        <v>834</v>
      </c>
      <c r="B178" s="151" t="s">
        <v>835</v>
      </c>
      <c r="C178" s="151">
        <v>47</v>
      </c>
      <c r="D178" s="152" t="s">
        <v>11</v>
      </c>
      <c r="E178" s="152" t="s">
        <v>836</v>
      </c>
      <c r="F178" s="153">
        <v>243309054</v>
      </c>
      <c r="G178" s="152" t="s">
        <v>13</v>
      </c>
      <c r="H178" s="154">
        <v>0.33333333333333331</v>
      </c>
      <c r="I178" s="152" t="s">
        <v>20</v>
      </c>
      <c r="J178" s="155">
        <v>45857</v>
      </c>
      <c r="K178" s="155">
        <v>45933</v>
      </c>
      <c r="L178" s="151">
        <f>IF(ISBLANK(DATA[[#This Row],[DISCHARGE DATE]]),"NO DATE", DATA[[#This Row],[DISCHARGE DATE]]-DATA[[#This Row],[ADMISSION DATE]]+1)</f>
        <v>77</v>
      </c>
      <c r="M178" s="156">
        <v>350</v>
      </c>
      <c r="N178" s="156">
        <v>1540</v>
      </c>
      <c r="O178" s="157" t="s">
        <v>837</v>
      </c>
      <c r="P178" s="157" t="s">
        <v>838</v>
      </c>
      <c r="Q178" s="158">
        <f>IF(DATA[[#This Row],[STORAGE FEE]]=0,"NULL",DATA[[#This Row],[COLDROOM FEE]])-DATA[[#This Row],[STORAGE FEE]]</f>
        <v>0</v>
      </c>
      <c r="R178" s="158">
        <f>IF(ISBLANK(DATA[[#This Row],[DISCHARGE DATE]]),0,IF(DATA[[#This Row],[TYPE]]="VIP",20*DATA[[#This Row],[STORAGE DAYS]],13*DATA[[#This Row],[STORAGE DAYS]]))</f>
        <v>1540</v>
      </c>
      <c r="S178" s="71" t="str">
        <f>IF(ISBLANK(DATA[[#This Row],[COLDROOM RECEIPT]]), "IN CUSTODY", "DISCHARGED")</f>
        <v>DISCHARGED</v>
      </c>
      <c r="T178" s="58">
        <f>COUNTA(A:A)-2</f>
        <v>419</v>
      </c>
      <c r="U178" s="59">
        <f>YEAR(DATA[[#This Row],[ADMISSION DATE]])</f>
        <v>2025</v>
      </c>
      <c r="V178" s="60" t="str">
        <f>TEXT(DATA[[#This Row],[ADMISSION DATE]],"mmm")</f>
        <v>Jul</v>
      </c>
      <c r="W178" s="59">
        <f>YEAR(DATA[[#This Row],[DISCHARGE DATE]])</f>
        <v>2025</v>
      </c>
      <c r="X178" s="60" t="str">
        <f>TEXT(DATA[[#This Row],[DISCHARGE DATE]],"mmm")</f>
        <v>Oct</v>
      </c>
    </row>
    <row r="179" spans="1:24" s="27" customFormat="1" ht="19.5" hidden="1">
      <c r="A179" s="152" t="s">
        <v>839</v>
      </c>
      <c r="B179" s="151" t="s">
        <v>840</v>
      </c>
      <c r="C179" s="151">
        <v>42</v>
      </c>
      <c r="D179" s="152" t="s">
        <v>12</v>
      </c>
      <c r="E179" s="152" t="s">
        <v>841</v>
      </c>
      <c r="F179" s="153">
        <v>240929810</v>
      </c>
      <c r="G179" s="152" t="s">
        <v>16</v>
      </c>
      <c r="H179" s="154">
        <v>0.97222222222222221</v>
      </c>
      <c r="I179" s="152" t="s">
        <v>20</v>
      </c>
      <c r="J179" s="155">
        <v>45856</v>
      </c>
      <c r="K179" s="155">
        <v>45919</v>
      </c>
      <c r="L179" s="151">
        <f>IF(ISBLANK(DATA[[#This Row],[DISCHARGE DATE]]),"NO DATE", DATA[[#This Row],[DISCHARGE DATE]]-DATA[[#This Row],[ADMISSION DATE]]+1)</f>
        <v>64</v>
      </c>
      <c r="M179" s="156">
        <v>350</v>
      </c>
      <c r="N179" s="156">
        <v>1280</v>
      </c>
      <c r="O179" s="157" t="s">
        <v>520</v>
      </c>
      <c r="P179" s="157" t="s">
        <v>842</v>
      </c>
      <c r="Q179" s="158">
        <f>IF(DATA[[#This Row],[STORAGE FEE]]=0,"NULL",DATA[[#This Row],[COLDROOM FEE]])-DATA[[#This Row],[STORAGE FEE]]</f>
        <v>0</v>
      </c>
      <c r="R179" s="158">
        <f>IF(ISBLANK(DATA[[#This Row],[DISCHARGE DATE]]),0,IF(DATA[[#This Row],[TYPE]]="VIP",20*DATA[[#This Row],[STORAGE DAYS]],13*DATA[[#This Row],[STORAGE DAYS]]))</f>
        <v>1280</v>
      </c>
      <c r="S179" s="71" t="str">
        <f>IF(ISBLANK(DATA[[#This Row],[COLDROOM RECEIPT]]), "IN CUSTODY", "DISCHARGED")</f>
        <v>DISCHARGED</v>
      </c>
      <c r="T179" s="58">
        <f>COUNTA(A:A)-2</f>
        <v>419</v>
      </c>
      <c r="U179" s="59">
        <f>YEAR(DATA[[#This Row],[ADMISSION DATE]])</f>
        <v>2025</v>
      </c>
      <c r="V179" s="60" t="str">
        <f>TEXT(DATA[[#This Row],[ADMISSION DATE]],"mmm")</f>
        <v>Jul</v>
      </c>
      <c r="W179" s="59">
        <f>YEAR(DATA[[#This Row],[DISCHARGE DATE]])</f>
        <v>2025</v>
      </c>
      <c r="X179" s="60" t="str">
        <f>TEXT(DATA[[#This Row],[DISCHARGE DATE]],"mmm")</f>
        <v>Sep</v>
      </c>
    </row>
    <row r="180" spans="1:24" s="27" customFormat="1" ht="19.5" hidden="1">
      <c r="A180" s="152" t="s">
        <v>843</v>
      </c>
      <c r="B180" s="151" t="s">
        <v>844</v>
      </c>
      <c r="C180" s="151">
        <v>31</v>
      </c>
      <c r="D180" s="152" t="s">
        <v>12</v>
      </c>
      <c r="E180" s="152" t="s">
        <v>845</v>
      </c>
      <c r="F180" s="153">
        <v>242886362</v>
      </c>
      <c r="G180" s="152" t="s">
        <v>33</v>
      </c>
      <c r="H180" s="154">
        <v>0.41388888888888886</v>
      </c>
      <c r="I180" s="152" t="s">
        <v>18</v>
      </c>
      <c r="J180" s="155">
        <v>45858</v>
      </c>
      <c r="K180" s="155">
        <v>45870</v>
      </c>
      <c r="L180" s="151">
        <f>IF(ISBLANK(DATA[[#This Row],[DISCHARGE DATE]]),"NO DATE", DATA[[#This Row],[DISCHARGE DATE]]-DATA[[#This Row],[ADMISSION DATE]]+1)</f>
        <v>13</v>
      </c>
      <c r="M180" s="156">
        <v>350</v>
      </c>
      <c r="N180" s="156">
        <v>169</v>
      </c>
      <c r="O180" s="157" t="s">
        <v>609</v>
      </c>
      <c r="P180" s="157" t="s">
        <v>822</v>
      </c>
      <c r="Q180" s="158">
        <f>IF(DATA[[#This Row],[STORAGE FEE]]=0,"NULL",DATA[[#This Row],[COLDROOM FEE]])-DATA[[#This Row],[STORAGE FEE]]</f>
        <v>0</v>
      </c>
      <c r="R180" s="158">
        <f>IF(ISBLANK(DATA[[#This Row],[DISCHARGE DATE]]),0,IF(DATA[[#This Row],[TYPE]]="VIP",20*DATA[[#This Row],[STORAGE DAYS]],13*DATA[[#This Row],[STORAGE DAYS]]))</f>
        <v>169</v>
      </c>
      <c r="S180" s="71" t="str">
        <f>IF(ISBLANK(DATA[[#This Row],[COLDROOM RECEIPT]]), "IN CUSTODY", "DISCHARGED")</f>
        <v>DISCHARGED</v>
      </c>
      <c r="T180" s="58">
        <f>COUNTA(A:A)-2</f>
        <v>419</v>
      </c>
      <c r="U180" s="59">
        <f>YEAR(DATA[[#This Row],[ADMISSION DATE]])</f>
        <v>2025</v>
      </c>
      <c r="V180" s="60" t="str">
        <f>TEXT(DATA[[#This Row],[ADMISSION DATE]],"mmm")</f>
        <v>Jul</v>
      </c>
      <c r="W180" s="59">
        <f>YEAR(DATA[[#This Row],[DISCHARGE DATE]])</f>
        <v>2025</v>
      </c>
      <c r="X180" s="60" t="str">
        <f>TEXT(DATA[[#This Row],[DISCHARGE DATE]],"mmm")</f>
        <v>Aug</v>
      </c>
    </row>
    <row r="181" spans="1:24" s="27" customFormat="1" ht="19.5" hidden="1">
      <c r="A181" s="152" t="s">
        <v>846</v>
      </c>
      <c r="B181" s="151" t="s">
        <v>847</v>
      </c>
      <c r="C181" s="151">
        <v>46</v>
      </c>
      <c r="D181" s="152" t="s">
        <v>11</v>
      </c>
      <c r="E181" s="152" t="s">
        <v>848</v>
      </c>
      <c r="F181" s="153">
        <v>243672539</v>
      </c>
      <c r="G181" s="152" t="s">
        <v>13</v>
      </c>
      <c r="H181" s="154">
        <v>0.75</v>
      </c>
      <c r="I181" s="152" t="s">
        <v>18</v>
      </c>
      <c r="J181" s="155">
        <v>45857</v>
      </c>
      <c r="K181" s="155">
        <v>45961</v>
      </c>
      <c r="L181" s="151">
        <f>IF(ISBLANK(DATA[[#This Row],[DISCHARGE DATE]]),"NO DATE", DATA[[#This Row],[DISCHARGE DATE]]-DATA[[#This Row],[ADMISSION DATE]]+1)</f>
        <v>105</v>
      </c>
      <c r="M181" s="156">
        <v>350</v>
      </c>
      <c r="N181" s="156">
        <v>1365</v>
      </c>
      <c r="O181" s="157" t="s">
        <v>681</v>
      </c>
      <c r="P181" s="157" t="s">
        <v>849</v>
      </c>
      <c r="Q181" s="158">
        <f>IF(DATA[[#This Row],[STORAGE FEE]]=0,"NULL",DATA[[#This Row],[COLDROOM FEE]])-DATA[[#This Row],[STORAGE FEE]]</f>
        <v>0</v>
      </c>
      <c r="R181" s="158">
        <f>IF(ISBLANK(DATA[[#This Row],[DISCHARGE DATE]]),0,IF(DATA[[#This Row],[TYPE]]="VIP",20*DATA[[#This Row],[STORAGE DAYS]],13*DATA[[#This Row],[STORAGE DAYS]]))</f>
        <v>1365</v>
      </c>
      <c r="S181" s="71" t="str">
        <f>IF(ISBLANK(DATA[[#This Row],[COLDROOM RECEIPT]]), "IN CUSTODY", "DISCHARGED")</f>
        <v>DISCHARGED</v>
      </c>
      <c r="T181" s="58">
        <f>COUNTA(A:A)-2</f>
        <v>419</v>
      </c>
      <c r="U181" s="59">
        <f>YEAR(DATA[[#This Row],[ADMISSION DATE]])</f>
        <v>2025</v>
      </c>
      <c r="V181" s="60" t="str">
        <f>TEXT(DATA[[#This Row],[ADMISSION DATE]],"mmm")</f>
        <v>Jul</v>
      </c>
      <c r="W181" s="59">
        <f>YEAR(DATA[[#This Row],[DISCHARGE DATE]])</f>
        <v>2025</v>
      </c>
      <c r="X181" s="60" t="str">
        <f>TEXT(DATA[[#This Row],[DISCHARGE DATE]],"mmm")</f>
        <v>Oct</v>
      </c>
    </row>
    <row r="182" spans="1:24" s="27" customFormat="1" ht="19.5" hidden="1">
      <c r="A182" s="152" t="s">
        <v>850</v>
      </c>
      <c r="B182" s="151" t="s">
        <v>851</v>
      </c>
      <c r="C182" s="151">
        <v>45</v>
      </c>
      <c r="D182" s="152" t="s">
        <v>12</v>
      </c>
      <c r="E182" s="152" t="s">
        <v>852</v>
      </c>
      <c r="F182" s="153">
        <v>559213457</v>
      </c>
      <c r="G182" s="152" t="s">
        <v>16</v>
      </c>
      <c r="H182" s="154">
        <v>0.34513888888888888</v>
      </c>
      <c r="I182" s="152" t="s">
        <v>20</v>
      </c>
      <c r="J182" s="155">
        <v>45860</v>
      </c>
      <c r="K182" s="155">
        <v>45954</v>
      </c>
      <c r="L182" s="151">
        <f>IF(ISBLANK(DATA[[#This Row],[DISCHARGE DATE]]),"NO DATE", DATA[[#This Row],[DISCHARGE DATE]]-DATA[[#This Row],[ADMISSION DATE]]+1)</f>
        <v>95</v>
      </c>
      <c r="M182" s="156">
        <v>350</v>
      </c>
      <c r="N182" s="156">
        <v>1900</v>
      </c>
      <c r="O182" s="157" t="s">
        <v>714</v>
      </c>
      <c r="P182" s="157" t="s">
        <v>853</v>
      </c>
      <c r="Q182" s="158">
        <f>IF(DATA[[#This Row],[STORAGE FEE]]=0,"NULL",DATA[[#This Row],[COLDROOM FEE]])-DATA[[#This Row],[STORAGE FEE]]</f>
        <v>0</v>
      </c>
      <c r="R182" s="158">
        <f>IF(ISBLANK(DATA[[#This Row],[DISCHARGE DATE]]),0,IF(DATA[[#This Row],[TYPE]]="VIP",20*DATA[[#This Row],[STORAGE DAYS]],13*DATA[[#This Row],[STORAGE DAYS]]))</f>
        <v>1900</v>
      </c>
      <c r="S182" s="71" t="str">
        <f>IF(ISBLANK(DATA[[#This Row],[COLDROOM RECEIPT]]), "IN CUSTODY", "DISCHARGED")</f>
        <v>DISCHARGED</v>
      </c>
      <c r="T182" s="58">
        <f>COUNTA(A:A)-2</f>
        <v>419</v>
      </c>
      <c r="U182" s="59">
        <f>YEAR(DATA[[#This Row],[ADMISSION DATE]])</f>
        <v>2025</v>
      </c>
      <c r="V182" s="60" t="str">
        <f>TEXT(DATA[[#This Row],[ADMISSION DATE]],"mmm")</f>
        <v>Jul</v>
      </c>
      <c r="W182" s="59">
        <f>YEAR(DATA[[#This Row],[DISCHARGE DATE]])</f>
        <v>2025</v>
      </c>
      <c r="X182" s="60" t="str">
        <f>TEXT(DATA[[#This Row],[DISCHARGE DATE]],"mmm")</f>
        <v>Oct</v>
      </c>
    </row>
    <row r="183" spans="1:24" s="27" customFormat="1" ht="19.5" hidden="1">
      <c r="A183" s="152" t="s">
        <v>854</v>
      </c>
      <c r="B183" s="151" t="s">
        <v>855</v>
      </c>
      <c r="C183" s="151">
        <v>35</v>
      </c>
      <c r="D183" s="152" t="s">
        <v>11</v>
      </c>
      <c r="E183" s="152" t="s">
        <v>856</v>
      </c>
      <c r="F183" s="153">
        <v>201669517</v>
      </c>
      <c r="G183" s="152" t="s">
        <v>28</v>
      </c>
      <c r="H183" s="154">
        <v>0.6958333333333333</v>
      </c>
      <c r="I183" s="152" t="s">
        <v>20</v>
      </c>
      <c r="J183" s="155">
        <v>45861</v>
      </c>
      <c r="K183" s="155">
        <v>45898</v>
      </c>
      <c r="L183" s="151">
        <f>IF(ISBLANK(DATA[[#This Row],[DISCHARGE DATE]]),"NO DATE", DATA[[#This Row],[DISCHARGE DATE]]-DATA[[#This Row],[ADMISSION DATE]]+1)</f>
        <v>38</v>
      </c>
      <c r="M183" s="156">
        <v>350</v>
      </c>
      <c r="N183" s="156">
        <v>760</v>
      </c>
      <c r="O183" s="157" t="s">
        <v>469</v>
      </c>
      <c r="P183" s="157" t="s">
        <v>857</v>
      </c>
      <c r="Q183" s="158">
        <f>IF(DATA[[#This Row],[STORAGE FEE]]=0,"NULL",DATA[[#This Row],[COLDROOM FEE]])-DATA[[#This Row],[STORAGE FEE]]</f>
        <v>0</v>
      </c>
      <c r="R183" s="158">
        <f>IF(ISBLANK(DATA[[#This Row],[DISCHARGE DATE]]),0,IF(DATA[[#This Row],[TYPE]]="VIP",20*DATA[[#This Row],[STORAGE DAYS]],13*DATA[[#This Row],[STORAGE DAYS]]))</f>
        <v>760</v>
      </c>
      <c r="S183" s="71" t="str">
        <f>IF(ISBLANK(DATA[[#This Row],[COLDROOM RECEIPT]]), "IN CUSTODY", "DISCHARGED")</f>
        <v>DISCHARGED</v>
      </c>
      <c r="T183" s="58">
        <f>COUNTA(A:A)-2</f>
        <v>419</v>
      </c>
      <c r="U183" s="59">
        <f>YEAR(DATA[[#This Row],[ADMISSION DATE]])</f>
        <v>2025</v>
      </c>
      <c r="V183" s="60" t="str">
        <f>TEXT(DATA[[#This Row],[ADMISSION DATE]],"mmm")</f>
        <v>Jul</v>
      </c>
      <c r="W183" s="59">
        <f>YEAR(DATA[[#This Row],[DISCHARGE DATE]])</f>
        <v>2025</v>
      </c>
      <c r="X183" s="60" t="str">
        <f>TEXT(DATA[[#This Row],[DISCHARGE DATE]],"mmm")</f>
        <v>Aug</v>
      </c>
    </row>
    <row r="184" spans="1:24" s="27" customFormat="1" ht="19.5" hidden="1">
      <c r="A184" s="152" t="s">
        <v>858</v>
      </c>
      <c r="B184" s="151" t="s">
        <v>859</v>
      </c>
      <c r="C184" s="151">
        <v>54</v>
      </c>
      <c r="D184" s="152" t="s">
        <v>12</v>
      </c>
      <c r="E184" s="152" t="s">
        <v>860</v>
      </c>
      <c r="F184" s="153">
        <v>541911615</v>
      </c>
      <c r="G184" s="152" t="s">
        <v>16</v>
      </c>
      <c r="H184" s="154">
        <v>0.40486111111111112</v>
      </c>
      <c r="I184" s="152" t="s">
        <v>20</v>
      </c>
      <c r="J184" s="155">
        <v>45867</v>
      </c>
      <c r="K184" s="155">
        <v>45954</v>
      </c>
      <c r="L184" s="151">
        <f>IF(ISBLANK(DATA[[#This Row],[DISCHARGE DATE]]),"NO DATE", DATA[[#This Row],[DISCHARGE DATE]]-DATA[[#This Row],[ADMISSION DATE]]+1)</f>
        <v>88</v>
      </c>
      <c r="M184" s="156">
        <v>350</v>
      </c>
      <c r="N184" s="156">
        <v>1760</v>
      </c>
      <c r="O184" s="157" t="s">
        <v>542</v>
      </c>
      <c r="P184" s="157" t="s">
        <v>861</v>
      </c>
      <c r="Q184" s="158">
        <f>IF(DATA[[#This Row],[STORAGE FEE]]=0,"NULL",DATA[[#This Row],[COLDROOM FEE]])-DATA[[#This Row],[STORAGE FEE]]</f>
        <v>0</v>
      </c>
      <c r="R184" s="158">
        <f>IF(ISBLANK(DATA[[#This Row],[DISCHARGE DATE]]),0,IF(DATA[[#This Row],[TYPE]]="VIP",20*DATA[[#This Row],[STORAGE DAYS]],13*DATA[[#This Row],[STORAGE DAYS]]))</f>
        <v>1760</v>
      </c>
      <c r="S184" s="71" t="str">
        <f>IF(ISBLANK(DATA[[#This Row],[COLDROOM RECEIPT]]), "IN CUSTODY", "DISCHARGED")</f>
        <v>DISCHARGED</v>
      </c>
      <c r="T184" s="58">
        <f>COUNTA(A:A)-2</f>
        <v>419</v>
      </c>
      <c r="U184" s="59">
        <f>YEAR(DATA[[#This Row],[ADMISSION DATE]])</f>
        <v>2025</v>
      </c>
      <c r="V184" s="60" t="str">
        <f>TEXT(DATA[[#This Row],[ADMISSION DATE]],"mmm")</f>
        <v>Jul</v>
      </c>
      <c r="W184" s="59">
        <f>YEAR(DATA[[#This Row],[DISCHARGE DATE]])</f>
        <v>2025</v>
      </c>
      <c r="X184" s="60" t="str">
        <f>TEXT(DATA[[#This Row],[DISCHARGE DATE]],"mmm")</f>
        <v>Oct</v>
      </c>
    </row>
    <row r="185" spans="1:24" s="27" customFormat="1" ht="18" hidden="1" customHeight="1">
      <c r="A185" s="152" t="s">
        <v>862</v>
      </c>
      <c r="B185" s="151" t="s">
        <v>863</v>
      </c>
      <c r="C185" s="151">
        <v>90</v>
      </c>
      <c r="D185" s="152" t="s">
        <v>11</v>
      </c>
      <c r="E185" s="152" t="s">
        <v>864</v>
      </c>
      <c r="F185" s="153">
        <v>240618158</v>
      </c>
      <c r="G185" s="152" t="s">
        <v>50</v>
      </c>
      <c r="H185" s="154">
        <v>0.9375</v>
      </c>
      <c r="I185" s="152" t="s">
        <v>18</v>
      </c>
      <c r="J185" s="155">
        <v>45868</v>
      </c>
      <c r="K185" s="155">
        <v>46129</v>
      </c>
      <c r="L185" s="151">
        <f>IF(ISBLANK(DATA[[#This Row],[DISCHARGE DATE]]),"NO DATE", DATA[[#This Row],[DISCHARGE DATE]]-DATA[[#This Row],[ADMISSION DATE]]+1)</f>
        <v>262</v>
      </c>
      <c r="M185" s="156">
        <v>350</v>
      </c>
      <c r="N185" s="156">
        <v>3406</v>
      </c>
      <c r="O185" s="157" t="s">
        <v>857</v>
      </c>
      <c r="P185" s="157">
        <v>276</v>
      </c>
      <c r="Q185" s="158">
        <f>IF(DATA[[#This Row],[STORAGE FEE]]=0,"NULL",DATA[[#This Row],[COLDROOM FEE]])-DATA[[#This Row],[STORAGE FEE]]</f>
        <v>0</v>
      </c>
      <c r="R185" s="158">
        <f>IF(ISBLANK(DATA[[#This Row],[DISCHARGE DATE]]),0,IF(DATA[[#This Row],[TYPE]]="VIP",20*DATA[[#This Row],[STORAGE DAYS]],13*DATA[[#This Row],[STORAGE DAYS]]))</f>
        <v>3406</v>
      </c>
      <c r="S185" s="71" t="str">
        <f>IF(ISBLANK(DATA[[#This Row],[COLDROOM RECEIPT]]), "IN CUSTODY", "DISCHARGED")</f>
        <v>DISCHARGED</v>
      </c>
      <c r="T185" s="58">
        <f>COUNTA(A:A)-2</f>
        <v>419</v>
      </c>
      <c r="U185" s="59">
        <f>YEAR(DATA[[#This Row],[ADMISSION DATE]])</f>
        <v>2025</v>
      </c>
      <c r="V185" s="60" t="str">
        <f>TEXT(DATA[[#This Row],[ADMISSION DATE]],"mmm")</f>
        <v>Jul</v>
      </c>
      <c r="W185" s="59">
        <f>YEAR(DATA[[#This Row],[DISCHARGE DATE]])</f>
        <v>2026</v>
      </c>
      <c r="X185" s="60" t="str">
        <f>TEXT(DATA[[#This Row],[DISCHARGE DATE]],"mmm")</f>
        <v>Apr</v>
      </c>
    </row>
    <row r="186" spans="1:24" s="27" customFormat="1" ht="18.75" hidden="1" customHeight="1">
      <c r="A186" s="152" t="s">
        <v>865</v>
      </c>
      <c r="B186" s="151" t="s">
        <v>866</v>
      </c>
      <c r="C186" s="151">
        <v>25</v>
      </c>
      <c r="D186" s="152" t="s">
        <v>12</v>
      </c>
      <c r="E186" s="152" t="s">
        <v>649</v>
      </c>
      <c r="F186" s="153">
        <v>536038692</v>
      </c>
      <c r="G186" s="152" t="s">
        <v>13</v>
      </c>
      <c r="H186" s="154">
        <v>0.84722222222222221</v>
      </c>
      <c r="I186" s="152" t="s">
        <v>18</v>
      </c>
      <c r="J186" s="155">
        <v>45873</v>
      </c>
      <c r="K186" s="155">
        <v>45912</v>
      </c>
      <c r="L186" s="151">
        <f>IF(ISBLANK(DATA[[#This Row],[DISCHARGE DATE]]),"NO DATE", DATA[[#This Row],[DISCHARGE DATE]]-DATA[[#This Row],[ADMISSION DATE]]+1)</f>
        <v>40</v>
      </c>
      <c r="M186" s="156">
        <v>350</v>
      </c>
      <c r="N186" s="156">
        <v>520</v>
      </c>
      <c r="O186" s="157" t="s">
        <v>676</v>
      </c>
      <c r="P186" s="157" t="s">
        <v>867</v>
      </c>
      <c r="Q186" s="158">
        <f>IF(DATA[[#This Row],[STORAGE FEE]]=0,"NULL",DATA[[#This Row],[COLDROOM FEE]])-DATA[[#This Row],[STORAGE FEE]]</f>
        <v>0</v>
      </c>
      <c r="R186" s="158">
        <f>IF(ISBLANK(DATA[[#This Row],[DISCHARGE DATE]]),0,IF(DATA[[#This Row],[TYPE]]="VIP",20*DATA[[#This Row],[STORAGE DAYS]],13*DATA[[#This Row],[STORAGE DAYS]]))</f>
        <v>520</v>
      </c>
      <c r="S186" s="71" t="str">
        <f>IF(ISBLANK(DATA[[#This Row],[COLDROOM RECEIPT]]), "IN CUSTODY", "DISCHARGED")</f>
        <v>DISCHARGED</v>
      </c>
      <c r="T186" s="58">
        <f>COUNTA(A:A)-2</f>
        <v>419</v>
      </c>
      <c r="U186" s="59">
        <f>YEAR(DATA[[#This Row],[ADMISSION DATE]])</f>
        <v>2025</v>
      </c>
      <c r="V186" s="60" t="str">
        <f>TEXT(DATA[[#This Row],[ADMISSION DATE]],"mmm")</f>
        <v>Aug</v>
      </c>
      <c r="W186" s="59">
        <f>YEAR(DATA[[#This Row],[DISCHARGE DATE]])</f>
        <v>2025</v>
      </c>
      <c r="X186" s="60" t="str">
        <f>TEXT(DATA[[#This Row],[DISCHARGE DATE]],"mmm")</f>
        <v>Sep</v>
      </c>
    </row>
    <row r="187" spans="1:24" s="27" customFormat="1" ht="16.5" hidden="1" customHeight="1">
      <c r="A187" s="152" t="s">
        <v>868</v>
      </c>
      <c r="B187" s="151" t="s">
        <v>869</v>
      </c>
      <c r="C187" s="151">
        <v>51</v>
      </c>
      <c r="D187" s="152" t="s">
        <v>12</v>
      </c>
      <c r="E187" s="152" t="s">
        <v>870</v>
      </c>
      <c r="F187" s="153">
        <v>248104541</v>
      </c>
      <c r="G187" s="152" t="s">
        <v>13</v>
      </c>
      <c r="H187" s="154">
        <v>0.89583333333333337</v>
      </c>
      <c r="I187" s="152" t="s">
        <v>20</v>
      </c>
      <c r="J187" s="155">
        <v>45874</v>
      </c>
      <c r="K187" s="155">
        <v>45989</v>
      </c>
      <c r="L187" s="151">
        <f>IF(ISBLANK(DATA[[#This Row],[DISCHARGE DATE]]),"NO DATE", DATA[[#This Row],[DISCHARGE DATE]]-DATA[[#This Row],[ADMISSION DATE]]+1)</f>
        <v>116</v>
      </c>
      <c r="M187" s="156">
        <v>350</v>
      </c>
      <c r="N187" s="156">
        <v>2320</v>
      </c>
      <c r="O187" s="157" t="s">
        <v>570</v>
      </c>
      <c r="P187" s="157" t="s">
        <v>569</v>
      </c>
      <c r="Q187" s="158">
        <f>IF(DATA[[#This Row],[STORAGE FEE]]=0,"NULL",DATA[[#This Row],[COLDROOM FEE]])-DATA[[#This Row],[STORAGE FEE]]</f>
        <v>0</v>
      </c>
      <c r="R187" s="158">
        <f>IF(ISBLANK(DATA[[#This Row],[DISCHARGE DATE]]),0,IF(DATA[[#This Row],[TYPE]]="VIP",20*DATA[[#This Row],[STORAGE DAYS]],13*DATA[[#This Row],[STORAGE DAYS]]))</f>
        <v>2320</v>
      </c>
      <c r="S187" s="71" t="str">
        <f>IF(ISBLANK(DATA[[#This Row],[COLDROOM RECEIPT]]), "IN CUSTODY", "DISCHARGED")</f>
        <v>DISCHARGED</v>
      </c>
      <c r="T187" s="58">
        <f>COUNTA(A:A)-2</f>
        <v>419</v>
      </c>
      <c r="U187" s="59">
        <f>YEAR(DATA[[#This Row],[ADMISSION DATE]])</f>
        <v>2025</v>
      </c>
      <c r="V187" s="60" t="str">
        <f>TEXT(DATA[[#This Row],[ADMISSION DATE]],"mmm")</f>
        <v>Aug</v>
      </c>
      <c r="W187" s="59">
        <f>YEAR(DATA[[#This Row],[DISCHARGE DATE]])</f>
        <v>2025</v>
      </c>
      <c r="X187" s="60" t="str">
        <f>TEXT(DATA[[#This Row],[DISCHARGE DATE]],"mmm")</f>
        <v>Nov</v>
      </c>
    </row>
    <row r="188" spans="1:24" s="27" customFormat="1" ht="16.5" hidden="1" customHeight="1">
      <c r="A188" s="152" t="s">
        <v>871</v>
      </c>
      <c r="B188" s="151" t="s">
        <v>872</v>
      </c>
      <c r="C188" s="151">
        <v>69</v>
      </c>
      <c r="D188" s="152" t="s">
        <v>12</v>
      </c>
      <c r="E188" s="152" t="s">
        <v>873</v>
      </c>
      <c r="F188" s="153">
        <v>243917189</v>
      </c>
      <c r="G188" s="152" t="s">
        <v>13</v>
      </c>
      <c r="H188" s="154">
        <v>0.59722222222222221</v>
      </c>
      <c r="I188" s="152" t="s">
        <v>18</v>
      </c>
      <c r="J188" s="155">
        <v>45875</v>
      </c>
      <c r="K188" s="155">
        <v>45989</v>
      </c>
      <c r="L188" s="151">
        <f>IF(ISBLANK(DATA[[#This Row],[DISCHARGE DATE]]),"NO DATE", DATA[[#This Row],[DISCHARGE DATE]]-DATA[[#This Row],[ADMISSION DATE]]+1)</f>
        <v>115</v>
      </c>
      <c r="M188" s="156">
        <v>350</v>
      </c>
      <c r="N188" s="156">
        <v>1495</v>
      </c>
      <c r="O188" s="157" t="s">
        <v>585</v>
      </c>
      <c r="P188" s="157" t="s">
        <v>560</v>
      </c>
      <c r="Q188" s="158">
        <f>IF(DATA[[#This Row],[STORAGE FEE]]=0,"NULL",DATA[[#This Row],[COLDROOM FEE]])-DATA[[#This Row],[STORAGE FEE]]</f>
        <v>0</v>
      </c>
      <c r="R188" s="158">
        <f>IF(ISBLANK(DATA[[#This Row],[DISCHARGE DATE]]),0,IF(DATA[[#This Row],[TYPE]]="VIP",20*DATA[[#This Row],[STORAGE DAYS]],13*DATA[[#This Row],[STORAGE DAYS]]))</f>
        <v>1495</v>
      </c>
      <c r="S188" s="71" t="str">
        <f>IF(ISBLANK(DATA[[#This Row],[COLDROOM RECEIPT]]), "IN CUSTODY", "DISCHARGED")</f>
        <v>DISCHARGED</v>
      </c>
      <c r="T188" s="58">
        <f>COUNTA(A:A)-2</f>
        <v>419</v>
      </c>
      <c r="U188" s="59">
        <f>YEAR(DATA[[#This Row],[ADMISSION DATE]])</f>
        <v>2025</v>
      </c>
      <c r="V188" s="60" t="str">
        <f>TEXT(DATA[[#This Row],[ADMISSION DATE]],"mmm")</f>
        <v>Aug</v>
      </c>
      <c r="W188" s="59">
        <f>YEAR(DATA[[#This Row],[DISCHARGE DATE]])</f>
        <v>2025</v>
      </c>
      <c r="X188" s="60" t="str">
        <f>TEXT(DATA[[#This Row],[DISCHARGE DATE]],"mmm")</f>
        <v>Nov</v>
      </c>
    </row>
    <row r="189" spans="1:24" s="27" customFormat="1" ht="16.5" hidden="1" customHeight="1">
      <c r="A189" s="152" t="s">
        <v>874</v>
      </c>
      <c r="B189" s="151" t="s">
        <v>875</v>
      </c>
      <c r="C189" s="151">
        <v>78</v>
      </c>
      <c r="D189" s="152" t="s">
        <v>12</v>
      </c>
      <c r="E189" s="152" t="s">
        <v>876</v>
      </c>
      <c r="F189" s="153">
        <v>535769827</v>
      </c>
      <c r="G189" s="152" t="s">
        <v>13</v>
      </c>
      <c r="H189" s="154">
        <v>0.5</v>
      </c>
      <c r="I189" s="152" t="s">
        <v>18</v>
      </c>
      <c r="J189" s="155">
        <v>45877</v>
      </c>
      <c r="K189" s="155">
        <v>45933</v>
      </c>
      <c r="L189" s="151">
        <f>IF(ISBLANK(DATA[[#This Row],[DISCHARGE DATE]]),"NO DATE", DATA[[#This Row],[DISCHARGE DATE]]-DATA[[#This Row],[ADMISSION DATE]]+1)</f>
        <v>57</v>
      </c>
      <c r="M189" s="156">
        <v>350</v>
      </c>
      <c r="N189" s="156">
        <v>741</v>
      </c>
      <c r="O189" s="157" t="s">
        <v>753</v>
      </c>
      <c r="P189" s="157" t="s">
        <v>877</v>
      </c>
      <c r="Q189" s="158">
        <f>IF(DATA[[#This Row],[STORAGE FEE]]=0,"NULL",DATA[[#This Row],[COLDROOM FEE]])-DATA[[#This Row],[STORAGE FEE]]</f>
        <v>0</v>
      </c>
      <c r="R189" s="158">
        <f>IF(ISBLANK(DATA[[#This Row],[DISCHARGE DATE]]),0,IF(DATA[[#This Row],[TYPE]]="VIP",20*DATA[[#This Row],[STORAGE DAYS]],13*DATA[[#This Row],[STORAGE DAYS]]))</f>
        <v>741</v>
      </c>
      <c r="S189" s="71" t="str">
        <f>IF(ISBLANK(DATA[[#This Row],[COLDROOM RECEIPT]]), "IN CUSTODY", "DISCHARGED")</f>
        <v>DISCHARGED</v>
      </c>
      <c r="T189" s="58">
        <f>COUNTA(A:A)-2</f>
        <v>419</v>
      </c>
      <c r="U189" s="59">
        <f>YEAR(DATA[[#This Row],[ADMISSION DATE]])</f>
        <v>2025</v>
      </c>
      <c r="V189" s="60" t="str">
        <f>TEXT(DATA[[#This Row],[ADMISSION DATE]],"mmm")</f>
        <v>Aug</v>
      </c>
      <c r="W189" s="59">
        <f>YEAR(DATA[[#This Row],[DISCHARGE DATE]])</f>
        <v>2025</v>
      </c>
      <c r="X189" s="60" t="str">
        <f>TEXT(DATA[[#This Row],[DISCHARGE DATE]],"mmm")</f>
        <v>Oct</v>
      </c>
    </row>
    <row r="190" spans="1:24" s="27" customFormat="1" ht="16.5" hidden="1" customHeight="1">
      <c r="A190" s="152" t="s">
        <v>878</v>
      </c>
      <c r="B190" s="151" t="s">
        <v>879</v>
      </c>
      <c r="C190" s="151">
        <v>46</v>
      </c>
      <c r="D190" s="152" t="s">
        <v>11</v>
      </c>
      <c r="E190" s="152" t="s">
        <v>880</v>
      </c>
      <c r="F190" s="153" t="s">
        <v>881</v>
      </c>
      <c r="G190" s="152" t="s">
        <v>13</v>
      </c>
      <c r="H190" s="154">
        <v>0.6875</v>
      </c>
      <c r="I190" s="152" t="s">
        <v>20</v>
      </c>
      <c r="J190" s="155">
        <v>45878</v>
      </c>
      <c r="K190" s="155">
        <v>45961</v>
      </c>
      <c r="L190" s="151">
        <f>IF(ISBLANK(DATA[[#This Row],[DISCHARGE DATE]]),"NO DATE", DATA[[#This Row],[DISCHARGE DATE]]-DATA[[#This Row],[ADMISSION DATE]]+1)</f>
        <v>84</v>
      </c>
      <c r="M190" s="156">
        <v>350</v>
      </c>
      <c r="N190" s="156">
        <v>840</v>
      </c>
      <c r="O190" s="157" t="s">
        <v>773</v>
      </c>
      <c r="P190" s="157" t="s">
        <v>882</v>
      </c>
      <c r="Q190" s="158">
        <f>IF(DATA[[#This Row],[STORAGE FEE]]=0,"NULL",DATA[[#This Row],[COLDROOM FEE]])-DATA[[#This Row],[STORAGE FEE]]</f>
        <v>-840</v>
      </c>
      <c r="R190" s="158">
        <f>IF(ISBLANK(DATA[[#This Row],[DISCHARGE DATE]]),0,IF(DATA[[#This Row],[TYPE]]="VIP",20*DATA[[#This Row],[STORAGE DAYS]],13*DATA[[#This Row],[STORAGE DAYS]]))</f>
        <v>1680</v>
      </c>
      <c r="S190" s="71" t="str">
        <f>IF(ISBLANK(DATA[[#This Row],[COLDROOM RECEIPT]]), "IN CUSTODY", "DISCHARGED")</f>
        <v>DISCHARGED</v>
      </c>
      <c r="T190" s="58">
        <f>COUNTA(A:A)-2</f>
        <v>419</v>
      </c>
      <c r="U190" s="59">
        <f>YEAR(DATA[[#This Row],[ADMISSION DATE]])</f>
        <v>2025</v>
      </c>
      <c r="V190" s="60" t="str">
        <f>TEXT(DATA[[#This Row],[ADMISSION DATE]],"mmm")</f>
        <v>Aug</v>
      </c>
      <c r="W190" s="59">
        <f>YEAR(DATA[[#This Row],[DISCHARGE DATE]])</f>
        <v>2025</v>
      </c>
      <c r="X190" s="60" t="str">
        <f>TEXT(DATA[[#This Row],[DISCHARGE DATE]],"mmm")</f>
        <v>Oct</v>
      </c>
    </row>
    <row r="191" spans="1:24" s="27" customFormat="1" ht="16.5" hidden="1" customHeight="1">
      <c r="A191" s="152" t="s">
        <v>883</v>
      </c>
      <c r="B191" s="151" t="s">
        <v>884</v>
      </c>
      <c r="C191" s="151">
        <v>98</v>
      </c>
      <c r="D191" s="152" t="s">
        <v>12</v>
      </c>
      <c r="E191" s="152" t="s">
        <v>885</v>
      </c>
      <c r="F191" s="153">
        <v>536960022</v>
      </c>
      <c r="G191" s="152" t="s">
        <v>16</v>
      </c>
      <c r="H191" s="154">
        <v>0.34027777777777779</v>
      </c>
      <c r="I191" s="152" t="s">
        <v>18</v>
      </c>
      <c r="J191" s="155">
        <v>45882</v>
      </c>
      <c r="K191" s="155">
        <v>45919</v>
      </c>
      <c r="L191" s="151">
        <f>IF(ISBLANK(DATA[[#This Row],[DISCHARGE DATE]]),"NO DATE", DATA[[#This Row],[DISCHARGE DATE]]-DATA[[#This Row],[ADMISSION DATE]]+1)</f>
        <v>38</v>
      </c>
      <c r="M191" s="156">
        <v>350</v>
      </c>
      <c r="N191" s="156">
        <v>494</v>
      </c>
      <c r="O191" s="157" t="s">
        <v>671</v>
      </c>
      <c r="P191" s="157" t="s">
        <v>886</v>
      </c>
      <c r="Q191" s="158">
        <f>IF(DATA[[#This Row],[STORAGE FEE]]=0,"NULL",DATA[[#This Row],[COLDROOM FEE]])-DATA[[#This Row],[STORAGE FEE]]</f>
        <v>0</v>
      </c>
      <c r="R191" s="158">
        <f>IF(ISBLANK(DATA[[#This Row],[DISCHARGE DATE]]),0,IF(DATA[[#This Row],[TYPE]]="VIP",20*DATA[[#This Row],[STORAGE DAYS]],13*DATA[[#This Row],[STORAGE DAYS]]))</f>
        <v>494</v>
      </c>
      <c r="S191" s="71" t="str">
        <f>IF(ISBLANK(DATA[[#This Row],[COLDROOM RECEIPT]]), "IN CUSTODY", "DISCHARGED")</f>
        <v>DISCHARGED</v>
      </c>
      <c r="T191" s="58">
        <f>COUNTA(A:A)-2</f>
        <v>419</v>
      </c>
      <c r="U191" s="59">
        <f>YEAR(DATA[[#This Row],[ADMISSION DATE]])</f>
        <v>2025</v>
      </c>
      <c r="V191" s="60" t="str">
        <f>TEXT(DATA[[#This Row],[ADMISSION DATE]],"mmm")</f>
        <v>Aug</v>
      </c>
      <c r="W191" s="59">
        <f>YEAR(DATA[[#This Row],[DISCHARGE DATE]])</f>
        <v>2025</v>
      </c>
      <c r="X191" s="60" t="str">
        <f>TEXT(DATA[[#This Row],[DISCHARGE DATE]],"mmm")</f>
        <v>Sep</v>
      </c>
    </row>
    <row r="192" spans="1:24" s="27" customFormat="1" ht="16.5" hidden="1" customHeight="1">
      <c r="A192" s="152" t="s">
        <v>887</v>
      </c>
      <c r="B192" s="151" t="s">
        <v>888</v>
      </c>
      <c r="C192" s="151">
        <v>65</v>
      </c>
      <c r="D192" s="152" t="s">
        <v>11</v>
      </c>
      <c r="E192" s="152" t="s">
        <v>889</v>
      </c>
      <c r="F192" s="153">
        <v>548315782</v>
      </c>
      <c r="G192" s="152" t="s">
        <v>16</v>
      </c>
      <c r="H192" s="154">
        <v>0.91666666666666663</v>
      </c>
      <c r="I192" s="152" t="s">
        <v>18</v>
      </c>
      <c r="J192" s="155">
        <v>45882</v>
      </c>
      <c r="K192" s="155">
        <v>46073</v>
      </c>
      <c r="L192" s="151">
        <f>IF(ISBLANK(DATA[[#This Row],[DISCHARGE DATE]]),"NO DATE", DATA[[#This Row],[DISCHARGE DATE]]-DATA[[#This Row],[ADMISSION DATE]]+1)</f>
        <v>192</v>
      </c>
      <c r="M192" s="156">
        <v>350</v>
      </c>
      <c r="N192" s="156">
        <v>2496</v>
      </c>
      <c r="O192" s="157" t="s">
        <v>818</v>
      </c>
      <c r="P192" s="157">
        <v>141</v>
      </c>
      <c r="Q192" s="158">
        <f>IF(DATA[[#This Row],[STORAGE FEE]]=0,"NULL",DATA[[#This Row],[COLDROOM FEE]])-DATA[[#This Row],[STORAGE FEE]]</f>
        <v>0</v>
      </c>
      <c r="R192" s="158">
        <f>IF(ISBLANK(DATA[[#This Row],[DISCHARGE DATE]]),0,IF(DATA[[#This Row],[TYPE]]="VIP",20*DATA[[#This Row],[STORAGE DAYS]],13*DATA[[#This Row],[STORAGE DAYS]]))</f>
        <v>2496</v>
      </c>
      <c r="S192" s="71" t="str">
        <f>IF(ISBLANK(DATA[[#This Row],[COLDROOM RECEIPT]]), "IN CUSTODY", "DISCHARGED")</f>
        <v>DISCHARGED</v>
      </c>
      <c r="T192" s="58">
        <f>COUNTA(A:A)-2</f>
        <v>419</v>
      </c>
      <c r="U192" s="59">
        <f>YEAR(DATA[[#This Row],[ADMISSION DATE]])</f>
        <v>2025</v>
      </c>
      <c r="V192" s="60" t="str">
        <f>TEXT(DATA[[#This Row],[ADMISSION DATE]],"mmm")</f>
        <v>Aug</v>
      </c>
      <c r="W192" s="59">
        <f>YEAR(DATA[[#This Row],[DISCHARGE DATE]])</f>
        <v>2026</v>
      </c>
      <c r="X192" s="60" t="str">
        <f>TEXT(DATA[[#This Row],[DISCHARGE DATE]],"mmm")</f>
        <v>Feb</v>
      </c>
    </row>
    <row r="193" spans="1:24" s="27" customFormat="1" ht="16.5" hidden="1" customHeight="1">
      <c r="A193" s="152" t="s">
        <v>890</v>
      </c>
      <c r="B193" s="151" t="s">
        <v>891</v>
      </c>
      <c r="C193" s="151">
        <v>69</v>
      </c>
      <c r="D193" s="152" t="s">
        <v>12</v>
      </c>
      <c r="E193" s="152" t="s">
        <v>892</v>
      </c>
      <c r="F193" s="153">
        <v>245958269</v>
      </c>
      <c r="G193" s="152" t="s">
        <v>13</v>
      </c>
      <c r="H193" s="154">
        <v>6.25E-2</v>
      </c>
      <c r="I193" s="152" t="s">
        <v>20</v>
      </c>
      <c r="J193" s="155">
        <v>45883</v>
      </c>
      <c r="K193" s="155">
        <v>45989</v>
      </c>
      <c r="L193" s="151">
        <f>IF(ISBLANK(DATA[[#This Row],[DISCHARGE DATE]]),"NO DATE", DATA[[#This Row],[DISCHARGE DATE]]-DATA[[#This Row],[ADMISSION DATE]]+1)</f>
        <v>107</v>
      </c>
      <c r="M193" s="156">
        <v>350</v>
      </c>
      <c r="N193" s="156">
        <v>2140</v>
      </c>
      <c r="O193" s="157" t="s">
        <v>709</v>
      </c>
      <c r="P193" s="157" t="s">
        <v>507</v>
      </c>
      <c r="Q193" s="158">
        <f>IF(DATA[[#This Row],[STORAGE FEE]]=0,"NULL",DATA[[#This Row],[COLDROOM FEE]])-DATA[[#This Row],[STORAGE FEE]]</f>
        <v>0</v>
      </c>
      <c r="R193" s="158">
        <f>IF(ISBLANK(DATA[[#This Row],[DISCHARGE DATE]]),0,IF(DATA[[#This Row],[TYPE]]="VIP",20*DATA[[#This Row],[STORAGE DAYS]],13*DATA[[#This Row],[STORAGE DAYS]]))</f>
        <v>2140</v>
      </c>
      <c r="S193" s="71" t="str">
        <f>IF(ISBLANK(DATA[[#This Row],[COLDROOM RECEIPT]]), "IN CUSTODY", "DISCHARGED")</f>
        <v>DISCHARGED</v>
      </c>
      <c r="T193" s="58">
        <f>COUNTA(A:A)-2</f>
        <v>419</v>
      </c>
      <c r="U193" s="59">
        <f>YEAR(DATA[[#This Row],[ADMISSION DATE]])</f>
        <v>2025</v>
      </c>
      <c r="V193" s="60" t="str">
        <f>TEXT(DATA[[#This Row],[ADMISSION DATE]],"mmm")</f>
        <v>Aug</v>
      </c>
      <c r="W193" s="59">
        <f>YEAR(DATA[[#This Row],[DISCHARGE DATE]])</f>
        <v>2025</v>
      </c>
      <c r="X193" s="60" t="str">
        <f>TEXT(DATA[[#This Row],[DISCHARGE DATE]],"mmm")</f>
        <v>Nov</v>
      </c>
    </row>
    <row r="194" spans="1:24" s="27" customFormat="1" ht="16.5" hidden="1" customHeight="1">
      <c r="A194" s="152" t="s">
        <v>893</v>
      </c>
      <c r="B194" s="151" t="s">
        <v>894</v>
      </c>
      <c r="C194" s="151">
        <v>58</v>
      </c>
      <c r="D194" s="152" t="s">
        <v>11</v>
      </c>
      <c r="E194" s="152" t="s">
        <v>895</v>
      </c>
      <c r="F194" s="153">
        <v>241413028</v>
      </c>
      <c r="G194" s="152" t="s">
        <v>13</v>
      </c>
      <c r="H194" s="154">
        <v>0.375</v>
      </c>
      <c r="I194" s="152" t="s">
        <v>18</v>
      </c>
      <c r="J194" s="155">
        <v>45884</v>
      </c>
      <c r="K194" s="155">
        <v>46108</v>
      </c>
      <c r="L194" s="151">
        <f>IF(ISBLANK(DATA[[#This Row],[DISCHARGE DATE]]),"NO DATE", DATA[[#This Row],[DISCHARGE DATE]]-DATA[[#This Row],[ADMISSION DATE]]+1)</f>
        <v>225</v>
      </c>
      <c r="M194" s="156">
        <v>350</v>
      </c>
      <c r="N194" s="156">
        <v>2925</v>
      </c>
      <c r="O194" s="157" t="s">
        <v>762</v>
      </c>
      <c r="P194" s="157">
        <v>266</v>
      </c>
      <c r="Q194" s="158">
        <f>IF(DATA[[#This Row],[STORAGE FEE]]=0,"NULL",DATA[[#This Row],[COLDROOM FEE]])-DATA[[#This Row],[STORAGE FEE]]</f>
        <v>0</v>
      </c>
      <c r="R194" s="158">
        <f>IF(ISBLANK(DATA[[#This Row],[DISCHARGE DATE]]),0,IF(DATA[[#This Row],[TYPE]]="VIP",20*DATA[[#This Row],[STORAGE DAYS]],13*DATA[[#This Row],[STORAGE DAYS]]))</f>
        <v>2925</v>
      </c>
      <c r="S194" s="71" t="str">
        <f>IF(ISBLANK(DATA[[#This Row],[COLDROOM RECEIPT]]), "IN CUSTODY", "DISCHARGED")</f>
        <v>DISCHARGED</v>
      </c>
      <c r="T194" s="58">
        <f>COUNTA(A:A)-2</f>
        <v>419</v>
      </c>
      <c r="U194" s="59">
        <f>YEAR(DATA[[#This Row],[ADMISSION DATE]])</f>
        <v>2025</v>
      </c>
      <c r="V194" s="60" t="str">
        <f>TEXT(DATA[[#This Row],[ADMISSION DATE]],"mmm")</f>
        <v>Aug</v>
      </c>
      <c r="W194" s="59">
        <f>YEAR(DATA[[#This Row],[DISCHARGE DATE]])</f>
        <v>2026</v>
      </c>
      <c r="X194" s="60" t="str">
        <f>TEXT(DATA[[#This Row],[DISCHARGE DATE]],"mmm")</f>
        <v>Mar</v>
      </c>
    </row>
    <row r="195" spans="1:24" s="27" customFormat="1" ht="16.5" hidden="1" customHeight="1">
      <c r="A195" s="152" t="s">
        <v>896</v>
      </c>
      <c r="B195" s="151" t="s">
        <v>897</v>
      </c>
      <c r="C195" s="151">
        <v>80</v>
      </c>
      <c r="D195" s="152" t="s">
        <v>12</v>
      </c>
      <c r="E195" s="152" t="s">
        <v>898</v>
      </c>
      <c r="F195" s="153">
        <v>599135006</v>
      </c>
      <c r="G195" s="152" t="s">
        <v>13</v>
      </c>
      <c r="H195" s="154">
        <v>0.875</v>
      </c>
      <c r="I195" s="152" t="s">
        <v>20</v>
      </c>
      <c r="J195" s="155">
        <v>45887</v>
      </c>
      <c r="K195" s="155">
        <v>45961</v>
      </c>
      <c r="L195" s="151">
        <f>IF(ISBLANK(DATA[[#This Row],[DISCHARGE DATE]]),"NO DATE", DATA[[#This Row],[DISCHARGE DATE]]-DATA[[#This Row],[ADMISSION DATE]]+1)</f>
        <v>75</v>
      </c>
      <c r="M195" s="156">
        <v>350</v>
      </c>
      <c r="N195" s="156">
        <v>1500</v>
      </c>
      <c r="O195" s="157" t="s">
        <v>646</v>
      </c>
      <c r="P195" s="157" t="s">
        <v>899</v>
      </c>
      <c r="Q195" s="158">
        <f>IF(DATA[[#This Row],[STORAGE FEE]]=0,"NULL",DATA[[#This Row],[COLDROOM FEE]])-DATA[[#This Row],[STORAGE FEE]]</f>
        <v>0</v>
      </c>
      <c r="R195" s="158">
        <f>IF(ISBLANK(DATA[[#This Row],[DISCHARGE DATE]]),0,IF(DATA[[#This Row],[TYPE]]="VIP",20*DATA[[#This Row],[STORAGE DAYS]],13*DATA[[#This Row],[STORAGE DAYS]]))</f>
        <v>1500</v>
      </c>
      <c r="S195" s="71" t="str">
        <f>IF(ISBLANK(DATA[[#This Row],[COLDROOM RECEIPT]]), "IN CUSTODY", "DISCHARGED")</f>
        <v>DISCHARGED</v>
      </c>
      <c r="T195" s="58">
        <f>COUNTA(A:A)-2</f>
        <v>419</v>
      </c>
      <c r="U195" s="59">
        <f>YEAR(DATA[[#This Row],[ADMISSION DATE]])</f>
        <v>2025</v>
      </c>
      <c r="V195" s="60" t="str">
        <f>TEXT(DATA[[#This Row],[ADMISSION DATE]],"mmm")</f>
        <v>Aug</v>
      </c>
      <c r="W195" s="59">
        <f>YEAR(DATA[[#This Row],[DISCHARGE DATE]])</f>
        <v>2025</v>
      </c>
      <c r="X195" s="60" t="str">
        <f>TEXT(DATA[[#This Row],[DISCHARGE DATE]],"mmm")</f>
        <v>Oct</v>
      </c>
    </row>
    <row r="196" spans="1:24" s="27" customFormat="1" ht="16.5" hidden="1" customHeight="1">
      <c r="A196" s="152" t="s">
        <v>900</v>
      </c>
      <c r="B196" s="151" t="s">
        <v>901</v>
      </c>
      <c r="C196" s="151">
        <v>55</v>
      </c>
      <c r="D196" s="152" t="s">
        <v>12</v>
      </c>
      <c r="E196" s="152" t="s">
        <v>902</v>
      </c>
      <c r="F196" s="153"/>
      <c r="G196" s="152" t="s">
        <v>13</v>
      </c>
      <c r="H196" s="154">
        <v>0.60416666666666663</v>
      </c>
      <c r="I196" s="152" t="s">
        <v>18</v>
      </c>
      <c r="J196" s="155">
        <v>45892</v>
      </c>
      <c r="K196" s="155">
        <v>45933</v>
      </c>
      <c r="L196" s="151">
        <f>IF(ISBLANK(DATA[[#This Row],[DISCHARGE DATE]]),"NO DATE", DATA[[#This Row],[DISCHARGE DATE]]-DATA[[#This Row],[ADMISSION DATE]]+1)</f>
        <v>42</v>
      </c>
      <c r="M196" s="156">
        <v>350</v>
      </c>
      <c r="N196" s="156">
        <v>546</v>
      </c>
      <c r="O196" s="157" t="s">
        <v>867</v>
      </c>
      <c r="P196" s="157" t="s">
        <v>903</v>
      </c>
      <c r="Q196" s="158">
        <f>IF(DATA[[#This Row],[STORAGE FEE]]=0,"NULL",DATA[[#This Row],[COLDROOM FEE]])-DATA[[#This Row],[STORAGE FEE]]</f>
        <v>0</v>
      </c>
      <c r="R196" s="158">
        <f>IF(ISBLANK(DATA[[#This Row],[DISCHARGE DATE]]),0,IF(DATA[[#This Row],[TYPE]]="VIP",20*DATA[[#This Row],[STORAGE DAYS]],13*DATA[[#This Row],[STORAGE DAYS]]))</f>
        <v>546</v>
      </c>
      <c r="S196" s="71" t="str">
        <f>IF(ISBLANK(DATA[[#This Row],[COLDROOM RECEIPT]]), "IN CUSTODY", "DISCHARGED")</f>
        <v>DISCHARGED</v>
      </c>
      <c r="T196" s="58">
        <f>COUNTA(A:A)-2</f>
        <v>419</v>
      </c>
      <c r="U196" s="59">
        <f>YEAR(DATA[[#This Row],[ADMISSION DATE]])</f>
        <v>2025</v>
      </c>
      <c r="V196" s="60" t="str">
        <f>TEXT(DATA[[#This Row],[ADMISSION DATE]],"mmm")</f>
        <v>Aug</v>
      </c>
      <c r="W196" s="59">
        <f>YEAR(DATA[[#This Row],[DISCHARGE DATE]])</f>
        <v>2025</v>
      </c>
      <c r="X196" s="60" t="str">
        <f>TEXT(DATA[[#This Row],[DISCHARGE DATE]],"mmm")</f>
        <v>Oct</v>
      </c>
    </row>
    <row r="197" spans="1:24" s="27" customFormat="1" ht="16.5" hidden="1" customHeight="1">
      <c r="A197" s="152" t="s">
        <v>904</v>
      </c>
      <c r="B197" s="151" t="s">
        <v>905</v>
      </c>
      <c r="C197" s="151">
        <v>32</v>
      </c>
      <c r="D197" s="152" t="s">
        <v>11</v>
      </c>
      <c r="E197" s="152" t="s">
        <v>906</v>
      </c>
      <c r="F197" s="153">
        <v>547716620</v>
      </c>
      <c r="G197" s="152" t="s">
        <v>21</v>
      </c>
      <c r="H197" s="154">
        <v>0.91666666666666663</v>
      </c>
      <c r="I197" s="152" t="s">
        <v>18</v>
      </c>
      <c r="J197" s="155">
        <v>45893</v>
      </c>
      <c r="K197" s="155">
        <v>45989</v>
      </c>
      <c r="L197" s="151">
        <f>IF(ISBLANK(DATA[[#This Row],[DISCHARGE DATE]]),"NO DATE", DATA[[#This Row],[DISCHARGE DATE]]-DATA[[#This Row],[ADMISSION DATE]]+1)</f>
        <v>97</v>
      </c>
      <c r="M197" s="156">
        <v>350</v>
      </c>
      <c r="N197" s="156">
        <v>1261</v>
      </c>
      <c r="O197" s="157" t="s">
        <v>842</v>
      </c>
      <c r="P197" s="157" t="s">
        <v>532</v>
      </c>
      <c r="Q197" s="158">
        <f>IF(DATA[[#This Row],[STORAGE FEE]]=0,"NULL",DATA[[#This Row],[COLDROOM FEE]])-DATA[[#This Row],[STORAGE FEE]]</f>
        <v>0</v>
      </c>
      <c r="R197" s="158">
        <f>IF(ISBLANK(DATA[[#This Row],[DISCHARGE DATE]]),0,IF(DATA[[#This Row],[TYPE]]="VIP",20*DATA[[#This Row],[STORAGE DAYS]],13*DATA[[#This Row],[STORAGE DAYS]]))</f>
        <v>1261</v>
      </c>
      <c r="S197" s="71" t="str">
        <f>IF(ISBLANK(DATA[[#This Row],[COLDROOM RECEIPT]]), "IN CUSTODY", "DISCHARGED")</f>
        <v>DISCHARGED</v>
      </c>
      <c r="T197" s="58">
        <f>COUNTA(A:A)-2</f>
        <v>419</v>
      </c>
      <c r="U197" s="59">
        <f>YEAR(DATA[[#This Row],[ADMISSION DATE]])</f>
        <v>2025</v>
      </c>
      <c r="V197" s="60" t="str">
        <f>TEXT(DATA[[#This Row],[ADMISSION DATE]],"mmm")</f>
        <v>Aug</v>
      </c>
      <c r="W197" s="59">
        <f>YEAR(DATA[[#This Row],[DISCHARGE DATE]])</f>
        <v>2025</v>
      </c>
      <c r="X197" s="60" t="str">
        <f>TEXT(DATA[[#This Row],[DISCHARGE DATE]],"mmm")</f>
        <v>Nov</v>
      </c>
    </row>
    <row r="198" spans="1:24" s="27" customFormat="1" ht="16.5" hidden="1" customHeight="1">
      <c r="A198" s="152" t="s">
        <v>907</v>
      </c>
      <c r="B198" s="151" t="s">
        <v>908</v>
      </c>
      <c r="C198" s="151">
        <v>67</v>
      </c>
      <c r="D198" s="152" t="s">
        <v>12</v>
      </c>
      <c r="E198" s="152" t="s">
        <v>909</v>
      </c>
      <c r="F198" s="153">
        <v>540702449</v>
      </c>
      <c r="G198" s="152" t="s">
        <v>15</v>
      </c>
      <c r="H198" s="154">
        <v>0.4513888888888889</v>
      </c>
      <c r="I198" s="152" t="s">
        <v>18</v>
      </c>
      <c r="J198" s="155">
        <v>45895</v>
      </c>
      <c r="K198" s="155">
        <v>46059</v>
      </c>
      <c r="L198" s="151">
        <f>IF(ISBLANK(DATA[[#This Row],[DISCHARGE DATE]]),"NO DATE", DATA[[#This Row],[DISCHARGE DATE]]-DATA[[#This Row],[ADMISSION DATE]]+1)</f>
        <v>165</v>
      </c>
      <c r="M198" s="156">
        <v>350</v>
      </c>
      <c r="N198" s="156">
        <v>2145</v>
      </c>
      <c r="O198" s="157" t="s">
        <v>886</v>
      </c>
      <c r="P198" s="157">
        <v>132</v>
      </c>
      <c r="Q198" s="158">
        <f>IF(DATA[[#This Row],[STORAGE FEE]]=0,"NULL",DATA[[#This Row],[COLDROOM FEE]])-DATA[[#This Row],[STORAGE FEE]]</f>
        <v>0</v>
      </c>
      <c r="R198" s="158">
        <f>IF(ISBLANK(DATA[[#This Row],[DISCHARGE DATE]]),0,IF(DATA[[#This Row],[TYPE]]="VIP",20*DATA[[#This Row],[STORAGE DAYS]],13*DATA[[#This Row],[STORAGE DAYS]]))</f>
        <v>2145</v>
      </c>
      <c r="S198" s="71" t="str">
        <f>IF(ISBLANK(DATA[[#This Row],[COLDROOM RECEIPT]]), "IN CUSTODY", "DISCHARGED")</f>
        <v>DISCHARGED</v>
      </c>
      <c r="T198" s="58">
        <f>COUNTA(A:A)-2</f>
        <v>419</v>
      </c>
      <c r="U198" s="59">
        <f>YEAR(DATA[[#This Row],[ADMISSION DATE]])</f>
        <v>2025</v>
      </c>
      <c r="V198" s="60" t="str">
        <f>TEXT(DATA[[#This Row],[ADMISSION DATE]],"mmm")</f>
        <v>Aug</v>
      </c>
      <c r="W198" s="59">
        <f>YEAR(DATA[[#This Row],[DISCHARGE DATE]])</f>
        <v>2026</v>
      </c>
      <c r="X198" s="60" t="str">
        <f>TEXT(DATA[[#This Row],[DISCHARGE DATE]],"mmm")</f>
        <v>Feb</v>
      </c>
    </row>
    <row r="199" spans="1:24" s="27" customFormat="1" ht="16.5" hidden="1" customHeight="1">
      <c r="A199" s="152" t="s">
        <v>910</v>
      </c>
      <c r="B199" s="151" t="s">
        <v>911</v>
      </c>
      <c r="C199" s="151">
        <v>73</v>
      </c>
      <c r="D199" s="152" t="s">
        <v>11</v>
      </c>
      <c r="E199" s="152" t="s">
        <v>912</v>
      </c>
      <c r="F199" s="153">
        <v>248603401</v>
      </c>
      <c r="G199" s="152" t="s">
        <v>13</v>
      </c>
      <c r="H199" s="154">
        <v>0.4513888888888889</v>
      </c>
      <c r="I199" s="152" t="s">
        <v>18</v>
      </c>
      <c r="J199" s="155">
        <v>45895</v>
      </c>
      <c r="K199" s="155">
        <v>46073</v>
      </c>
      <c r="L199" s="151">
        <f>IF(ISBLANK(DATA[[#This Row],[DISCHARGE DATE]]),"NO DATE", DATA[[#This Row],[DISCHARGE DATE]]-DATA[[#This Row],[ADMISSION DATE]]+1)</f>
        <v>179</v>
      </c>
      <c r="M199" s="156">
        <v>350</v>
      </c>
      <c r="N199" s="156">
        <v>2327</v>
      </c>
      <c r="O199" s="157" t="s">
        <v>736</v>
      </c>
      <c r="P199" s="157">
        <v>138</v>
      </c>
      <c r="Q199" s="158">
        <f>IF(DATA[[#This Row],[STORAGE FEE]]=0,"NULL",DATA[[#This Row],[COLDROOM FEE]])-DATA[[#This Row],[STORAGE FEE]]</f>
        <v>0</v>
      </c>
      <c r="R199" s="158">
        <f>IF(ISBLANK(DATA[[#This Row],[DISCHARGE DATE]]),0,IF(DATA[[#This Row],[TYPE]]="VIP",20*DATA[[#This Row],[STORAGE DAYS]],13*DATA[[#This Row],[STORAGE DAYS]]))</f>
        <v>2327</v>
      </c>
      <c r="S199" s="71" t="str">
        <f>IF(ISBLANK(DATA[[#This Row],[COLDROOM RECEIPT]]), "IN CUSTODY", "DISCHARGED")</f>
        <v>DISCHARGED</v>
      </c>
      <c r="T199" s="58">
        <f>COUNTA(A:A)-2</f>
        <v>419</v>
      </c>
      <c r="U199" s="59">
        <f>YEAR(DATA[[#This Row],[ADMISSION DATE]])</f>
        <v>2025</v>
      </c>
      <c r="V199" s="60" t="str">
        <f>TEXT(DATA[[#This Row],[ADMISSION DATE]],"mmm")</f>
        <v>Aug</v>
      </c>
      <c r="W199" s="59">
        <f>YEAR(DATA[[#This Row],[DISCHARGE DATE]])</f>
        <v>2026</v>
      </c>
      <c r="X199" s="60" t="str">
        <f>TEXT(DATA[[#This Row],[DISCHARGE DATE]],"mmm")</f>
        <v>Feb</v>
      </c>
    </row>
    <row r="200" spans="1:24" s="27" customFormat="1" ht="16.5" hidden="1" customHeight="1">
      <c r="A200" s="152" t="s">
        <v>913</v>
      </c>
      <c r="B200" s="151" t="s">
        <v>914</v>
      </c>
      <c r="C200" s="151">
        <v>69</v>
      </c>
      <c r="D200" s="152" t="s">
        <v>12</v>
      </c>
      <c r="E200" s="152" t="s">
        <v>915</v>
      </c>
      <c r="F200" s="153">
        <v>540451151</v>
      </c>
      <c r="G200" s="152" t="s">
        <v>13</v>
      </c>
      <c r="H200" s="154">
        <v>0.85416666666666663</v>
      </c>
      <c r="I200" s="152" t="s">
        <v>18</v>
      </c>
      <c r="J200" s="155">
        <v>45897</v>
      </c>
      <c r="K200" s="155">
        <v>45989</v>
      </c>
      <c r="L200" s="151">
        <f>IF(ISBLANK(DATA[[#This Row],[DISCHARGE DATE]]),"NO DATE", DATA[[#This Row],[DISCHARGE DATE]]-DATA[[#This Row],[ADMISSION DATE]]+1)</f>
        <v>93</v>
      </c>
      <c r="M200" s="156">
        <v>350</v>
      </c>
      <c r="N200" s="156">
        <v>1209</v>
      </c>
      <c r="O200" s="157" t="s">
        <v>661</v>
      </c>
      <c r="P200" s="157" t="s">
        <v>546</v>
      </c>
      <c r="Q200" s="158">
        <f>IF(DATA[[#This Row],[STORAGE FEE]]=0,"NULL",DATA[[#This Row],[COLDROOM FEE]])-DATA[[#This Row],[STORAGE FEE]]</f>
        <v>0</v>
      </c>
      <c r="R200" s="158">
        <f>IF(ISBLANK(DATA[[#This Row],[DISCHARGE DATE]]),0,IF(DATA[[#This Row],[TYPE]]="VIP",20*DATA[[#This Row],[STORAGE DAYS]],13*DATA[[#This Row],[STORAGE DAYS]]))</f>
        <v>1209</v>
      </c>
      <c r="S200" s="71" t="str">
        <f>IF(ISBLANK(DATA[[#This Row],[COLDROOM RECEIPT]]), "IN CUSTODY", "DISCHARGED")</f>
        <v>DISCHARGED</v>
      </c>
      <c r="T200" s="58">
        <f>COUNTA(A:A)-2</f>
        <v>419</v>
      </c>
      <c r="U200" s="59">
        <f>YEAR(DATA[[#This Row],[ADMISSION DATE]])</f>
        <v>2025</v>
      </c>
      <c r="V200" s="60" t="str">
        <f>TEXT(DATA[[#This Row],[ADMISSION DATE]],"mmm")</f>
        <v>Aug</v>
      </c>
      <c r="W200" s="59">
        <f>YEAR(DATA[[#This Row],[DISCHARGE DATE]])</f>
        <v>2025</v>
      </c>
      <c r="X200" s="60" t="str">
        <f>TEXT(DATA[[#This Row],[DISCHARGE DATE]],"mmm")</f>
        <v>Nov</v>
      </c>
    </row>
    <row r="201" spans="1:24" s="27" customFormat="1" ht="16.5" hidden="1" customHeight="1">
      <c r="A201" s="152" t="s">
        <v>916</v>
      </c>
      <c r="B201" s="151" t="s">
        <v>917</v>
      </c>
      <c r="C201" s="151">
        <v>87</v>
      </c>
      <c r="D201" s="152" t="s">
        <v>11</v>
      </c>
      <c r="E201" s="152" t="s">
        <v>918</v>
      </c>
      <c r="F201" s="153">
        <v>591038895</v>
      </c>
      <c r="G201" s="152" t="s">
        <v>13</v>
      </c>
      <c r="H201" s="154">
        <v>0</v>
      </c>
      <c r="I201" s="152" t="s">
        <v>20</v>
      </c>
      <c r="J201" s="155">
        <v>45899</v>
      </c>
      <c r="K201" s="155">
        <v>46108</v>
      </c>
      <c r="L201" s="151">
        <f>IF(ISBLANK(DATA[[#This Row],[DISCHARGE DATE]]),"NO DATE", DATA[[#This Row],[DISCHARGE DATE]]-DATA[[#This Row],[ADMISSION DATE]]+1)</f>
        <v>210</v>
      </c>
      <c r="M201" s="156">
        <v>350</v>
      </c>
      <c r="N201" s="156">
        <v>4200</v>
      </c>
      <c r="O201" s="157" t="s">
        <v>781</v>
      </c>
      <c r="P201" s="157">
        <v>142</v>
      </c>
      <c r="Q201" s="158">
        <f>IF(DATA[[#This Row],[STORAGE FEE]]=0,"NULL",DATA[[#This Row],[COLDROOM FEE]])-DATA[[#This Row],[STORAGE FEE]]</f>
        <v>0</v>
      </c>
      <c r="R201" s="158">
        <f>IF(ISBLANK(DATA[[#This Row],[DISCHARGE DATE]]),0,IF(DATA[[#This Row],[TYPE]]="VIP",20*DATA[[#This Row],[STORAGE DAYS]],13*DATA[[#This Row],[STORAGE DAYS]]))</f>
        <v>4200</v>
      </c>
      <c r="S201" s="71" t="str">
        <f>IF(ISBLANK(DATA[[#This Row],[COLDROOM RECEIPT]]), "IN CUSTODY", "DISCHARGED")</f>
        <v>DISCHARGED</v>
      </c>
      <c r="T201" s="58">
        <f>COUNTA(A:A)-2</f>
        <v>419</v>
      </c>
      <c r="U201" s="59">
        <f>YEAR(DATA[[#This Row],[ADMISSION DATE]])</f>
        <v>2025</v>
      </c>
      <c r="V201" s="60" t="str">
        <f>TEXT(DATA[[#This Row],[ADMISSION DATE]],"mmm")</f>
        <v>Aug</v>
      </c>
      <c r="W201" s="59">
        <f>YEAR(DATA[[#This Row],[DISCHARGE DATE]])</f>
        <v>2026</v>
      </c>
      <c r="X201" s="60" t="str">
        <f>TEXT(DATA[[#This Row],[DISCHARGE DATE]],"mmm")</f>
        <v>Mar</v>
      </c>
    </row>
    <row r="202" spans="1:24" s="27" customFormat="1" ht="16.5" hidden="1" customHeight="1">
      <c r="A202" s="152" t="s">
        <v>919</v>
      </c>
      <c r="B202" s="151" t="s">
        <v>920</v>
      </c>
      <c r="C202" s="151">
        <v>78</v>
      </c>
      <c r="D202" s="152" t="s">
        <v>12</v>
      </c>
      <c r="E202" s="152" t="s">
        <v>921</v>
      </c>
      <c r="F202" s="153">
        <v>553660455</v>
      </c>
      <c r="G202" s="152" t="s">
        <v>13</v>
      </c>
      <c r="H202" s="154">
        <v>0.60416666666666663</v>
      </c>
      <c r="I202" s="152" t="s">
        <v>20</v>
      </c>
      <c r="J202" s="155">
        <v>45901</v>
      </c>
      <c r="K202" s="155">
        <v>45989</v>
      </c>
      <c r="L202" s="151">
        <f>IF(ISBLANK(DATA[[#This Row],[DISCHARGE DATE]]),"NO DATE", DATA[[#This Row],[DISCHARGE DATE]]-DATA[[#This Row],[ADMISSION DATE]]+1)</f>
        <v>89</v>
      </c>
      <c r="M202" s="156">
        <v>350</v>
      </c>
      <c r="N202" s="156">
        <v>1780</v>
      </c>
      <c r="O202" s="157" t="s">
        <v>796</v>
      </c>
      <c r="P202" s="157" t="s">
        <v>516</v>
      </c>
      <c r="Q202" s="158">
        <f>IF(DATA[[#This Row],[STORAGE FEE]]=0,"NULL",DATA[[#This Row],[COLDROOM FEE]])-DATA[[#This Row],[STORAGE FEE]]</f>
        <v>0</v>
      </c>
      <c r="R202" s="158">
        <f>IF(ISBLANK(DATA[[#This Row],[DISCHARGE DATE]]),0,IF(DATA[[#This Row],[TYPE]]="VIP",20*DATA[[#This Row],[STORAGE DAYS]],13*DATA[[#This Row],[STORAGE DAYS]]))</f>
        <v>1780</v>
      </c>
      <c r="S202" s="71" t="str">
        <f>IF(ISBLANK(DATA[[#This Row],[COLDROOM RECEIPT]]), "IN CUSTODY", "DISCHARGED")</f>
        <v>DISCHARGED</v>
      </c>
      <c r="T202" s="58">
        <f>COUNTA(A:A)-2</f>
        <v>419</v>
      </c>
      <c r="U202" s="59">
        <f>YEAR(DATA[[#This Row],[ADMISSION DATE]])</f>
        <v>2025</v>
      </c>
      <c r="V202" s="60" t="str">
        <f>TEXT(DATA[[#This Row],[ADMISSION DATE]],"mmm")</f>
        <v>Sep</v>
      </c>
      <c r="W202" s="59">
        <f>YEAR(DATA[[#This Row],[DISCHARGE DATE]])</f>
        <v>2025</v>
      </c>
      <c r="X202" s="60" t="str">
        <f>TEXT(DATA[[#This Row],[DISCHARGE DATE]],"mmm")</f>
        <v>Nov</v>
      </c>
    </row>
    <row r="203" spans="1:24" s="27" customFormat="1" ht="16.5" hidden="1" customHeight="1">
      <c r="A203" s="152" t="s">
        <v>922</v>
      </c>
      <c r="B203" s="151" t="s">
        <v>923</v>
      </c>
      <c r="C203" s="151">
        <v>57</v>
      </c>
      <c r="D203" s="152" t="s">
        <v>12</v>
      </c>
      <c r="E203" s="152" t="s">
        <v>277</v>
      </c>
      <c r="F203" s="153" t="s">
        <v>924</v>
      </c>
      <c r="G203" s="152" t="s">
        <v>16</v>
      </c>
      <c r="H203" s="154">
        <v>0.44791666666666669</v>
      </c>
      <c r="I203" s="152" t="s">
        <v>18</v>
      </c>
      <c r="J203" s="155">
        <v>45902</v>
      </c>
      <c r="K203" s="155">
        <v>45989</v>
      </c>
      <c r="L203" s="151">
        <f>IF(ISBLANK(DATA[[#This Row],[DISCHARGE DATE]]),"NO DATE", DATA[[#This Row],[DISCHARGE DATE]]-DATA[[#This Row],[ADMISSION DATE]]+1)</f>
        <v>88</v>
      </c>
      <c r="M203" s="156">
        <v>350</v>
      </c>
      <c r="N203" s="156">
        <v>1144</v>
      </c>
      <c r="O203" s="157" t="s">
        <v>744</v>
      </c>
      <c r="P203" s="157" t="s">
        <v>925</v>
      </c>
      <c r="Q203" s="158">
        <f>IF(DATA[[#This Row],[STORAGE FEE]]=0,"NULL",DATA[[#This Row],[COLDROOM FEE]])-DATA[[#This Row],[STORAGE FEE]]</f>
        <v>0</v>
      </c>
      <c r="R203" s="158">
        <f>IF(ISBLANK(DATA[[#This Row],[DISCHARGE DATE]]),0,IF(DATA[[#This Row],[TYPE]]="VIP",20*DATA[[#This Row],[STORAGE DAYS]],13*DATA[[#This Row],[STORAGE DAYS]]))</f>
        <v>1144</v>
      </c>
      <c r="S203" s="71" t="str">
        <f>IF(ISBLANK(DATA[[#This Row],[COLDROOM RECEIPT]]), "IN CUSTODY", "DISCHARGED")</f>
        <v>DISCHARGED</v>
      </c>
      <c r="T203" s="58">
        <f>COUNTA(A:A)-2</f>
        <v>419</v>
      </c>
      <c r="U203" s="59">
        <f>YEAR(DATA[[#This Row],[ADMISSION DATE]])</f>
        <v>2025</v>
      </c>
      <c r="V203" s="60" t="str">
        <f>TEXT(DATA[[#This Row],[ADMISSION DATE]],"mmm")</f>
        <v>Sep</v>
      </c>
      <c r="W203" s="59">
        <f>YEAR(DATA[[#This Row],[DISCHARGE DATE]])</f>
        <v>2025</v>
      </c>
      <c r="X203" s="60" t="str">
        <f>TEXT(DATA[[#This Row],[DISCHARGE DATE]],"mmm")</f>
        <v>Nov</v>
      </c>
    </row>
    <row r="204" spans="1:24" s="27" customFormat="1" ht="16.5" hidden="1" customHeight="1">
      <c r="A204" s="152" t="s">
        <v>926</v>
      </c>
      <c r="B204" s="151" t="s">
        <v>927</v>
      </c>
      <c r="C204" s="151">
        <v>60</v>
      </c>
      <c r="D204" s="152" t="s">
        <v>12</v>
      </c>
      <c r="E204" s="152" t="s">
        <v>928</v>
      </c>
      <c r="F204" s="153" t="s">
        <v>929</v>
      </c>
      <c r="G204" s="152" t="s">
        <v>40</v>
      </c>
      <c r="H204" s="154" t="s">
        <v>930</v>
      </c>
      <c r="I204" s="152" t="s">
        <v>18</v>
      </c>
      <c r="J204" s="155">
        <v>45903</v>
      </c>
      <c r="K204" s="155">
        <v>45954</v>
      </c>
      <c r="L204" s="151">
        <f>IF(ISBLANK(DATA[[#This Row],[DISCHARGE DATE]]),"NO DATE", DATA[[#This Row],[DISCHARGE DATE]]-DATA[[#This Row],[ADMISSION DATE]]+1)</f>
        <v>52</v>
      </c>
      <c r="M204" s="156">
        <v>350</v>
      </c>
      <c r="N204" s="156">
        <v>676</v>
      </c>
      <c r="O204" s="157" t="s">
        <v>730</v>
      </c>
      <c r="P204" s="157" t="s">
        <v>931</v>
      </c>
      <c r="Q204" s="158">
        <f>IF(DATA[[#This Row],[STORAGE FEE]]=0,"NULL",DATA[[#This Row],[COLDROOM FEE]])-DATA[[#This Row],[STORAGE FEE]]</f>
        <v>0</v>
      </c>
      <c r="R204" s="158">
        <f>IF(ISBLANK(DATA[[#This Row],[DISCHARGE DATE]]),0,IF(DATA[[#This Row],[TYPE]]="VIP",20*DATA[[#This Row],[STORAGE DAYS]],13*DATA[[#This Row],[STORAGE DAYS]]))</f>
        <v>676</v>
      </c>
      <c r="S204" s="71" t="str">
        <f>IF(ISBLANK(DATA[[#This Row],[COLDROOM RECEIPT]]), "IN CUSTODY", "DISCHARGED")</f>
        <v>DISCHARGED</v>
      </c>
      <c r="T204" s="58">
        <f>COUNTA(A:A)-2</f>
        <v>419</v>
      </c>
      <c r="U204" s="59">
        <f>YEAR(DATA[[#This Row],[ADMISSION DATE]])</f>
        <v>2025</v>
      </c>
      <c r="V204" s="60" t="str">
        <f>TEXT(DATA[[#This Row],[ADMISSION DATE]],"mmm")</f>
        <v>Sep</v>
      </c>
      <c r="W204" s="59">
        <f>YEAR(DATA[[#This Row],[DISCHARGE DATE]])</f>
        <v>2025</v>
      </c>
      <c r="X204" s="60" t="str">
        <f>TEXT(DATA[[#This Row],[DISCHARGE DATE]],"mmm")</f>
        <v>Oct</v>
      </c>
    </row>
    <row r="205" spans="1:24" s="27" customFormat="1" ht="16.5" hidden="1" customHeight="1">
      <c r="A205" s="152" t="s">
        <v>932</v>
      </c>
      <c r="B205" s="151" t="s">
        <v>933</v>
      </c>
      <c r="C205" s="151">
        <v>87</v>
      </c>
      <c r="D205" s="152" t="s">
        <v>12</v>
      </c>
      <c r="E205" s="152" t="s">
        <v>934</v>
      </c>
      <c r="F205" s="153" t="s">
        <v>935</v>
      </c>
      <c r="G205" s="152" t="s">
        <v>22</v>
      </c>
      <c r="H205" s="154" t="s">
        <v>936</v>
      </c>
      <c r="I205" s="152" t="s">
        <v>18</v>
      </c>
      <c r="J205" s="155">
        <v>45904</v>
      </c>
      <c r="K205" s="155">
        <v>46037</v>
      </c>
      <c r="L205" s="151">
        <f>IF(ISBLANK(DATA[[#This Row],[DISCHARGE DATE]]),"NO DATE", DATA[[#This Row],[DISCHARGE DATE]]-DATA[[#This Row],[ADMISSION DATE]]+1)</f>
        <v>134</v>
      </c>
      <c r="M205" s="156">
        <v>350</v>
      </c>
      <c r="N205" s="156">
        <v>1742</v>
      </c>
      <c r="O205" s="157" t="s">
        <v>937</v>
      </c>
      <c r="P205" s="157">
        <v>125</v>
      </c>
      <c r="Q205" s="158">
        <f>IF(DATA[[#This Row],[STORAGE FEE]]=0,"NULL",DATA[[#This Row],[COLDROOM FEE]])-DATA[[#This Row],[STORAGE FEE]]</f>
        <v>0</v>
      </c>
      <c r="R205" s="158">
        <f>IF(ISBLANK(DATA[[#This Row],[DISCHARGE DATE]]),0,IF(DATA[[#This Row],[TYPE]]="VIP",20*DATA[[#This Row],[STORAGE DAYS]],13*DATA[[#This Row],[STORAGE DAYS]]))</f>
        <v>1742</v>
      </c>
      <c r="S205" s="71" t="str">
        <f>IF(ISBLANK(DATA[[#This Row],[COLDROOM RECEIPT]]), "IN CUSTODY", "DISCHARGED")</f>
        <v>DISCHARGED</v>
      </c>
      <c r="T205" s="58">
        <f>COUNTA(A:A)-2</f>
        <v>419</v>
      </c>
      <c r="U205" s="59">
        <f>YEAR(DATA[[#This Row],[ADMISSION DATE]])</f>
        <v>2025</v>
      </c>
      <c r="V205" s="60" t="str">
        <f>TEXT(DATA[[#This Row],[ADMISSION DATE]],"mmm")</f>
        <v>Sep</v>
      </c>
      <c r="W205" s="59">
        <f>YEAR(DATA[[#This Row],[DISCHARGE DATE]])</f>
        <v>2026</v>
      </c>
      <c r="X205" s="60" t="str">
        <f>TEXT(DATA[[#This Row],[DISCHARGE DATE]],"mmm")</f>
        <v>Jan</v>
      </c>
    </row>
    <row r="206" spans="1:24" s="27" customFormat="1" ht="16.5" hidden="1" customHeight="1">
      <c r="A206" s="152" t="s">
        <v>938</v>
      </c>
      <c r="B206" s="151" t="s">
        <v>939</v>
      </c>
      <c r="C206" s="151">
        <v>87</v>
      </c>
      <c r="D206" s="152" t="s">
        <v>11</v>
      </c>
      <c r="E206" s="152" t="s">
        <v>940</v>
      </c>
      <c r="F206" s="153" t="s">
        <v>941</v>
      </c>
      <c r="G206" s="152" t="s">
        <v>13</v>
      </c>
      <c r="H206" s="154" t="s">
        <v>942</v>
      </c>
      <c r="I206" s="152" t="s">
        <v>20</v>
      </c>
      <c r="J206" s="155">
        <v>45905</v>
      </c>
      <c r="K206" s="155">
        <v>46108</v>
      </c>
      <c r="L206" s="151">
        <f>IF(ISBLANK(DATA[[#This Row],[DISCHARGE DATE]]),"NO DATE", DATA[[#This Row],[DISCHARGE DATE]]-DATA[[#This Row],[ADMISSION DATE]]+1)</f>
        <v>204</v>
      </c>
      <c r="M206" s="156">
        <v>350</v>
      </c>
      <c r="N206" s="156">
        <v>4080</v>
      </c>
      <c r="O206" s="157" t="s">
        <v>726</v>
      </c>
      <c r="P206" s="157">
        <v>146</v>
      </c>
      <c r="Q206" s="158">
        <f>IF(DATA[[#This Row],[STORAGE FEE]]=0,"NULL",DATA[[#This Row],[COLDROOM FEE]])-DATA[[#This Row],[STORAGE FEE]]</f>
        <v>0</v>
      </c>
      <c r="R206" s="158">
        <f>IF(ISBLANK(DATA[[#This Row],[DISCHARGE DATE]]),0,IF(DATA[[#This Row],[TYPE]]="VIP",20*DATA[[#This Row],[STORAGE DAYS]],13*DATA[[#This Row],[STORAGE DAYS]]))</f>
        <v>4080</v>
      </c>
      <c r="S206" s="71" t="str">
        <f>IF(ISBLANK(DATA[[#This Row],[COLDROOM RECEIPT]]), "IN CUSTODY", "DISCHARGED")</f>
        <v>DISCHARGED</v>
      </c>
      <c r="T206" s="58">
        <f>COUNTA(A:A)-2</f>
        <v>419</v>
      </c>
      <c r="U206" s="59">
        <f>YEAR(DATA[[#This Row],[ADMISSION DATE]])</f>
        <v>2025</v>
      </c>
      <c r="V206" s="60" t="str">
        <f>TEXT(DATA[[#This Row],[ADMISSION DATE]],"mmm")</f>
        <v>Sep</v>
      </c>
      <c r="W206" s="59">
        <f>YEAR(DATA[[#This Row],[DISCHARGE DATE]])</f>
        <v>2026</v>
      </c>
      <c r="X206" s="60" t="str">
        <f>TEXT(DATA[[#This Row],[DISCHARGE DATE]],"mmm")</f>
        <v>Mar</v>
      </c>
    </row>
    <row r="207" spans="1:24" s="27" customFormat="1" ht="16.5" hidden="1" customHeight="1">
      <c r="A207" s="152" t="s">
        <v>943</v>
      </c>
      <c r="B207" s="151" t="s">
        <v>944</v>
      </c>
      <c r="C207" s="151">
        <v>47</v>
      </c>
      <c r="D207" s="152" t="s">
        <v>12</v>
      </c>
      <c r="E207" s="152" t="s">
        <v>945</v>
      </c>
      <c r="F207" s="153" t="s">
        <v>946</v>
      </c>
      <c r="G207" s="152" t="s">
        <v>13</v>
      </c>
      <c r="H207" s="154">
        <v>0.74097222222222225</v>
      </c>
      <c r="I207" s="152" t="s">
        <v>18</v>
      </c>
      <c r="J207" s="155">
        <v>45908</v>
      </c>
      <c r="K207" s="155">
        <v>45933</v>
      </c>
      <c r="L207" s="151">
        <f>IF(ISBLANK(DATA[[#This Row],[DISCHARGE DATE]]),"NO DATE", DATA[[#This Row],[DISCHARGE DATE]]-DATA[[#This Row],[ADMISSION DATE]]+1)</f>
        <v>26</v>
      </c>
      <c r="M207" s="156">
        <v>350</v>
      </c>
      <c r="N207" s="156">
        <v>338</v>
      </c>
      <c r="O207" s="157" t="s">
        <v>808</v>
      </c>
      <c r="P207" s="157" t="s">
        <v>937</v>
      </c>
      <c r="Q207" s="158">
        <f>IF(DATA[[#This Row],[STORAGE FEE]]=0,"NULL",DATA[[#This Row],[COLDROOM FEE]])-DATA[[#This Row],[STORAGE FEE]]</f>
        <v>0</v>
      </c>
      <c r="R207" s="158">
        <f>IF(ISBLANK(DATA[[#This Row],[DISCHARGE DATE]]),0,IF(DATA[[#This Row],[TYPE]]="VIP",20*DATA[[#This Row],[STORAGE DAYS]],13*DATA[[#This Row],[STORAGE DAYS]]))</f>
        <v>338</v>
      </c>
      <c r="S207" s="71" t="str">
        <f>IF(ISBLANK(DATA[[#This Row],[COLDROOM RECEIPT]]), "IN CUSTODY", "DISCHARGED")</f>
        <v>DISCHARGED</v>
      </c>
      <c r="T207" s="58">
        <f>COUNTA(A:A)-2</f>
        <v>419</v>
      </c>
      <c r="U207" s="59">
        <f>YEAR(DATA[[#This Row],[ADMISSION DATE]])</f>
        <v>2025</v>
      </c>
      <c r="V207" s="60" t="str">
        <f>TEXT(DATA[[#This Row],[ADMISSION DATE]],"mmm")</f>
        <v>Sep</v>
      </c>
      <c r="W207" s="59">
        <f>YEAR(DATA[[#This Row],[DISCHARGE DATE]])</f>
        <v>2025</v>
      </c>
      <c r="X207" s="60" t="str">
        <f>TEXT(DATA[[#This Row],[DISCHARGE DATE]],"mmm")</f>
        <v>Oct</v>
      </c>
    </row>
    <row r="208" spans="1:24" s="27" customFormat="1" ht="16.5" hidden="1" customHeight="1">
      <c r="A208" s="152" t="s">
        <v>947</v>
      </c>
      <c r="B208" s="151" t="s">
        <v>948</v>
      </c>
      <c r="C208" s="151">
        <v>64</v>
      </c>
      <c r="D208" s="152" t="s">
        <v>11</v>
      </c>
      <c r="E208" s="152" t="s">
        <v>949</v>
      </c>
      <c r="F208" s="153" t="s">
        <v>950</v>
      </c>
      <c r="G208" s="152" t="s">
        <v>17</v>
      </c>
      <c r="H208" s="154" t="s">
        <v>951</v>
      </c>
      <c r="I208" s="152" t="s">
        <v>18</v>
      </c>
      <c r="J208" s="155">
        <v>45910</v>
      </c>
      <c r="K208" s="155">
        <v>45989</v>
      </c>
      <c r="L208" s="151">
        <f>IF(ISBLANK(DATA[[#This Row],[DISCHARGE DATE]]),"NO DATE", DATA[[#This Row],[DISCHARGE DATE]]-DATA[[#This Row],[ADMISSION DATE]]+1)</f>
        <v>80</v>
      </c>
      <c r="M208" s="156">
        <v>350</v>
      </c>
      <c r="N208" s="156">
        <v>1040</v>
      </c>
      <c r="O208" s="157" t="s">
        <v>829</v>
      </c>
      <c r="P208" s="157" t="s">
        <v>527</v>
      </c>
      <c r="Q208" s="158">
        <f>IF(DATA[[#This Row],[STORAGE FEE]]=0,"NULL",DATA[[#This Row],[COLDROOM FEE]])-DATA[[#This Row],[STORAGE FEE]]</f>
        <v>0</v>
      </c>
      <c r="R208" s="158">
        <f>IF(ISBLANK(DATA[[#This Row],[DISCHARGE DATE]]),0,IF(DATA[[#This Row],[TYPE]]="VIP",20*DATA[[#This Row],[STORAGE DAYS]],13*DATA[[#This Row],[STORAGE DAYS]]))</f>
        <v>1040</v>
      </c>
      <c r="S208" s="71" t="str">
        <f>IF(ISBLANK(DATA[[#This Row],[COLDROOM RECEIPT]]), "IN CUSTODY", "DISCHARGED")</f>
        <v>DISCHARGED</v>
      </c>
      <c r="T208" s="58">
        <f>COUNTA(A:A)-2</f>
        <v>419</v>
      </c>
      <c r="U208" s="59">
        <f>YEAR(DATA[[#This Row],[ADMISSION DATE]])</f>
        <v>2025</v>
      </c>
      <c r="V208" s="60" t="str">
        <f>TEXT(DATA[[#This Row],[ADMISSION DATE]],"mmm")</f>
        <v>Sep</v>
      </c>
      <c r="W208" s="59">
        <f>YEAR(DATA[[#This Row],[DISCHARGE DATE]])</f>
        <v>2025</v>
      </c>
      <c r="X208" s="60" t="str">
        <f>TEXT(DATA[[#This Row],[DISCHARGE DATE]],"mmm")</f>
        <v>Nov</v>
      </c>
    </row>
    <row r="209" spans="1:24" s="27" customFormat="1" ht="16.5" hidden="1" customHeight="1">
      <c r="A209" s="152" t="s">
        <v>952</v>
      </c>
      <c r="B209" s="151" t="s">
        <v>953</v>
      </c>
      <c r="C209" s="151">
        <v>59</v>
      </c>
      <c r="D209" s="152" t="s">
        <v>12</v>
      </c>
      <c r="E209" s="152" t="s">
        <v>954</v>
      </c>
      <c r="F209" s="153" t="s">
        <v>955</v>
      </c>
      <c r="G209" s="152" t="s">
        <v>13</v>
      </c>
      <c r="H209" s="154" t="s">
        <v>956</v>
      </c>
      <c r="I209" s="152" t="s">
        <v>18</v>
      </c>
      <c r="J209" s="155">
        <v>45911</v>
      </c>
      <c r="K209" s="155">
        <v>45961</v>
      </c>
      <c r="L209" s="151">
        <f>IF(ISBLANK(DATA[[#This Row],[DISCHARGE DATE]]),"NO DATE", DATA[[#This Row],[DISCHARGE DATE]]-DATA[[#This Row],[ADMISSION DATE]]+1)</f>
        <v>51</v>
      </c>
      <c r="M209" s="156">
        <v>350</v>
      </c>
      <c r="N209" s="156">
        <v>663</v>
      </c>
      <c r="O209" s="157" t="s">
        <v>903</v>
      </c>
      <c r="P209" s="157" t="s">
        <v>957</v>
      </c>
      <c r="Q209" s="158">
        <f>IF(DATA[[#This Row],[STORAGE FEE]]=0,"NULL",DATA[[#This Row],[COLDROOM FEE]])-DATA[[#This Row],[STORAGE FEE]]</f>
        <v>0</v>
      </c>
      <c r="R209" s="158">
        <f>IF(ISBLANK(DATA[[#This Row],[DISCHARGE DATE]]),0,IF(DATA[[#This Row],[TYPE]]="VIP",20*DATA[[#This Row],[STORAGE DAYS]],13*DATA[[#This Row],[STORAGE DAYS]]))</f>
        <v>663</v>
      </c>
      <c r="S209" s="71" t="str">
        <f>IF(ISBLANK(DATA[[#This Row],[COLDROOM RECEIPT]]), "IN CUSTODY", "DISCHARGED")</f>
        <v>DISCHARGED</v>
      </c>
      <c r="T209" s="58">
        <f>COUNTA(A:A)-2</f>
        <v>419</v>
      </c>
      <c r="U209" s="59">
        <f>YEAR(DATA[[#This Row],[ADMISSION DATE]])</f>
        <v>2025</v>
      </c>
      <c r="V209" s="60" t="str">
        <f>TEXT(DATA[[#This Row],[ADMISSION DATE]],"mmm")</f>
        <v>Sep</v>
      </c>
      <c r="W209" s="59">
        <f>YEAR(DATA[[#This Row],[DISCHARGE DATE]])</f>
        <v>2025</v>
      </c>
      <c r="X209" s="60" t="str">
        <f>TEXT(DATA[[#This Row],[DISCHARGE DATE]],"mmm")</f>
        <v>Oct</v>
      </c>
    </row>
    <row r="210" spans="1:24" s="27" customFormat="1" ht="16.5" hidden="1" customHeight="1">
      <c r="A210" s="152" t="s">
        <v>958</v>
      </c>
      <c r="B210" s="151" t="s">
        <v>959</v>
      </c>
      <c r="C210" s="151">
        <v>54</v>
      </c>
      <c r="D210" s="152" t="s">
        <v>12</v>
      </c>
      <c r="E210" s="152" t="s">
        <v>960</v>
      </c>
      <c r="F210" s="153" t="s">
        <v>961</v>
      </c>
      <c r="G210" s="152" t="s">
        <v>13</v>
      </c>
      <c r="H210" s="154" t="s">
        <v>962</v>
      </c>
      <c r="I210" s="152" t="s">
        <v>18</v>
      </c>
      <c r="J210" s="155">
        <v>45912</v>
      </c>
      <c r="K210" s="155">
        <v>45989</v>
      </c>
      <c r="L210" s="151">
        <f>IF(ISBLANK(DATA[[#This Row],[DISCHARGE DATE]]),"NO DATE", DATA[[#This Row],[DISCHARGE DATE]]-DATA[[#This Row],[ADMISSION DATE]]+1)</f>
        <v>78</v>
      </c>
      <c r="M210" s="156">
        <v>350</v>
      </c>
      <c r="N210" s="156">
        <v>1014</v>
      </c>
      <c r="O210" s="157" t="s">
        <v>838</v>
      </c>
      <c r="P210" s="157" t="s">
        <v>564</v>
      </c>
      <c r="Q210" s="158">
        <f>IF(DATA[[#This Row],[STORAGE FEE]]=0,"NULL",DATA[[#This Row],[COLDROOM FEE]])-DATA[[#This Row],[STORAGE FEE]]</f>
        <v>0</v>
      </c>
      <c r="R210" s="158">
        <f>IF(ISBLANK(DATA[[#This Row],[DISCHARGE DATE]]),0,IF(DATA[[#This Row],[TYPE]]="VIP",20*DATA[[#This Row],[STORAGE DAYS]],13*DATA[[#This Row],[STORAGE DAYS]]))</f>
        <v>1014</v>
      </c>
      <c r="S210" s="71" t="str">
        <f>IF(ISBLANK(DATA[[#This Row],[COLDROOM RECEIPT]]), "IN CUSTODY", "DISCHARGED")</f>
        <v>DISCHARGED</v>
      </c>
      <c r="T210" s="58">
        <f>COUNTA(A:A)-2</f>
        <v>419</v>
      </c>
      <c r="U210" s="59">
        <f>YEAR(DATA[[#This Row],[ADMISSION DATE]])</f>
        <v>2025</v>
      </c>
      <c r="V210" s="60" t="str">
        <f>TEXT(DATA[[#This Row],[ADMISSION DATE]],"mmm")</f>
        <v>Sep</v>
      </c>
      <c r="W210" s="59">
        <f>YEAR(DATA[[#This Row],[DISCHARGE DATE]])</f>
        <v>2025</v>
      </c>
      <c r="X210" s="60" t="str">
        <f>TEXT(DATA[[#This Row],[DISCHARGE DATE]],"mmm")</f>
        <v>Nov</v>
      </c>
    </row>
    <row r="211" spans="1:24" s="27" customFormat="1" ht="16.5" hidden="1" customHeight="1">
      <c r="A211" s="152" t="s">
        <v>963</v>
      </c>
      <c r="B211" s="151" t="s">
        <v>964</v>
      </c>
      <c r="C211" s="151">
        <v>40</v>
      </c>
      <c r="D211" s="152" t="s">
        <v>12</v>
      </c>
      <c r="E211" s="152" t="s">
        <v>965</v>
      </c>
      <c r="F211" s="153" t="s">
        <v>966</v>
      </c>
      <c r="G211" s="152" t="s">
        <v>17</v>
      </c>
      <c r="H211" s="154" t="s">
        <v>967</v>
      </c>
      <c r="I211" s="152" t="s">
        <v>18</v>
      </c>
      <c r="J211" s="155">
        <v>45914</v>
      </c>
      <c r="K211" s="155">
        <v>45989</v>
      </c>
      <c r="L211" s="151">
        <f>IF(ISBLANK(DATA[[#This Row],[DISCHARGE DATE]]),"NO DATE", DATA[[#This Row],[DISCHARGE DATE]]-DATA[[#This Row],[ADMISSION DATE]]+1)</f>
        <v>76</v>
      </c>
      <c r="M211" s="156">
        <v>350</v>
      </c>
      <c r="N211" s="156">
        <v>988</v>
      </c>
      <c r="O211" s="157" t="s">
        <v>833</v>
      </c>
      <c r="P211" s="157" t="s">
        <v>968</v>
      </c>
      <c r="Q211" s="158">
        <f>IF(DATA[[#This Row],[STORAGE FEE]]=0,"NULL",DATA[[#This Row],[COLDROOM FEE]])-DATA[[#This Row],[STORAGE FEE]]</f>
        <v>0</v>
      </c>
      <c r="R211" s="158">
        <f>IF(ISBLANK(DATA[[#This Row],[DISCHARGE DATE]]),0,IF(DATA[[#This Row],[TYPE]]="VIP",20*DATA[[#This Row],[STORAGE DAYS]],13*DATA[[#This Row],[STORAGE DAYS]]))</f>
        <v>988</v>
      </c>
      <c r="S211" s="71" t="str">
        <f>IF(ISBLANK(DATA[[#This Row],[COLDROOM RECEIPT]]), "IN CUSTODY", "DISCHARGED")</f>
        <v>DISCHARGED</v>
      </c>
      <c r="T211" s="58">
        <f>COUNTA(A:A)-2</f>
        <v>419</v>
      </c>
      <c r="U211" s="59">
        <f>YEAR(DATA[[#This Row],[ADMISSION DATE]])</f>
        <v>2025</v>
      </c>
      <c r="V211" s="60" t="str">
        <f>TEXT(DATA[[#This Row],[ADMISSION DATE]],"mmm")</f>
        <v>Sep</v>
      </c>
      <c r="W211" s="59">
        <f>YEAR(DATA[[#This Row],[DISCHARGE DATE]])</f>
        <v>2025</v>
      </c>
      <c r="X211" s="60" t="str">
        <f>TEXT(DATA[[#This Row],[DISCHARGE DATE]],"mmm")</f>
        <v>Nov</v>
      </c>
    </row>
    <row r="212" spans="1:24" s="27" customFormat="1" ht="16.5" hidden="1" customHeight="1">
      <c r="A212" s="152" t="s">
        <v>969</v>
      </c>
      <c r="B212" s="151" t="s">
        <v>970</v>
      </c>
      <c r="C212" s="151">
        <v>27</v>
      </c>
      <c r="D212" s="152" t="s">
        <v>12</v>
      </c>
      <c r="E212" s="152" t="s">
        <v>971</v>
      </c>
      <c r="F212" s="153" t="s">
        <v>972</v>
      </c>
      <c r="G212" s="152" t="s">
        <v>21</v>
      </c>
      <c r="H212" s="154">
        <v>0.43055555555555558</v>
      </c>
      <c r="I212" s="152" t="s">
        <v>20</v>
      </c>
      <c r="J212" s="155">
        <v>45915</v>
      </c>
      <c r="K212" s="155">
        <v>45920</v>
      </c>
      <c r="L212" s="151">
        <f>IF(ISBLANK(DATA[[#This Row],[DISCHARGE DATE]]),"NO DATE", DATA[[#This Row],[DISCHARGE DATE]]-DATA[[#This Row],[ADMISSION DATE]]+1)</f>
        <v>6</v>
      </c>
      <c r="M212" s="156">
        <v>350</v>
      </c>
      <c r="N212" s="156">
        <v>120</v>
      </c>
      <c r="O212" s="157" t="s">
        <v>877</v>
      </c>
      <c r="P212" s="157" t="s">
        <v>973</v>
      </c>
      <c r="Q212" s="158">
        <f>IF(DATA[[#This Row],[STORAGE FEE]]=0,"NULL",DATA[[#This Row],[COLDROOM FEE]])-DATA[[#This Row],[STORAGE FEE]]</f>
        <v>0</v>
      </c>
      <c r="R212" s="158">
        <f>IF(ISBLANK(DATA[[#This Row],[DISCHARGE DATE]]),0,IF(DATA[[#This Row],[TYPE]]="VIP",20*DATA[[#This Row],[STORAGE DAYS]],13*DATA[[#This Row],[STORAGE DAYS]]))</f>
        <v>120</v>
      </c>
      <c r="S212" s="71" t="str">
        <f>IF(ISBLANK(DATA[[#This Row],[COLDROOM RECEIPT]]), "IN CUSTODY", "DISCHARGED")</f>
        <v>DISCHARGED</v>
      </c>
      <c r="T212" s="58">
        <f>COUNTA(A:A)-2</f>
        <v>419</v>
      </c>
      <c r="U212" s="59">
        <f>YEAR(DATA[[#This Row],[ADMISSION DATE]])</f>
        <v>2025</v>
      </c>
      <c r="V212" s="60" t="str">
        <f>TEXT(DATA[[#This Row],[ADMISSION DATE]],"mmm")</f>
        <v>Sep</v>
      </c>
      <c r="W212" s="59">
        <f>YEAR(DATA[[#This Row],[DISCHARGE DATE]])</f>
        <v>2025</v>
      </c>
      <c r="X212" s="60" t="str">
        <f>TEXT(DATA[[#This Row],[DISCHARGE DATE]],"mmm")</f>
        <v>Sep</v>
      </c>
    </row>
    <row r="213" spans="1:24" s="27" customFormat="1" ht="16.5" hidden="1" customHeight="1">
      <c r="A213" s="152" t="s">
        <v>974</v>
      </c>
      <c r="B213" s="151" t="s">
        <v>975</v>
      </c>
      <c r="C213" s="151">
        <v>93</v>
      </c>
      <c r="D213" s="152" t="s">
        <v>12</v>
      </c>
      <c r="E213" s="152" t="s">
        <v>976</v>
      </c>
      <c r="F213" s="153" t="s">
        <v>977</v>
      </c>
      <c r="G213" s="152" t="s">
        <v>16</v>
      </c>
      <c r="H213" s="154" t="s">
        <v>978</v>
      </c>
      <c r="I213" s="152" t="s">
        <v>18</v>
      </c>
      <c r="J213" s="155">
        <v>45923</v>
      </c>
      <c r="K213" s="155">
        <v>46129</v>
      </c>
      <c r="L213" s="151">
        <f>IF(ISBLANK(DATA[[#This Row],[DISCHARGE DATE]]),"NO DATE", DATA[[#This Row],[DISCHARGE DATE]]-DATA[[#This Row],[ADMISSION DATE]]+1)</f>
        <v>207</v>
      </c>
      <c r="M213" s="156">
        <v>350</v>
      </c>
      <c r="N213" s="156">
        <v>2691</v>
      </c>
      <c r="O213" s="157" t="s">
        <v>804</v>
      </c>
      <c r="P213" s="157">
        <v>277</v>
      </c>
      <c r="Q213" s="158">
        <f>IF(DATA[[#This Row],[STORAGE FEE]]=0,"NULL",DATA[[#This Row],[COLDROOM FEE]])-DATA[[#This Row],[STORAGE FEE]]</f>
        <v>0</v>
      </c>
      <c r="R213" s="158">
        <f>IF(ISBLANK(DATA[[#This Row],[DISCHARGE DATE]]),0,IF(DATA[[#This Row],[TYPE]]="VIP",20*DATA[[#This Row],[STORAGE DAYS]],13*DATA[[#This Row],[STORAGE DAYS]]))</f>
        <v>2691</v>
      </c>
      <c r="S213" s="71" t="str">
        <f>IF(ISBLANK(DATA[[#This Row],[COLDROOM RECEIPT]]), "IN CUSTODY", "DISCHARGED")</f>
        <v>DISCHARGED</v>
      </c>
      <c r="T213" s="58">
        <f>COUNTA(A:A)-2</f>
        <v>419</v>
      </c>
      <c r="U213" s="59">
        <f>YEAR(DATA[[#This Row],[ADMISSION DATE]])</f>
        <v>2025</v>
      </c>
      <c r="V213" s="60" t="str">
        <f>TEXT(DATA[[#This Row],[ADMISSION DATE]],"mmm")</f>
        <v>Sep</v>
      </c>
      <c r="W213" s="59">
        <f>YEAR(DATA[[#This Row],[DISCHARGE DATE]])</f>
        <v>2026</v>
      </c>
      <c r="X213" s="60" t="str">
        <f>TEXT(DATA[[#This Row],[DISCHARGE DATE]],"mmm")</f>
        <v>Apr</v>
      </c>
    </row>
    <row r="214" spans="1:24" s="27" customFormat="1" ht="16.5" hidden="1" customHeight="1">
      <c r="A214" s="152" t="s">
        <v>979</v>
      </c>
      <c r="B214" s="151" t="s">
        <v>980</v>
      </c>
      <c r="C214" s="151">
        <v>43</v>
      </c>
      <c r="D214" s="152" t="s">
        <v>12</v>
      </c>
      <c r="E214" s="152" t="s">
        <v>981</v>
      </c>
      <c r="F214" s="153" t="s">
        <v>982</v>
      </c>
      <c r="G214" s="152" t="s">
        <v>15</v>
      </c>
      <c r="H214" s="154" t="s">
        <v>962</v>
      </c>
      <c r="I214" s="152" t="s">
        <v>18</v>
      </c>
      <c r="J214" s="155">
        <v>45925</v>
      </c>
      <c r="K214" s="155">
        <v>45961</v>
      </c>
      <c r="L214" s="151">
        <f>IF(ISBLANK(DATA[[#This Row],[DISCHARGE DATE]]),"NO DATE", DATA[[#This Row],[DISCHARGE DATE]]-DATA[[#This Row],[ADMISSION DATE]]+1)</f>
        <v>37</v>
      </c>
      <c r="M214" s="156">
        <v>350</v>
      </c>
      <c r="N214" s="156">
        <v>481</v>
      </c>
      <c r="O214" s="157" t="s">
        <v>498</v>
      </c>
      <c r="P214" s="157" t="s">
        <v>983</v>
      </c>
      <c r="Q214" s="158">
        <f>IF(DATA[[#This Row],[STORAGE FEE]]=0,"NULL",DATA[[#This Row],[COLDROOM FEE]])-DATA[[#This Row],[STORAGE FEE]]</f>
        <v>0</v>
      </c>
      <c r="R214" s="158">
        <f>IF(ISBLANK(DATA[[#This Row],[DISCHARGE DATE]]),0,IF(DATA[[#This Row],[TYPE]]="VIP",20*DATA[[#This Row],[STORAGE DAYS]],13*DATA[[#This Row],[STORAGE DAYS]]))</f>
        <v>481</v>
      </c>
      <c r="S214" s="71" t="str">
        <f>IF(ISBLANK(DATA[[#This Row],[COLDROOM RECEIPT]]), "IN CUSTODY", "DISCHARGED")</f>
        <v>DISCHARGED</v>
      </c>
      <c r="T214" s="58">
        <f>COUNTA(A:A)-2</f>
        <v>419</v>
      </c>
      <c r="U214" s="59">
        <f>YEAR(DATA[[#This Row],[ADMISSION DATE]])</f>
        <v>2025</v>
      </c>
      <c r="V214" s="60" t="str">
        <f>TEXT(DATA[[#This Row],[ADMISSION DATE]],"mmm")</f>
        <v>Sep</v>
      </c>
      <c r="W214" s="59">
        <f>YEAR(DATA[[#This Row],[DISCHARGE DATE]])</f>
        <v>2025</v>
      </c>
      <c r="X214" s="60" t="str">
        <f>TEXT(DATA[[#This Row],[DISCHARGE DATE]],"mmm")</f>
        <v>Oct</v>
      </c>
    </row>
    <row r="215" spans="1:24" s="27" customFormat="1" ht="16.5" hidden="1" customHeight="1">
      <c r="A215" s="152" t="s">
        <v>984</v>
      </c>
      <c r="B215" s="151" t="s">
        <v>985</v>
      </c>
      <c r="C215" s="151">
        <v>38</v>
      </c>
      <c r="D215" s="152" t="s">
        <v>12</v>
      </c>
      <c r="E215" s="152" t="s">
        <v>986</v>
      </c>
      <c r="F215" s="153" t="s">
        <v>987</v>
      </c>
      <c r="G215" s="152" t="s">
        <v>13</v>
      </c>
      <c r="H215" s="154" t="s">
        <v>988</v>
      </c>
      <c r="I215" s="152" t="s">
        <v>18</v>
      </c>
      <c r="J215" s="155">
        <v>45925</v>
      </c>
      <c r="K215" s="155">
        <v>45998</v>
      </c>
      <c r="L215" s="151">
        <f>IF(ISBLANK(DATA[[#This Row],[DISCHARGE DATE]]),"NO DATE", DATA[[#This Row],[DISCHARGE DATE]]-DATA[[#This Row],[ADMISSION DATE]]+1)</f>
        <v>74</v>
      </c>
      <c r="M215" s="156">
        <v>350</v>
      </c>
      <c r="N215" s="156">
        <v>962</v>
      </c>
      <c r="O215" s="157" t="s">
        <v>792</v>
      </c>
      <c r="P215" s="157" t="s">
        <v>579</v>
      </c>
      <c r="Q215" s="158">
        <f>IF(DATA[[#This Row],[STORAGE FEE]]=0,"NULL",DATA[[#This Row],[COLDROOM FEE]])-DATA[[#This Row],[STORAGE FEE]]</f>
        <v>0</v>
      </c>
      <c r="R215" s="158">
        <f>IF(ISBLANK(DATA[[#This Row],[DISCHARGE DATE]]),0,IF(DATA[[#This Row],[TYPE]]="VIP",20*DATA[[#This Row],[STORAGE DAYS]],13*DATA[[#This Row],[STORAGE DAYS]]))</f>
        <v>962</v>
      </c>
      <c r="S215" s="71" t="str">
        <f>IF(ISBLANK(DATA[[#This Row],[COLDROOM RECEIPT]]), "IN CUSTODY", "DISCHARGED")</f>
        <v>DISCHARGED</v>
      </c>
      <c r="T215" s="58">
        <f>COUNTA(A:A)-2</f>
        <v>419</v>
      </c>
      <c r="U215" s="59">
        <f>YEAR(DATA[[#This Row],[ADMISSION DATE]])</f>
        <v>2025</v>
      </c>
      <c r="V215" s="60" t="str">
        <f>TEXT(DATA[[#This Row],[ADMISSION DATE]],"mmm")</f>
        <v>Sep</v>
      </c>
      <c r="W215" s="59">
        <f>YEAR(DATA[[#This Row],[DISCHARGE DATE]])</f>
        <v>2025</v>
      </c>
      <c r="X215" s="60" t="str">
        <f>TEXT(DATA[[#This Row],[DISCHARGE DATE]],"mmm")</f>
        <v>Dec</v>
      </c>
    </row>
    <row r="216" spans="1:24" s="27" customFormat="1" ht="16.5" hidden="1" customHeight="1">
      <c r="A216" s="152" t="s">
        <v>989</v>
      </c>
      <c r="B216" s="151" t="s">
        <v>990</v>
      </c>
      <c r="C216" s="151">
        <v>75</v>
      </c>
      <c r="D216" s="152" t="s">
        <v>12</v>
      </c>
      <c r="E216" s="152" t="s">
        <v>991</v>
      </c>
      <c r="F216" s="153" t="s">
        <v>992</v>
      </c>
      <c r="G216" s="152" t="s">
        <v>13</v>
      </c>
      <c r="H216" s="154" t="s">
        <v>993</v>
      </c>
      <c r="I216" s="152" t="s">
        <v>18</v>
      </c>
      <c r="J216" s="155">
        <v>45927</v>
      </c>
      <c r="K216" s="155">
        <v>46108</v>
      </c>
      <c r="L216" s="151">
        <f>IF(ISBLANK(DATA[[#This Row],[DISCHARGE DATE]]),"NO DATE", DATA[[#This Row],[DISCHARGE DATE]]-DATA[[#This Row],[ADMISSION DATE]]+1)</f>
        <v>182</v>
      </c>
      <c r="M216" s="156">
        <v>350</v>
      </c>
      <c r="N216" s="156">
        <v>2366</v>
      </c>
      <c r="O216" s="157" t="s">
        <v>931</v>
      </c>
      <c r="P216" s="157">
        <v>133</v>
      </c>
      <c r="Q216" s="158">
        <f>IF(DATA[[#This Row],[STORAGE FEE]]=0,"NULL",DATA[[#This Row],[COLDROOM FEE]])-DATA[[#This Row],[STORAGE FEE]]</f>
        <v>0</v>
      </c>
      <c r="R216" s="158">
        <f>IF(ISBLANK(DATA[[#This Row],[DISCHARGE DATE]]),0,IF(DATA[[#This Row],[TYPE]]="VIP",20*DATA[[#This Row],[STORAGE DAYS]],13*DATA[[#This Row],[STORAGE DAYS]]))</f>
        <v>2366</v>
      </c>
      <c r="S216" s="71" t="str">
        <f>IF(ISBLANK(DATA[[#This Row],[COLDROOM RECEIPT]]), "IN CUSTODY", "DISCHARGED")</f>
        <v>DISCHARGED</v>
      </c>
      <c r="T216" s="58">
        <f>COUNTA(A:A)-2</f>
        <v>419</v>
      </c>
      <c r="U216" s="59">
        <f>YEAR(DATA[[#This Row],[ADMISSION DATE]])</f>
        <v>2025</v>
      </c>
      <c r="V216" s="60" t="str">
        <f>TEXT(DATA[[#This Row],[ADMISSION DATE]],"mmm")</f>
        <v>Sep</v>
      </c>
      <c r="W216" s="59">
        <f>YEAR(DATA[[#This Row],[DISCHARGE DATE]])</f>
        <v>2026</v>
      </c>
      <c r="X216" s="60" t="str">
        <f>TEXT(DATA[[#This Row],[DISCHARGE DATE]],"mmm")</f>
        <v>Mar</v>
      </c>
    </row>
    <row r="217" spans="1:24" s="27" customFormat="1" ht="16.5" hidden="1" customHeight="1">
      <c r="A217" s="152" t="s">
        <v>994</v>
      </c>
      <c r="B217" s="151" t="s">
        <v>995</v>
      </c>
      <c r="C217" s="151">
        <v>57</v>
      </c>
      <c r="D217" s="152" t="s">
        <v>12</v>
      </c>
      <c r="E217" s="152" t="s">
        <v>996</v>
      </c>
      <c r="F217" s="153" t="s">
        <v>997</v>
      </c>
      <c r="G217" s="152" t="s">
        <v>15</v>
      </c>
      <c r="H217" s="154" t="s">
        <v>998</v>
      </c>
      <c r="I217" s="152" t="s">
        <v>18</v>
      </c>
      <c r="J217" s="155">
        <v>45932</v>
      </c>
      <c r="K217" s="155">
        <v>46059</v>
      </c>
      <c r="L217" s="151">
        <f>IF(ISBLANK(DATA[[#This Row],[DISCHARGE DATE]]),"NO DATE", DATA[[#This Row],[DISCHARGE DATE]]-DATA[[#This Row],[ADMISSION DATE]]+1)</f>
        <v>128</v>
      </c>
      <c r="M217" s="156">
        <v>350</v>
      </c>
      <c r="N217" s="156">
        <v>1664</v>
      </c>
      <c r="O217" s="157" t="s">
        <v>853</v>
      </c>
      <c r="P217" s="157">
        <v>134</v>
      </c>
      <c r="Q217" s="158">
        <f>IF(DATA[[#This Row],[STORAGE FEE]]=0,"NULL",DATA[[#This Row],[COLDROOM FEE]])-DATA[[#This Row],[STORAGE FEE]]</f>
        <v>0</v>
      </c>
      <c r="R217" s="158">
        <f>IF(ISBLANK(DATA[[#This Row],[DISCHARGE DATE]]),0,IF(DATA[[#This Row],[TYPE]]="VIP",20*DATA[[#This Row],[STORAGE DAYS]],13*DATA[[#This Row],[STORAGE DAYS]]))</f>
        <v>1664</v>
      </c>
      <c r="S217" s="71" t="str">
        <f>IF(ISBLANK(DATA[[#This Row],[COLDROOM RECEIPT]]), "IN CUSTODY", "DISCHARGED")</f>
        <v>DISCHARGED</v>
      </c>
      <c r="T217" s="58">
        <f>COUNTA(A:A)-2</f>
        <v>419</v>
      </c>
      <c r="U217" s="59">
        <f>YEAR(DATA[[#This Row],[ADMISSION DATE]])</f>
        <v>2025</v>
      </c>
      <c r="V217" s="60" t="str">
        <f>TEXT(DATA[[#This Row],[ADMISSION DATE]],"mmm")</f>
        <v>Oct</v>
      </c>
      <c r="W217" s="59">
        <f>YEAR(DATA[[#This Row],[DISCHARGE DATE]])</f>
        <v>2026</v>
      </c>
      <c r="X217" s="60" t="str">
        <f>TEXT(DATA[[#This Row],[DISCHARGE DATE]],"mmm")</f>
        <v>Feb</v>
      </c>
    </row>
    <row r="218" spans="1:24" s="27" customFormat="1" ht="16.5" hidden="1" customHeight="1">
      <c r="A218" s="152" t="s">
        <v>999</v>
      </c>
      <c r="B218" s="151" t="s">
        <v>1000</v>
      </c>
      <c r="C218" s="151">
        <v>70</v>
      </c>
      <c r="D218" s="152" t="s">
        <v>11</v>
      </c>
      <c r="E218" s="152" t="s">
        <v>1001</v>
      </c>
      <c r="F218" s="153" t="s">
        <v>1002</v>
      </c>
      <c r="G218" s="152" t="s">
        <v>13</v>
      </c>
      <c r="H218" s="154" t="s">
        <v>1003</v>
      </c>
      <c r="I218" s="152" t="s">
        <v>20</v>
      </c>
      <c r="J218" s="155">
        <v>45935</v>
      </c>
      <c r="K218" s="155">
        <v>46108</v>
      </c>
      <c r="L218" s="151">
        <f>IF(ISBLANK(DATA[[#This Row],[DISCHARGE DATE]]),"NO DATE", DATA[[#This Row],[DISCHARGE DATE]]-DATA[[#This Row],[ADMISSION DATE]]+1)</f>
        <v>174</v>
      </c>
      <c r="M218" s="156">
        <v>350</v>
      </c>
      <c r="N218" s="156">
        <v>3480</v>
      </c>
      <c r="O218" s="157" t="s">
        <v>565</v>
      </c>
      <c r="P218" s="157">
        <v>251</v>
      </c>
      <c r="Q218" s="158">
        <f>IF(DATA[[#This Row],[STORAGE FEE]]=0,"NULL",DATA[[#This Row],[COLDROOM FEE]])-DATA[[#This Row],[STORAGE FEE]]</f>
        <v>0</v>
      </c>
      <c r="R218" s="158">
        <f>IF(ISBLANK(DATA[[#This Row],[DISCHARGE DATE]]),0,IF(DATA[[#This Row],[TYPE]]="VIP",20*DATA[[#This Row],[STORAGE DAYS]],13*DATA[[#This Row],[STORAGE DAYS]]))</f>
        <v>3480</v>
      </c>
      <c r="S218" s="71" t="str">
        <f>IF(ISBLANK(DATA[[#This Row],[COLDROOM RECEIPT]]), "IN CUSTODY", "DISCHARGED")</f>
        <v>DISCHARGED</v>
      </c>
      <c r="T218" s="58">
        <f>COUNTA(A:A)-2</f>
        <v>419</v>
      </c>
      <c r="U218" s="59">
        <f>YEAR(DATA[[#This Row],[ADMISSION DATE]])</f>
        <v>2025</v>
      </c>
      <c r="V218" s="60" t="str">
        <f>TEXT(DATA[[#This Row],[ADMISSION DATE]],"mmm")</f>
        <v>Oct</v>
      </c>
      <c r="W218" s="59">
        <f>YEAR(DATA[[#This Row],[DISCHARGE DATE]])</f>
        <v>2026</v>
      </c>
      <c r="X218" s="60" t="str">
        <f>TEXT(DATA[[#This Row],[DISCHARGE DATE]],"mmm")</f>
        <v>Mar</v>
      </c>
    </row>
    <row r="219" spans="1:24" s="27" customFormat="1" ht="16.5" hidden="1" customHeight="1">
      <c r="A219" s="152" t="s">
        <v>1004</v>
      </c>
      <c r="B219" s="151" t="s">
        <v>1005</v>
      </c>
      <c r="C219" s="151">
        <v>55</v>
      </c>
      <c r="D219" s="152" t="s">
        <v>11</v>
      </c>
      <c r="E219" s="152" t="s">
        <v>693</v>
      </c>
      <c r="F219" s="153" t="s">
        <v>1006</v>
      </c>
      <c r="G219" s="152" t="s">
        <v>13</v>
      </c>
      <c r="H219" s="154">
        <v>0.8208333333333333</v>
      </c>
      <c r="I219" s="152" t="s">
        <v>18</v>
      </c>
      <c r="J219" s="155">
        <v>45933</v>
      </c>
      <c r="K219" s="155">
        <v>45961</v>
      </c>
      <c r="L219" s="151">
        <f>IF(ISBLANK(DATA[[#This Row],[DISCHARGE DATE]]),"NO DATE", DATA[[#This Row],[DISCHARGE DATE]]-DATA[[#This Row],[ADMISSION DATE]]+1)</f>
        <v>29</v>
      </c>
      <c r="M219" s="156">
        <v>350</v>
      </c>
      <c r="N219" s="156">
        <v>377</v>
      </c>
      <c r="O219" s="157" t="s">
        <v>1007</v>
      </c>
      <c r="P219" s="157" t="s">
        <v>1008</v>
      </c>
      <c r="Q219" s="158">
        <f>IF(DATA[[#This Row],[STORAGE FEE]]=0,"NULL",DATA[[#This Row],[COLDROOM FEE]])-DATA[[#This Row],[STORAGE FEE]]</f>
        <v>0</v>
      </c>
      <c r="R219" s="158">
        <f>IF(ISBLANK(DATA[[#This Row],[DISCHARGE DATE]]),0,IF(DATA[[#This Row],[TYPE]]="VIP",20*DATA[[#This Row],[STORAGE DAYS]],13*DATA[[#This Row],[STORAGE DAYS]]))</f>
        <v>377</v>
      </c>
      <c r="S219" s="71" t="str">
        <f>IF(ISBLANK(DATA[[#This Row],[COLDROOM RECEIPT]]), "IN CUSTODY", "DISCHARGED")</f>
        <v>DISCHARGED</v>
      </c>
      <c r="T219" s="58">
        <f>COUNTA(A:A)-2</f>
        <v>419</v>
      </c>
      <c r="U219" s="59">
        <f>YEAR(DATA[[#This Row],[ADMISSION DATE]])</f>
        <v>2025</v>
      </c>
      <c r="V219" s="60" t="str">
        <f>TEXT(DATA[[#This Row],[ADMISSION DATE]],"mmm")</f>
        <v>Oct</v>
      </c>
      <c r="W219" s="59">
        <f>YEAR(DATA[[#This Row],[DISCHARGE DATE]])</f>
        <v>2025</v>
      </c>
      <c r="X219" s="60" t="str">
        <f>TEXT(DATA[[#This Row],[DISCHARGE DATE]],"mmm")</f>
        <v>Oct</v>
      </c>
    </row>
    <row r="220" spans="1:24" s="27" customFormat="1" ht="16.5" hidden="1" customHeight="1">
      <c r="A220" s="152" t="s">
        <v>1009</v>
      </c>
      <c r="B220" s="151" t="s">
        <v>1010</v>
      </c>
      <c r="C220" s="151">
        <v>70</v>
      </c>
      <c r="D220" s="152" t="s">
        <v>11</v>
      </c>
      <c r="E220" s="152" t="s">
        <v>1011</v>
      </c>
      <c r="F220" s="153" t="s">
        <v>1012</v>
      </c>
      <c r="G220" s="152" t="s">
        <v>13</v>
      </c>
      <c r="H220" s="154" t="s">
        <v>1013</v>
      </c>
      <c r="I220" s="152" t="s">
        <v>20</v>
      </c>
      <c r="J220" s="155">
        <v>45937</v>
      </c>
      <c r="K220" s="155">
        <v>46108</v>
      </c>
      <c r="L220" s="151">
        <f>IF(ISBLANK(DATA[[#This Row],[DISCHARGE DATE]]),"NO DATE", DATA[[#This Row],[DISCHARGE DATE]]-DATA[[#This Row],[ADMISSION DATE]]+1)</f>
        <v>172</v>
      </c>
      <c r="M220" s="156">
        <v>350</v>
      </c>
      <c r="N220" s="156">
        <v>3440</v>
      </c>
      <c r="O220" s="157" t="s">
        <v>1014</v>
      </c>
      <c r="P220" s="157">
        <v>264</v>
      </c>
      <c r="Q220" s="158">
        <f>IF(DATA[[#This Row],[STORAGE FEE]]=0,"NULL",DATA[[#This Row],[COLDROOM FEE]])-DATA[[#This Row],[STORAGE FEE]]</f>
        <v>0</v>
      </c>
      <c r="R220" s="158">
        <f>IF(ISBLANK(DATA[[#This Row],[DISCHARGE DATE]]),0,IF(DATA[[#This Row],[TYPE]]="VIP",20*DATA[[#This Row],[STORAGE DAYS]],13*DATA[[#This Row],[STORAGE DAYS]]))</f>
        <v>3440</v>
      </c>
      <c r="S220" s="71" t="str">
        <f>IF(ISBLANK(DATA[[#This Row],[COLDROOM RECEIPT]]), "IN CUSTODY", "DISCHARGED")</f>
        <v>DISCHARGED</v>
      </c>
      <c r="T220" s="58">
        <f>COUNTA(A:A)-2</f>
        <v>419</v>
      </c>
      <c r="U220" s="59">
        <f>YEAR(DATA[[#This Row],[ADMISSION DATE]])</f>
        <v>2025</v>
      </c>
      <c r="V220" s="60" t="str">
        <f>TEXT(DATA[[#This Row],[ADMISSION DATE]],"mmm")</f>
        <v>Oct</v>
      </c>
      <c r="W220" s="59">
        <f>YEAR(DATA[[#This Row],[DISCHARGE DATE]])</f>
        <v>2026</v>
      </c>
      <c r="X220" s="60" t="str">
        <f>TEXT(DATA[[#This Row],[DISCHARGE DATE]],"mmm")</f>
        <v>Mar</v>
      </c>
    </row>
    <row r="221" spans="1:24" s="27" customFormat="1" ht="16.5" hidden="1" customHeight="1">
      <c r="A221" s="152" t="s">
        <v>1015</v>
      </c>
      <c r="B221" s="151" t="s">
        <v>1016</v>
      </c>
      <c r="C221" s="151">
        <v>30</v>
      </c>
      <c r="D221" s="152" t="s">
        <v>11</v>
      </c>
      <c r="E221" s="152" t="s">
        <v>1017</v>
      </c>
      <c r="F221" s="153" t="s">
        <v>1018</v>
      </c>
      <c r="G221" s="152" t="s">
        <v>16</v>
      </c>
      <c r="H221" s="154" t="s">
        <v>1019</v>
      </c>
      <c r="I221" s="152" t="s">
        <v>18</v>
      </c>
      <c r="J221" s="155">
        <v>45940</v>
      </c>
      <c r="K221" s="155">
        <v>46143</v>
      </c>
      <c r="L221" s="151">
        <f>IF(ISBLANK(DATA[[#This Row],[DISCHARGE DATE]]),"NO DATE", DATA[[#This Row],[DISCHARGE DATE]]-DATA[[#This Row],[ADMISSION DATE]]+1)</f>
        <v>204</v>
      </c>
      <c r="M221" s="156">
        <v>350</v>
      </c>
      <c r="N221" s="156">
        <v>2652</v>
      </c>
      <c r="O221" s="157" t="s">
        <v>758</v>
      </c>
      <c r="P221" s="157">
        <v>290</v>
      </c>
      <c r="Q221" s="158">
        <f>IF(DATA[[#This Row],[STORAGE FEE]]=0,"NULL",DATA[[#This Row],[COLDROOM FEE]])-DATA[[#This Row],[STORAGE FEE]]</f>
        <v>0</v>
      </c>
      <c r="R221" s="158">
        <f>IF(ISBLANK(DATA[[#This Row],[DISCHARGE DATE]]),0,IF(DATA[[#This Row],[TYPE]]="VIP",20*DATA[[#This Row],[STORAGE DAYS]],13*DATA[[#This Row],[STORAGE DAYS]]))</f>
        <v>2652</v>
      </c>
      <c r="S221" s="71" t="str">
        <f>IF(ISBLANK(DATA[[#This Row],[COLDROOM RECEIPT]]), "IN CUSTODY", "DISCHARGED")</f>
        <v>DISCHARGED</v>
      </c>
      <c r="T221" s="58">
        <f>COUNTA(A:A)-2</f>
        <v>419</v>
      </c>
      <c r="U221" s="59">
        <f>YEAR(DATA[[#This Row],[ADMISSION DATE]])</f>
        <v>2025</v>
      </c>
      <c r="V221" s="60" t="str">
        <f>TEXT(DATA[[#This Row],[ADMISSION DATE]],"mmm")</f>
        <v>Oct</v>
      </c>
      <c r="W221" s="59">
        <f>YEAR(DATA[[#This Row],[DISCHARGE DATE]])</f>
        <v>2026</v>
      </c>
      <c r="X221" s="60" t="str">
        <f>TEXT(DATA[[#This Row],[DISCHARGE DATE]],"mmm")</f>
        <v>May</v>
      </c>
    </row>
    <row r="222" spans="1:24" s="27" customFormat="1" ht="16.5" hidden="1" customHeight="1">
      <c r="A222" s="152" t="s">
        <v>1020</v>
      </c>
      <c r="B222" s="151" t="s">
        <v>1021</v>
      </c>
      <c r="C222" s="151">
        <v>17</v>
      </c>
      <c r="D222" s="152" t="s">
        <v>11</v>
      </c>
      <c r="E222" s="152" t="s">
        <v>1022</v>
      </c>
      <c r="F222" s="153" t="s">
        <v>1023</v>
      </c>
      <c r="G222" s="152" t="s">
        <v>17</v>
      </c>
      <c r="H222" s="154" t="s">
        <v>1024</v>
      </c>
      <c r="I222" s="152" t="s">
        <v>20</v>
      </c>
      <c r="J222" s="155">
        <v>45942</v>
      </c>
      <c r="K222" s="155">
        <v>46009</v>
      </c>
      <c r="L222" s="151">
        <f>IF(ISBLANK(DATA[[#This Row],[DISCHARGE DATE]]),"NO DATE", DATA[[#This Row],[DISCHARGE DATE]]-DATA[[#This Row],[ADMISSION DATE]]+1)</f>
        <v>68</v>
      </c>
      <c r="M222" s="156">
        <v>350</v>
      </c>
      <c r="N222" s="156">
        <v>1360</v>
      </c>
      <c r="O222" s="157" t="s">
        <v>748</v>
      </c>
      <c r="P222" s="157" t="s">
        <v>589</v>
      </c>
      <c r="Q222" s="158">
        <f>IF(DATA[[#This Row],[STORAGE FEE]]=0,"NULL",DATA[[#This Row],[COLDROOM FEE]])-DATA[[#This Row],[STORAGE FEE]]</f>
        <v>0</v>
      </c>
      <c r="R222" s="158">
        <f>IF(ISBLANK(DATA[[#This Row],[DISCHARGE DATE]]),0,IF(DATA[[#This Row],[TYPE]]="VIP",20*DATA[[#This Row],[STORAGE DAYS]],13*DATA[[#This Row],[STORAGE DAYS]]))</f>
        <v>1360</v>
      </c>
      <c r="S222" s="71" t="str">
        <f>IF(ISBLANK(DATA[[#This Row],[COLDROOM RECEIPT]]), "IN CUSTODY", "DISCHARGED")</f>
        <v>DISCHARGED</v>
      </c>
      <c r="T222" s="58">
        <f>COUNTA(A:A)-2</f>
        <v>419</v>
      </c>
      <c r="U222" s="59">
        <f>YEAR(DATA[[#This Row],[ADMISSION DATE]])</f>
        <v>2025</v>
      </c>
      <c r="V222" s="60" t="str">
        <f>TEXT(DATA[[#This Row],[ADMISSION DATE]],"mmm")</f>
        <v>Oct</v>
      </c>
      <c r="W222" s="59">
        <f>YEAR(DATA[[#This Row],[DISCHARGE DATE]])</f>
        <v>2025</v>
      </c>
      <c r="X222" s="60" t="str">
        <f>TEXT(DATA[[#This Row],[DISCHARGE DATE]],"mmm")</f>
        <v>Dec</v>
      </c>
    </row>
    <row r="223" spans="1:24" s="27" customFormat="1" ht="16.5" hidden="1" customHeight="1">
      <c r="A223" s="152" t="s">
        <v>1025</v>
      </c>
      <c r="B223" s="151" t="s">
        <v>120</v>
      </c>
      <c r="C223" s="151">
        <v>68</v>
      </c>
      <c r="D223" s="152" t="s">
        <v>12</v>
      </c>
      <c r="E223" s="152" t="s">
        <v>1026</v>
      </c>
      <c r="F223" s="153" t="s">
        <v>1027</v>
      </c>
      <c r="G223" s="152" t="s">
        <v>13</v>
      </c>
      <c r="H223" s="154" t="s">
        <v>1028</v>
      </c>
      <c r="I223" s="152" t="s">
        <v>18</v>
      </c>
      <c r="J223" s="155">
        <v>45945</v>
      </c>
      <c r="K223" s="155">
        <v>46108</v>
      </c>
      <c r="L223" s="151">
        <f>IF(ISBLANK(DATA[[#This Row],[DISCHARGE DATE]]),"NO DATE", DATA[[#This Row],[DISCHARGE DATE]]-DATA[[#This Row],[ADMISSION DATE]]+1)</f>
        <v>164</v>
      </c>
      <c r="M223" s="156">
        <v>350</v>
      </c>
      <c r="N223" s="156">
        <v>2132</v>
      </c>
      <c r="O223" s="157" t="s">
        <v>882</v>
      </c>
      <c r="P223" s="157">
        <v>139</v>
      </c>
      <c r="Q223" s="158">
        <f>IF(DATA[[#This Row],[STORAGE FEE]]=0,"NULL",DATA[[#This Row],[COLDROOM FEE]])-DATA[[#This Row],[STORAGE FEE]]</f>
        <v>0</v>
      </c>
      <c r="R223" s="158">
        <f>IF(ISBLANK(DATA[[#This Row],[DISCHARGE DATE]]),0,IF(DATA[[#This Row],[TYPE]]="VIP",20*DATA[[#This Row],[STORAGE DAYS]],13*DATA[[#This Row],[STORAGE DAYS]]))</f>
        <v>2132</v>
      </c>
      <c r="S223" s="71" t="str">
        <f>IF(ISBLANK(DATA[[#This Row],[COLDROOM RECEIPT]]), "IN CUSTODY", "DISCHARGED")</f>
        <v>DISCHARGED</v>
      </c>
      <c r="T223" s="58">
        <f>COUNTA(A:A)-2</f>
        <v>419</v>
      </c>
      <c r="U223" s="59">
        <f>YEAR(DATA[[#This Row],[ADMISSION DATE]])</f>
        <v>2025</v>
      </c>
      <c r="V223" s="60" t="str">
        <f>TEXT(DATA[[#This Row],[ADMISSION DATE]],"mmm")</f>
        <v>Oct</v>
      </c>
      <c r="W223" s="59">
        <f>YEAR(DATA[[#This Row],[DISCHARGE DATE]])</f>
        <v>2026</v>
      </c>
      <c r="X223" s="60" t="str">
        <f>TEXT(DATA[[#This Row],[DISCHARGE DATE]],"mmm")</f>
        <v>Mar</v>
      </c>
    </row>
    <row r="224" spans="1:24" s="27" customFormat="1" ht="16.5" hidden="1" customHeight="1">
      <c r="A224" s="152" t="s">
        <v>1029</v>
      </c>
      <c r="B224" s="151" t="s">
        <v>1030</v>
      </c>
      <c r="C224" s="151">
        <v>42</v>
      </c>
      <c r="D224" s="152" t="s">
        <v>11</v>
      </c>
      <c r="E224" s="152" t="s">
        <v>1031</v>
      </c>
      <c r="F224" s="153" t="s">
        <v>1032</v>
      </c>
      <c r="G224" s="152" t="s">
        <v>13</v>
      </c>
      <c r="H224" s="154" t="s">
        <v>1033</v>
      </c>
      <c r="I224" s="152" t="s">
        <v>18</v>
      </c>
      <c r="J224" s="155">
        <v>45944</v>
      </c>
      <c r="K224" s="155">
        <v>45989</v>
      </c>
      <c r="L224" s="151">
        <f>IF(ISBLANK(DATA[[#This Row],[DISCHARGE DATE]]),"NO DATE", DATA[[#This Row],[DISCHARGE DATE]]-DATA[[#This Row],[ADMISSION DATE]]+1)</f>
        <v>46</v>
      </c>
      <c r="M224" s="156">
        <v>350</v>
      </c>
      <c r="N224" s="156">
        <v>598</v>
      </c>
      <c r="O224" s="157" t="s">
        <v>861</v>
      </c>
      <c r="P224" s="157" t="s">
        <v>507</v>
      </c>
      <c r="Q224" s="158">
        <f>IF(DATA[[#This Row],[STORAGE FEE]]=0,"NULL",DATA[[#This Row],[COLDROOM FEE]])-DATA[[#This Row],[STORAGE FEE]]</f>
        <v>0</v>
      </c>
      <c r="R224" s="158">
        <f>IF(ISBLANK(DATA[[#This Row],[DISCHARGE DATE]]),0,IF(DATA[[#This Row],[TYPE]]="VIP",20*DATA[[#This Row],[STORAGE DAYS]],13*DATA[[#This Row],[STORAGE DAYS]]))</f>
        <v>598</v>
      </c>
      <c r="S224" s="71" t="str">
        <f>IF(ISBLANK(DATA[[#This Row],[COLDROOM RECEIPT]]), "IN CUSTODY", "DISCHARGED")</f>
        <v>DISCHARGED</v>
      </c>
      <c r="T224" s="58">
        <f>COUNTA(A:A)-2</f>
        <v>419</v>
      </c>
      <c r="U224" s="59">
        <f>YEAR(DATA[[#This Row],[ADMISSION DATE]])</f>
        <v>2025</v>
      </c>
      <c r="V224" s="60" t="str">
        <f>TEXT(DATA[[#This Row],[ADMISSION DATE]],"mmm")</f>
        <v>Oct</v>
      </c>
      <c r="W224" s="59">
        <f>YEAR(DATA[[#This Row],[DISCHARGE DATE]])</f>
        <v>2025</v>
      </c>
      <c r="X224" s="60" t="str">
        <f>TEXT(DATA[[#This Row],[DISCHARGE DATE]],"mmm")</f>
        <v>Nov</v>
      </c>
    </row>
    <row r="225" spans="1:24" s="27" customFormat="1" ht="16.5" hidden="1" customHeight="1">
      <c r="A225" s="152" t="s">
        <v>1034</v>
      </c>
      <c r="B225" s="151" t="s">
        <v>1035</v>
      </c>
      <c r="C225" s="151">
        <v>77</v>
      </c>
      <c r="D225" s="152" t="s">
        <v>12</v>
      </c>
      <c r="E225" s="152" t="s">
        <v>1036</v>
      </c>
      <c r="F225" s="153" t="s">
        <v>1037</v>
      </c>
      <c r="G225" s="152" t="s">
        <v>16</v>
      </c>
      <c r="H225" s="154">
        <v>0.77083333333333337</v>
      </c>
      <c r="I225" s="152" t="s">
        <v>18</v>
      </c>
      <c r="J225" s="155">
        <v>45945</v>
      </c>
      <c r="K225" s="155">
        <v>46073</v>
      </c>
      <c r="L225" s="151">
        <f>IF(ISBLANK(DATA[[#This Row],[DISCHARGE DATE]]),"NO DATE", DATA[[#This Row],[DISCHARGE DATE]]-DATA[[#This Row],[ADMISSION DATE]]+1)</f>
        <v>129</v>
      </c>
      <c r="M225" s="156">
        <v>350</v>
      </c>
      <c r="N225" s="156">
        <v>1677</v>
      </c>
      <c r="O225" s="157" t="s">
        <v>626</v>
      </c>
      <c r="P225" s="157">
        <v>123</v>
      </c>
      <c r="Q225" s="158">
        <f>IF(DATA[[#This Row],[STORAGE FEE]]=0,"NULL",DATA[[#This Row],[COLDROOM FEE]])-DATA[[#This Row],[STORAGE FEE]]</f>
        <v>0</v>
      </c>
      <c r="R225" s="158">
        <f>IF(ISBLANK(DATA[[#This Row],[DISCHARGE DATE]]),0,IF(DATA[[#This Row],[TYPE]]="VIP",20*DATA[[#This Row],[STORAGE DAYS]],13*DATA[[#This Row],[STORAGE DAYS]]))</f>
        <v>1677</v>
      </c>
      <c r="S225" s="71" t="str">
        <f>IF(ISBLANK(DATA[[#This Row],[COLDROOM RECEIPT]]), "IN CUSTODY", "DISCHARGED")</f>
        <v>DISCHARGED</v>
      </c>
      <c r="T225" s="58">
        <f>COUNTA(A:A)-2</f>
        <v>419</v>
      </c>
      <c r="U225" s="59">
        <f>YEAR(DATA[[#This Row],[ADMISSION DATE]])</f>
        <v>2025</v>
      </c>
      <c r="V225" s="60" t="str">
        <f>TEXT(DATA[[#This Row],[ADMISSION DATE]],"mmm")</f>
        <v>Oct</v>
      </c>
      <c r="W225" s="59">
        <f>YEAR(DATA[[#This Row],[DISCHARGE DATE]])</f>
        <v>2026</v>
      </c>
      <c r="X225" s="60" t="str">
        <f>TEXT(DATA[[#This Row],[DISCHARGE DATE]],"mmm")</f>
        <v>Feb</v>
      </c>
    </row>
    <row r="226" spans="1:24" s="27" customFormat="1" ht="16.5" hidden="1" customHeight="1">
      <c r="A226" s="152" t="s">
        <v>1038</v>
      </c>
      <c r="B226" s="151" t="s">
        <v>1039</v>
      </c>
      <c r="C226" s="151">
        <v>78</v>
      </c>
      <c r="D226" s="152" t="s">
        <v>12</v>
      </c>
      <c r="E226" s="152" t="s">
        <v>1040</v>
      </c>
      <c r="F226" s="153" t="s">
        <v>1041</v>
      </c>
      <c r="G226" s="152" t="s">
        <v>15</v>
      </c>
      <c r="H226" s="154" t="s">
        <v>1042</v>
      </c>
      <c r="I226" s="152" t="s">
        <v>18</v>
      </c>
      <c r="J226" s="155">
        <v>45947</v>
      </c>
      <c r="K226" s="155">
        <v>46143</v>
      </c>
      <c r="L226" s="151">
        <f>IF(ISBLANK(DATA[[#This Row],[DISCHARGE DATE]]),"NO DATE", DATA[[#This Row],[DISCHARGE DATE]]-DATA[[#This Row],[ADMISSION DATE]]+1)</f>
        <v>197</v>
      </c>
      <c r="M226" s="156">
        <v>350</v>
      </c>
      <c r="N226" s="156">
        <v>2561</v>
      </c>
      <c r="O226" s="157" t="s">
        <v>849</v>
      </c>
      <c r="P226" s="157">
        <v>280</v>
      </c>
      <c r="Q226" s="158">
        <f>IF(DATA[[#This Row],[STORAGE FEE]]=0,"NULL",DATA[[#This Row],[COLDROOM FEE]])-DATA[[#This Row],[STORAGE FEE]]</f>
        <v>0</v>
      </c>
      <c r="R226" s="158">
        <f>IF(ISBLANK(DATA[[#This Row],[DISCHARGE DATE]]),0,IF(DATA[[#This Row],[TYPE]]="VIP",20*DATA[[#This Row],[STORAGE DAYS]],13*DATA[[#This Row],[STORAGE DAYS]]))</f>
        <v>2561</v>
      </c>
      <c r="S226" s="71" t="str">
        <f>IF(ISBLANK(DATA[[#This Row],[COLDROOM RECEIPT]]), "IN CUSTODY", "DISCHARGED")</f>
        <v>DISCHARGED</v>
      </c>
      <c r="T226" s="58">
        <f>COUNTA(A:A)-2</f>
        <v>419</v>
      </c>
      <c r="U226" s="59">
        <f>YEAR(DATA[[#This Row],[ADMISSION DATE]])</f>
        <v>2025</v>
      </c>
      <c r="V226" s="60" t="str">
        <f>TEXT(DATA[[#This Row],[ADMISSION DATE]],"mmm")</f>
        <v>Oct</v>
      </c>
      <c r="W226" s="59">
        <f>YEAR(DATA[[#This Row],[DISCHARGE DATE]])</f>
        <v>2026</v>
      </c>
      <c r="X226" s="60" t="str">
        <f>TEXT(DATA[[#This Row],[DISCHARGE DATE]],"mmm")</f>
        <v>May</v>
      </c>
    </row>
    <row r="227" spans="1:24" s="27" customFormat="1" ht="16.5" hidden="1" customHeight="1">
      <c r="A227" s="152" t="s">
        <v>1043</v>
      </c>
      <c r="B227" s="151" t="s">
        <v>1044</v>
      </c>
      <c r="C227" s="151">
        <v>62</v>
      </c>
      <c r="D227" s="152" t="s">
        <v>12</v>
      </c>
      <c r="E227" s="152" t="s">
        <v>1045</v>
      </c>
      <c r="F227" s="153" t="s">
        <v>1046</v>
      </c>
      <c r="G227" s="152" t="s">
        <v>13</v>
      </c>
      <c r="H227" s="154" t="s">
        <v>1047</v>
      </c>
      <c r="I227" s="152" t="s">
        <v>18</v>
      </c>
      <c r="J227" s="155">
        <v>45948</v>
      </c>
      <c r="K227" s="155">
        <v>45989</v>
      </c>
      <c r="L227" s="151">
        <f>IF(ISBLANK(DATA[[#This Row],[DISCHARGE DATE]]),"NO DATE", DATA[[#This Row],[DISCHARGE DATE]]-DATA[[#This Row],[ADMISSION DATE]]+1)</f>
        <v>42</v>
      </c>
      <c r="M227" s="156">
        <v>350</v>
      </c>
      <c r="N227" s="156">
        <v>546</v>
      </c>
      <c r="O227" s="157" t="s">
        <v>695</v>
      </c>
      <c r="P227" s="157" t="s">
        <v>511</v>
      </c>
      <c r="Q227" s="158">
        <f>IF(DATA[[#This Row],[STORAGE FEE]]=0,"NULL",DATA[[#This Row],[COLDROOM FEE]])-DATA[[#This Row],[STORAGE FEE]]</f>
        <v>0</v>
      </c>
      <c r="R227" s="158">
        <f>IF(ISBLANK(DATA[[#This Row],[DISCHARGE DATE]]),0,IF(DATA[[#This Row],[TYPE]]="VIP",20*DATA[[#This Row],[STORAGE DAYS]],13*DATA[[#This Row],[STORAGE DAYS]]))</f>
        <v>546</v>
      </c>
      <c r="S227" s="71" t="str">
        <f>IF(ISBLANK(DATA[[#This Row],[COLDROOM RECEIPT]]), "IN CUSTODY", "DISCHARGED")</f>
        <v>DISCHARGED</v>
      </c>
      <c r="T227" s="58">
        <f>COUNTA(A:A)-2</f>
        <v>419</v>
      </c>
      <c r="U227" s="59">
        <f>YEAR(DATA[[#This Row],[ADMISSION DATE]])</f>
        <v>2025</v>
      </c>
      <c r="V227" s="60" t="str">
        <f>TEXT(DATA[[#This Row],[ADMISSION DATE]],"mmm")</f>
        <v>Oct</v>
      </c>
      <c r="W227" s="59">
        <f>YEAR(DATA[[#This Row],[DISCHARGE DATE]])</f>
        <v>2025</v>
      </c>
      <c r="X227" s="60" t="str">
        <f>TEXT(DATA[[#This Row],[DISCHARGE DATE]],"mmm")</f>
        <v>Nov</v>
      </c>
    </row>
    <row r="228" spans="1:24" s="27" customFormat="1" ht="16.5" hidden="1" customHeight="1">
      <c r="A228" s="152" t="s">
        <v>1048</v>
      </c>
      <c r="B228" s="151" t="s">
        <v>1049</v>
      </c>
      <c r="C228" s="151">
        <v>35</v>
      </c>
      <c r="D228" s="152" t="s">
        <v>12</v>
      </c>
      <c r="E228" s="152" t="s">
        <v>1050</v>
      </c>
      <c r="F228" s="153" t="s">
        <v>1051</v>
      </c>
      <c r="G228" s="152" t="s">
        <v>15</v>
      </c>
      <c r="H228" s="154" t="s">
        <v>1052</v>
      </c>
      <c r="I228" s="152" t="s">
        <v>18</v>
      </c>
      <c r="J228" s="155">
        <v>45947</v>
      </c>
      <c r="K228" s="155">
        <v>46108</v>
      </c>
      <c r="L228" s="151">
        <f>IF(ISBLANK(DATA[[#This Row],[DISCHARGE DATE]]),"NO DATE", DATA[[#This Row],[DISCHARGE DATE]]-DATA[[#This Row],[ADMISSION DATE]]+1)</f>
        <v>162</v>
      </c>
      <c r="M228" s="156">
        <v>350</v>
      </c>
      <c r="N228" s="156">
        <v>2106</v>
      </c>
      <c r="O228" s="157" t="s">
        <v>1008</v>
      </c>
      <c r="P228" s="157">
        <v>258</v>
      </c>
      <c r="Q228" s="158">
        <f>IF(DATA[[#This Row],[STORAGE FEE]]=0,"NULL",DATA[[#This Row],[COLDROOM FEE]])-DATA[[#This Row],[STORAGE FEE]]</f>
        <v>0</v>
      </c>
      <c r="R228" s="158">
        <f>IF(ISBLANK(DATA[[#This Row],[DISCHARGE DATE]]),0,IF(DATA[[#This Row],[TYPE]]="VIP",20*DATA[[#This Row],[STORAGE DAYS]],13*DATA[[#This Row],[STORAGE DAYS]]))</f>
        <v>2106</v>
      </c>
      <c r="S228" s="71" t="str">
        <f>IF(ISBLANK(DATA[[#This Row],[COLDROOM RECEIPT]]), "IN CUSTODY", "DISCHARGED")</f>
        <v>DISCHARGED</v>
      </c>
      <c r="T228" s="58">
        <f>COUNTA(A:A)-2</f>
        <v>419</v>
      </c>
      <c r="U228" s="59">
        <f>YEAR(DATA[[#This Row],[ADMISSION DATE]])</f>
        <v>2025</v>
      </c>
      <c r="V228" s="60" t="str">
        <f>TEXT(DATA[[#This Row],[ADMISSION DATE]],"mmm")</f>
        <v>Oct</v>
      </c>
      <c r="W228" s="59">
        <f>YEAR(DATA[[#This Row],[DISCHARGE DATE]])</f>
        <v>2026</v>
      </c>
      <c r="X228" s="60" t="str">
        <f>TEXT(DATA[[#This Row],[DISCHARGE DATE]],"mmm")</f>
        <v>Mar</v>
      </c>
    </row>
    <row r="229" spans="1:24" s="27" customFormat="1" ht="16.5" hidden="1" customHeight="1">
      <c r="A229" s="152" t="s">
        <v>1053</v>
      </c>
      <c r="B229" s="151" t="s">
        <v>1054</v>
      </c>
      <c r="C229" s="151">
        <v>60</v>
      </c>
      <c r="D229" s="152" t="s">
        <v>11</v>
      </c>
      <c r="E229" s="152" t="s">
        <v>880</v>
      </c>
      <c r="F229" s="153" t="s">
        <v>881</v>
      </c>
      <c r="G229" s="152" t="s">
        <v>13</v>
      </c>
      <c r="H229" s="154" t="s">
        <v>1055</v>
      </c>
      <c r="I229" s="152" t="s">
        <v>20</v>
      </c>
      <c r="J229" s="155">
        <v>45950</v>
      </c>
      <c r="K229" s="155">
        <v>46143</v>
      </c>
      <c r="L229" s="151">
        <f>IF(ISBLANK(DATA[[#This Row],[DISCHARGE DATE]]),"NO DATE", DATA[[#This Row],[DISCHARGE DATE]]-DATA[[#This Row],[ADMISSION DATE]]+1)</f>
        <v>194</v>
      </c>
      <c r="M229" s="156">
        <v>350</v>
      </c>
      <c r="N229" s="156">
        <f>3880/2</f>
        <v>1940</v>
      </c>
      <c r="O229" s="157" t="s">
        <v>666</v>
      </c>
      <c r="P229" s="157">
        <v>286</v>
      </c>
      <c r="Q229" s="158">
        <f>IF(DATA[[#This Row],[STORAGE FEE]]=0,"NULL",DATA[[#This Row],[COLDROOM FEE]])-DATA[[#This Row],[STORAGE FEE]]</f>
        <v>-1940</v>
      </c>
      <c r="R229" s="158">
        <f>IF(ISBLANK(DATA[[#This Row],[DISCHARGE DATE]]),0,IF(DATA[[#This Row],[TYPE]]="VIP",20*DATA[[#This Row],[STORAGE DAYS]],13*DATA[[#This Row],[STORAGE DAYS]]))</f>
        <v>3880</v>
      </c>
      <c r="S229" s="71" t="str">
        <f>IF(ISBLANK(DATA[[#This Row],[COLDROOM RECEIPT]]), "IN CUSTODY", "DISCHARGED")</f>
        <v>DISCHARGED</v>
      </c>
      <c r="T229" s="58">
        <f>COUNTA(A:A)-2</f>
        <v>419</v>
      </c>
      <c r="U229" s="59">
        <f>YEAR(DATA[[#This Row],[ADMISSION DATE]])</f>
        <v>2025</v>
      </c>
      <c r="V229" s="60" t="str">
        <f>TEXT(DATA[[#This Row],[ADMISSION DATE]],"mmm")</f>
        <v>Oct</v>
      </c>
      <c r="W229" s="59">
        <f>YEAR(DATA[[#This Row],[DISCHARGE DATE]])</f>
        <v>2026</v>
      </c>
      <c r="X229" s="60" t="str">
        <f>TEXT(DATA[[#This Row],[DISCHARGE DATE]],"mmm")</f>
        <v>May</v>
      </c>
    </row>
    <row r="230" spans="1:24" s="27" customFormat="1" ht="16.5" hidden="1" customHeight="1">
      <c r="A230" s="152" t="s">
        <v>1056</v>
      </c>
      <c r="B230" s="151" t="s">
        <v>1057</v>
      </c>
      <c r="C230" s="151">
        <v>77</v>
      </c>
      <c r="D230" s="152" t="s">
        <v>12</v>
      </c>
      <c r="E230" s="152" t="s">
        <v>1058</v>
      </c>
      <c r="F230" s="153">
        <v>245398248</v>
      </c>
      <c r="G230" s="152" t="s">
        <v>16</v>
      </c>
      <c r="H230" s="154" t="s">
        <v>1059</v>
      </c>
      <c r="I230" s="152" t="s">
        <v>18</v>
      </c>
      <c r="J230" s="155">
        <v>45950</v>
      </c>
      <c r="K230" s="155">
        <v>46108</v>
      </c>
      <c r="L230" s="151">
        <f>IF(ISBLANK(DATA[[#This Row],[DISCHARGE DATE]]),"NO DATE", DATA[[#This Row],[DISCHARGE DATE]]-DATA[[#This Row],[ADMISSION DATE]]+1)</f>
        <v>159</v>
      </c>
      <c r="M230" s="156">
        <v>350</v>
      </c>
      <c r="N230" s="156">
        <v>2067</v>
      </c>
      <c r="O230" s="157" t="s">
        <v>690</v>
      </c>
      <c r="P230" s="157">
        <v>150</v>
      </c>
      <c r="Q230" s="158">
        <f>IF(DATA[[#This Row],[STORAGE FEE]]=0,"NULL",DATA[[#This Row],[COLDROOM FEE]])-DATA[[#This Row],[STORAGE FEE]]</f>
        <v>0</v>
      </c>
      <c r="R230" s="158">
        <f>IF(ISBLANK(DATA[[#This Row],[DISCHARGE DATE]]),0,IF(DATA[[#This Row],[TYPE]]="VIP",20*DATA[[#This Row],[STORAGE DAYS]],13*DATA[[#This Row],[STORAGE DAYS]]))</f>
        <v>2067</v>
      </c>
      <c r="S230" s="71" t="str">
        <f>IF(ISBLANK(DATA[[#This Row],[COLDROOM RECEIPT]]), "IN CUSTODY", "DISCHARGED")</f>
        <v>DISCHARGED</v>
      </c>
      <c r="T230" s="58">
        <f>COUNTA(A:A)-2</f>
        <v>419</v>
      </c>
      <c r="U230" s="59">
        <f>YEAR(DATA[[#This Row],[ADMISSION DATE]])</f>
        <v>2025</v>
      </c>
      <c r="V230" s="60" t="str">
        <f>TEXT(DATA[[#This Row],[ADMISSION DATE]],"mmm")</f>
        <v>Oct</v>
      </c>
      <c r="W230" s="59">
        <f>YEAR(DATA[[#This Row],[DISCHARGE DATE]])</f>
        <v>2026</v>
      </c>
      <c r="X230" s="60" t="str">
        <f>TEXT(DATA[[#This Row],[DISCHARGE DATE]],"mmm")</f>
        <v>Mar</v>
      </c>
    </row>
    <row r="231" spans="1:24" s="27" customFormat="1" ht="16.5" hidden="1" customHeight="1">
      <c r="A231" s="152" t="s">
        <v>1060</v>
      </c>
      <c r="B231" s="151" t="s">
        <v>1061</v>
      </c>
      <c r="C231" s="151">
        <v>123</v>
      </c>
      <c r="D231" s="152" t="s">
        <v>11</v>
      </c>
      <c r="E231" s="152" t="s">
        <v>1062</v>
      </c>
      <c r="F231" s="153" t="s">
        <v>1063</v>
      </c>
      <c r="G231" s="152" t="s">
        <v>13</v>
      </c>
      <c r="H231" s="154">
        <v>0.6875</v>
      </c>
      <c r="I231" s="152" t="s">
        <v>20</v>
      </c>
      <c r="J231" s="155">
        <v>45948</v>
      </c>
      <c r="K231" s="155">
        <v>45959</v>
      </c>
      <c r="L231" s="151">
        <f>IF(ISBLANK(DATA[[#This Row],[DISCHARGE DATE]]),"NO DATE", DATA[[#This Row],[DISCHARGE DATE]]-DATA[[#This Row],[ADMISSION DATE]]+1)</f>
        <v>12</v>
      </c>
      <c r="M231" s="156">
        <v>350</v>
      </c>
      <c r="N231" s="156">
        <v>240</v>
      </c>
      <c r="O231" s="157" t="s">
        <v>811</v>
      </c>
      <c r="P231" s="157" t="s">
        <v>1064</v>
      </c>
      <c r="Q231" s="158">
        <f>IF(DATA[[#This Row],[STORAGE FEE]]=0,"NULL",DATA[[#This Row],[COLDROOM FEE]])-DATA[[#This Row],[STORAGE FEE]]</f>
        <v>0</v>
      </c>
      <c r="R231" s="158">
        <f>IF(ISBLANK(DATA[[#This Row],[DISCHARGE DATE]]),0,IF(DATA[[#This Row],[TYPE]]="VIP",20*DATA[[#This Row],[STORAGE DAYS]],13*DATA[[#This Row],[STORAGE DAYS]]))</f>
        <v>240</v>
      </c>
      <c r="S231" s="71" t="str">
        <f>IF(ISBLANK(DATA[[#This Row],[COLDROOM RECEIPT]]), "IN CUSTODY", "DISCHARGED")</f>
        <v>DISCHARGED</v>
      </c>
      <c r="T231" s="58">
        <f>COUNTA(A:A)-2</f>
        <v>419</v>
      </c>
      <c r="U231" s="59">
        <f>YEAR(DATA[[#This Row],[ADMISSION DATE]])</f>
        <v>2025</v>
      </c>
      <c r="V231" s="60" t="str">
        <f>TEXT(DATA[[#This Row],[ADMISSION DATE]],"mmm")</f>
        <v>Oct</v>
      </c>
      <c r="W231" s="59">
        <f>YEAR(DATA[[#This Row],[DISCHARGE DATE]])</f>
        <v>2025</v>
      </c>
      <c r="X231" s="60" t="str">
        <f>TEXT(DATA[[#This Row],[DISCHARGE DATE]],"mmm")</f>
        <v>Oct</v>
      </c>
    </row>
    <row r="232" spans="1:24" s="27" customFormat="1" ht="16.5" hidden="1" customHeight="1">
      <c r="A232" s="152" t="s">
        <v>1065</v>
      </c>
      <c r="B232" s="151" t="s">
        <v>832</v>
      </c>
      <c r="C232" s="151">
        <v>48</v>
      </c>
      <c r="D232" s="152" t="s">
        <v>12</v>
      </c>
      <c r="E232" s="152" t="s">
        <v>1011</v>
      </c>
      <c r="F232" s="153" t="s">
        <v>1066</v>
      </c>
      <c r="G232" s="152" t="s">
        <v>13</v>
      </c>
      <c r="H232" s="154" t="s">
        <v>1067</v>
      </c>
      <c r="I232" s="152" t="s">
        <v>18</v>
      </c>
      <c r="J232" s="155">
        <v>45951</v>
      </c>
      <c r="K232" s="155">
        <v>45954</v>
      </c>
      <c r="L232" s="151">
        <f>IF(ISBLANK(DATA[[#This Row],[DISCHARGE DATE]]),"NO DATE", DATA[[#This Row],[DISCHARGE DATE]]-DATA[[#This Row],[ADMISSION DATE]]+1)</f>
        <v>4</v>
      </c>
      <c r="M232" s="156">
        <v>350</v>
      </c>
      <c r="N232" s="156">
        <v>52</v>
      </c>
      <c r="O232" s="157" t="s">
        <v>815</v>
      </c>
      <c r="P232" s="157" t="s">
        <v>1007</v>
      </c>
      <c r="Q232" s="158">
        <f>IF(DATA[[#This Row],[STORAGE FEE]]=0,"NULL",DATA[[#This Row],[COLDROOM FEE]])-DATA[[#This Row],[STORAGE FEE]]</f>
        <v>0</v>
      </c>
      <c r="R232" s="158">
        <f>IF(ISBLANK(DATA[[#This Row],[DISCHARGE DATE]]),0,IF(DATA[[#This Row],[TYPE]]="VIP",20*DATA[[#This Row],[STORAGE DAYS]],13*DATA[[#This Row],[STORAGE DAYS]]))</f>
        <v>52</v>
      </c>
      <c r="S232" s="71" t="str">
        <f>IF(ISBLANK(DATA[[#This Row],[COLDROOM RECEIPT]]), "IN CUSTODY", "DISCHARGED")</f>
        <v>DISCHARGED</v>
      </c>
      <c r="T232" s="58">
        <f>COUNTA(A:A)-2</f>
        <v>419</v>
      </c>
      <c r="U232" s="59">
        <f>YEAR(DATA[[#This Row],[ADMISSION DATE]])</f>
        <v>2025</v>
      </c>
      <c r="V232" s="60" t="str">
        <f>TEXT(DATA[[#This Row],[ADMISSION DATE]],"mmm")</f>
        <v>Oct</v>
      </c>
      <c r="W232" s="59">
        <f>YEAR(DATA[[#This Row],[DISCHARGE DATE]])</f>
        <v>2025</v>
      </c>
      <c r="X232" s="60" t="str">
        <f>TEXT(DATA[[#This Row],[DISCHARGE DATE]],"mmm")</f>
        <v>Oct</v>
      </c>
    </row>
    <row r="233" spans="1:24" s="27" customFormat="1" ht="16.5" hidden="1" customHeight="1">
      <c r="A233" s="152" t="s">
        <v>1068</v>
      </c>
      <c r="B233" s="151" t="s">
        <v>1069</v>
      </c>
      <c r="C233" s="151">
        <v>46</v>
      </c>
      <c r="D233" s="152" t="s">
        <v>12</v>
      </c>
      <c r="E233" s="152" t="s">
        <v>1070</v>
      </c>
      <c r="F233" s="153" t="s">
        <v>1071</v>
      </c>
      <c r="G233" s="152" t="s">
        <v>16</v>
      </c>
      <c r="H233" s="154" t="s">
        <v>1072</v>
      </c>
      <c r="I233" s="152" t="s">
        <v>20</v>
      </c>
      <c r="J233" s="155">
        <v>45952</v>
      </c>
      <c r="K233" s="155">
        <v>45953</v>
      </c>
      <c r="L233" s="151">
        <f>IF(ISBLANK(DATA[[#This Row],[DISCHARGE DATE]]),"NO DATE", DATA[[#This Row],[DISCHARGE DATE]]-DATA[[#This Row],[ADMISSION DATE]]+1)</f>
        <v>2</v>
      </c>
      <c r="M233" s="156">
        <v>350</v>
      </c>
      <c r="N233" s="156">
        <v>40</v>
      </c>
      <c r="O233" s="157" t="s">
        <v>1064</v>
      </c>
      <c r="P233" s="157" t="s">
        <v>1014</v>
      </c>
      <c r="Q233" s="158">
        <f>IF(DATA[[#This Row],[STORAGE FEE]]=0,"NULL",DATA[[#This Row],[COLDROOM FEE]])-DATA[[#This Row],[STORAGE FEE]]</f>
        <v>0</v>
      </c>
      <c r="R233" s="158">
        <f>IF(ISBLANK(DATA[[#This Row],[DISCHARGE DATE]]),0,IF(DATA[[#This Row],[TYPE]]="VIP",20*DATA[[#This Row],[STORAGE DAYS]],13*DATA[[#This Row],[STORAGE DAYS]]))</f>
        <v>40</v>
      </c>
      <c r="S233" s="71" t="str">
        <f>IF(ISBLANK(DATA[[#This Row],[COLDROOM RECEIPT]]), "IN CUSTODY", "DISCHARGED")</f>
        <v>DISCHARGED</v>
      </c>
      <c r="T233" s="58">
        <f>COUNTA(A:A)-2</f>
        <v>419</v>
      </c>
      <c r="U233" s="59">
        <f>YEAR(DATA[[#This Row],[ADMISSION DATE]])</f>
        <v>2025</v>
      </c>
      <c r="V233" s="60" t="str">
        <f>TEXT(DATA[[#This Row],[ADMISSION DATE]],"mmm")</f>
        <v>Oct</v>
      </c>
      <c r="W233" s="59">
        <f>YEAR(DATA[[#This Row],[DISCHARGE DATE]])</f>
        <v>2025</v>
      </c>
      <c r="X233" s="60" t="str">
        <f>TEXT(DATA[[#This Row],[DISCHARGE DATE]],"mmm")</f>
        <v>Oct</v>
      </c>
    </row>
    <row r="234" spans="1:24" s="27" customFormat="1" ht="16.5" hidden="1" customHeight="1">
      <c r="A234" s="152" t="s">
        <v>1073</v>
      </c>
      <c r="B234" s="151" t="s">
        <v>1074</v>
      </c>
      <c r="C234" s="151">
        <v>39</v>
      </c>
      <c r="D234" s="152" t="s">
        <v>12</v>
      </c>
      <c r="E234" s="152" t="s">
        <v>1075</v>
      </c>
      <c r="F234" s="153" t="s">
        <v>1076</v>
      </c>
      <c r="G234" s="152" t="s">
        <v>13</v>
      </c>
      <c r="H234" s="154" t="s">
        <v>1052</v>
      </c>
      <c r="I234" s="152" t="s">
        <v>18</v>
      </c>
      <c r="J234" s="155">
        <v>45953</v>
      </c>
      <c r="K234" s="155">
        <v>45989</v>
      </c>
      <c r="L234" s="151">
        <f>IF(ISBLANK(DATA[[#This Row],[DISCHARGE DATE]]),"NO DATE", DATA[[#This Row],[DISCHARGE DATE]]-DATA[[#This Row],[ADMISSION DATE]]+1)</f>
        <v>37</v>
      </c>
      <c r="M234" s="156">
        <v>350</v>
      </c>
      <c r="N234" s="156">
        <v>481</v>
      </c>
      <c r="O234" s="157" t="s">
        <v>899</v>
      </c>
      <c r="P234" s="157" t="s">
        <v>551</v>
      </c>
      <c r="Q234" s="158">
        <f>IF(DATA[[#This Row],[STORAGE FEE]]=0,"NULL",DATA[[#This Row],[COLDROOM FEE]])-DATA[[#This Row],[STORAGE FEE]]</f>
        <v>0</v>
      </c>
      <c r="R234" s="158">
        <f>IF(ISBLANK(DATA[[#This Row],[DISCHARGE DATE]]),0,IF(DATA[[#This Row],[TYPE]]="VIP",20*DATA[[#This Row],[STORAGE DAYS]],13*DATA[[#This Row],[STORAGE DAYS]]))</f>
        <v>481</v>
      </c>
      <c r="S234" s="71" t="str">
        <f>IF(ISBLANK(DATA[[#This Row],[COLDROOM RECEIPT]]), "IN CUSTODY", "DISCHARGED")</f>
        <v>DISCHARGED</v>
      </c>
      <c r="T234" s="58">
        <f>COUNTA(A:A)-2</f>
        <v>419</v>
      </c>
      <c r="U234" s="59">
        <f>YEAR(DATA[[#This Row],[ADMISSION DATE]])</f>
        <v>2025</v>
      </c>
      <c r="V234" s="60" t="str">
        <f>TEXT(DATA[[#This Row],[ADMISSION DATE]],"mmm")</f>
        <v>Oct</v>
      </c>
      <c r="W234" s="59">
        <f>YEAR(DATA[[#This Row],[DISCHARGE DATE]])</f>
        <v>2025</v>
      </c>
      <c r="X234" s="60" t="str">
        <f>TEXT(DATA[[#This Row],[DISCHARGE DATE]],"mmm")</f>
        <v>Nov</v>
      </c>
    </row>
    <row r="235" spans="1:24" s="27" customFormat="1" ht="16.5" hidden="1" customHeight="1">
      <c r="A235" s="152" t="s">
        <v>1077</v>
      </c>
      <c r="B235" s="151" t="s">
        <v>1078</v>
      </c>
      <c r="C235" s="151">
        <v>67</v>
      </c>
      <c r="D235" s="152" t="s">
        <v>11</v>
      </c>
      <c r="E235" s="152" t="s">
        <v>996</v>
      </c>
      <c r="F235" s="153" t="s">
        <v>997</v>
      </c>
      <c r="G235" s="152" t="s">
        <v>15</v>
      </c>
      <c r="H235" s="154" t="s">
        <v>956</v>
      </c>
      <c r="I235" s="152" t="s">
        <v>18</v>
      </c>
      <c r="J235" s="155">
        <v>45957</v>
      </c>
      <c r="K235" s="155">
        <v>46108</v>
      </c>
      <c r="L235" s="151">
        <f>IF(ISBLANK(DATA[[#This Row],[DISCHARGE DATE]]),"NO DATE", DATA[[#This Row],[DISCHARGE DATE]]-DATA[[#This Row],[ADMISSION DATE]]+1)</f>
        <v>152</v>
      </c>
      <c r="M235" s="156">
        <v>350</v>
      </c>
      <c r="N235" s="156">
        <v>1976</v>
      </c>
      <c r="O235" s="157" t="s">
        <v>957</v>
      </c>
      <c r="P235" s="157">
        <v>262</v>
      </c>
      <c r="Q235" s="158">
        <f>IF(DATA[[#This Row],[STORAGE FEE]]=0,"NULL",DATA[[#This Row],[COLDROOM FEE]])-DATA[[#This Row],[STORAGE FEE]]</f>
        <v>0</v>
      </c>
      <c r="R235" s="158">
        <f>IF(ISBLANK(DATA[[#This Row],[DISCHARGE DATE]]),0,IF(DATA[[#This Row],[TYPE]]="VIP",20*DATA[[#This Row],[STORAGE DAYS]],13*DATA[[#This Row],[STORAGE DAYS]]))</f>
        <v>1976</v>
      </c>
      <c r="S235" s="71" t="str">
        <f>IF(ISBLANK(DATA[[#This Row],[COLDROOM RECEIPT]]), "IN CUSTODY", "DISCHARGED")</f>
        <v>DISCHARGED</v>
      </c>
      <c r="T235" s="58">
        <f>COUNTA(A:A)-2</f>
        <v>419</v>
      </c>
      <c r="U235" s="59">
        <f>YEAR(DATA[[#This Row],[ADMISSION DATE]])</f>
        <v>2025</v>
      </c>
      <c r="V235" s="60" t="str">
        <f>TEXT(DATA[[#This Row],[ADMISSION DATE]],"mmm")</f>
        <v>Oct</v>
      </c>
      <c r="W235" s="59">
        <f>YEAR(DATA[[#This Row],[DISCHARGE DATE]])</f>
        <v>2026</v>
      </c>
      <c r="X235" s="60" t="str">
        <f>TEXT(DATA[[#This Row],[DISCHARGE DATE]],"mmm")</f>
        <v>Mar</v>
      </c>
    </row>
    <row r="236" spans="1:24" s="27" customFormat="1" ht="16.5" hidden="1" customHeight="1">
      <c r="A236" s="152" t="s">
        <v>1079</v>
      </c>
      <c r="B236" s="151" t="s">
        <v>1080</v>
      </c>
      <c r="C236" s="151">
        <v>90</v>
      </c>
      <c r="D236" s="152" t="s">
        <v>11</v>
      </c>
      <c r="E236" s="152" t="s">
        <v>1081</v>
      </c>
      <c r="F236" s="153" t="s">
        <v>1082</v>
      </c>
      <c r="G236" s="152" t="s">
        <v>35</v>
      </c>
      <c r="H236" s="154" t="s">
        <v>942</v>
      </c>
      <c r="I236" s="152" t="s">
        <v>18</v>
      </c>
      <c r="J236" s="155">
        <v>45959</v>
      </c>
      <c r="K236" s="155">
        <v>46157</v>
      </c>
      <c r="L236" s="151">
        <f>IF(ISBLANK(DATA[[#This Row],[DISCHARGE DATE]]),"NO DATE", DATA[[#This Row],[DISCHARGE DATE]]-DATA[[#This Row],[ADMISSION DATE]]+1)</f>
        <v>199</v>
      </c>
      <c r="M236" s="156">
        <v>350</v>
      </c>
      <c r="N236" s="156">
        <v>2587</v>
      </c>
      <c r="O236" s="157" t="s">
        <v>723</v>
      </c>
      <c r="P236" s="157">
        <v>301</v>
      </c>
      <c r="Q236" s="158">
        <f>IF(DATA[[#This Row],[STORAGE FEE]]=0,"NULL",DATA[[#This Row],[COLDROOM FEE]])-DATA[[#This Row],[STORAGE FEE]]</f>
        <v>0</v>
      </c>
      <c r="R236" s="158">
        <f>IF(ISBLANK(DATA[[#This Row],[DISCHARGE DATE]]),0,IF(DATA[[#This Row],[TYPE]]="VIP",20*DATA[[#This Row],[STORAGE DAYS]],13*DATA[[#This Row],[STORAGE DAYS]]))</f>
        <v>2587</v>
      </c>
      <c r="S236" s="71" t="str">
        <f>IF(ISBLANK(DATA[[#This Row],[COLDROOM RECEIPT]]), "IN CUSTODY", "DISCHARGED")</f>
        <v>DISCHARGED</v>
      </c>
      <c r="T236" s="58">
        <f>COUNTA(A:A)-2</f>
        <v>419</v>
      </c>
      <c r="U236" s="59">
        <f>YEAR(DATA[[#This Row],[ADMISSION DATE]])</f>
        <v>2025</v>
      </c>
      <c r="V236" s="60" t="str">
        <f>TEXT(DATA[[#This Row],[ADMISSION DATE]],"mmm")</f>
        <v>Oct</v>
      </c>
      <c r="W236" s="59">
        <f>YEAR(DATA[[#This Row],[DISCHARGE DATE]])</f>
        <v>2026</v>
      </c>
      <c r="X236" s="60" t="str">
        <f>TEXT(DATA[[#This Row],[DISCHARGE DATE]],"mmm")</f>
        <v>May</v>
      </c>
    </row>
    <row r="237" spans="1:24" s="27" customFormat="1" ht="16.5" hidden="1" customHeight="1">
      <c r="A237" s="152" t="s">
        <v>1083</v>
      </c>
      <c r="B237" s="151" t="s">
        <v>1084</v>
      </c>
      <c r="C237" s="151">
        <v>64</v>
      </c>
      <c r="D237" s="152" t="s">
        <v>11</v>
      </c>
      <c r="E237" s="152" t="s">
        <v>1085</v>
      </c>
      <c r="F237" s="153" t="s">
        <v>1086</v>
      </c>
      <c r="G237" s="152" t="s">
        <v>13</v>
      </c>
      <c r="H237" s="154" t="s">
        <v>1087</v>
      </c>
      <c r="I237" s="152" t="s">
        <v>18</v>
      </c>
      <c r="J237" s="155">
        <v>45960</v>
      </c>
      <c r="K237" s="155">
        <v>46171</v>
      </c>
      <c r="L237" s="151">
        <f>IF(ISBLANK(DATA[[#This Row],[DISCHARGE DATE]]),"NO DATE", DATA[[#This Row],[DISCHARGE DATE]]-DATA[[#This Row],[ADMISSION DATE]]+1)</f>
        <v>212</v>
      </c>
      <c r="M237" s="156">
        <v>350</v>
      </c>
      <c r="N237" s="156">
        <v>2756</v>
      </c>
      <c r="O237" s="157" t="s">
        <v>800</v>
      </c>
      <c r="P237" s="157">
        <v>299</v>
      </c>
      <c r="Q237" s="158">
        <f>IF(DATA[[#This Row],[STORAGE FEE]]=0,"NULL",DATA[[#This Row],[COLDROOM FEE]])-DATA[[#This Row],[STORAGE FEE]]</f>
        <v>0</v>
      </c>
      <c r="R237" s="158">
        <f>IF(ISBLANK(DATA[[#This Row],[DISCHARGE DATE]]),0,IF(DATA[[#This Row],[TYPE]]="VIP",20*DATA[[#This Row],[STORAGE DAYS]],13*DATA[[#This Row],[STORAGE DAYS]]))</f>
        <v>2756</v>
      </c>
      <c r="S237" s="71" t="str">
        <f>IF(ISBLANK(DATA[[#This Row],[COLDROOM RECEIPT]]), "IN CUSTODY", "DISCHARGED")</f>
        <v>DISCHARGED</v>
      </c>
      <c r="T237" s="58">
        <f>COUNTA(A:A)-2</f>
        <v>419</v>
      </c>
      <c r="U237" s="59">
        <f>YEAR(DATA[[#This Row],[ADMISSION DATE]])</f>
        <v>2025</v>
      </c>
      <c r="V237" s="60" t="str">
        <f>TEXT(DATA[[#This Row],[ADMISSION DATE]],"mmm")</f>
        <v>Oct</v>
      </c>
      <c r="W237" s="59">
        <f>YEAR(DATA[[#This Row],[DISCHARGE DATE]])</f>
        <v>2026</v>
      </c>
      <c r="X237" s="60" t="str">
        <f>TEXT(DATA[[#This Row],[DISCHARGE DATE]],"mmm")</f>
        <v>May</v>
      </c>
    </row>
    <row r="238" spans="1:24" s="27" customFormat="1" ht="16.5" hidden="1" customHeight="1">
      <c r="A238" s="152" t="s">
        <v>1088</v>
      </c>
      <c r="B238" s="151" t="s">
        <v>1089</v>
      </c>
      <c r="C238" s="151">
        <v>52</v>
      </c>
      <c r="D238" s="152" t="s">
        <v>11</v>
      </c>
      <c r="E238" s="152" t="s">
        <v>1090</v>
      </c>
      <c r="F238" s="153" t="s">
        <v>1091</v>
      </c>
      <c r="G238" s="152" t="s">
        <v>17</v>
      </c>
      <c r="H238" s="154" t="s">
        <v>1047</v>
      </c>
      <c r="I238" s="152" t="s">
        <v>18</v>
      </c>
      <c r="J238" s="155">
        <v>45960</v>
      </c>
      <c r="K238" s="155">
        <v>45989</v>
      </c>
      <c r="L238" s="151">
        <f>IF(ISBLANK(DATA[[#This Row],[DISCHARGE DATE]]),"NO DATE", DATA[[#This Row],[DISCHARGE DATE]]-DATA[[#This Row],[ADMISSION DATE]]+1)</f>
        <v>30</v>
      </c>
      <c r="M238" s="156">
        <v>350</v>
      </c>
      <c r="N238" s="156">
        <v>390</v>
      </c>
      <c r="O238" s="157" t="s">
        <v>651</v>
      </c>
      <c r="P238" s="157" t="s">
        <v>537</v>
      </c>
      <c r="Q238" s="158">
        <f>IF(DATA[[#This Row],[STORAGE FEE]]=0,"NULL",DATA[[#This Row],[COLDROOM FEE]])-DATA[[#This Row],[STORAGE FEE]]</f>
        <v>0</v>
      </c>
      <c r="R238" s="158">
        <f>IF(ISBLANK(DATA[[#This Row],[DISCHARGE DATE]]),0,IF(DATA[[#This Row],[TYPE]]="VIP",20*DATA[[#This Row],[STORAGE DAYS]],13*DATA[[#This Row],[STORAGE DAYS]]))</f>
        <v>390</v>
      </c>
      <c r="S238" s="71" t="str">
        <f>IF(ISBLANK(DATA[[#This Row],[COLDROOM RECEIPT]]), "IN CUSTODY", "DISCHARGED")</f>
        <v>DISCHARGED</v>
      </c>
      <c r="T238" s="58">
        <f>COUNTA(A:A)-2</f>
        <v>419</v>
      </c>
      <c r="U238" s="59">
        <f>YEAR(DATA[[#This Row],[ADMISSION DATE]])</f>
        <v>2025</v>
      </c>
      <c r="V238" s="60" t="str">
        <f>TEXT(DATA[[#This Row],[ADMISSION DATE]],"mmm")</f>
        <v>Oct</v>
      </c>
      <c r="W238" s="59">
        <f>YEAR(DATA[[#This Row],[DISCHARGE DATE]])</f>
        <v>2025</v>
      </c>
      <c r="X238" s="60" t="str">
        <f>TEXT(DATA[[#This Row],[DISCHARGE DATE]],"mmm")</f>
        <v>Nov</v>
      </c>
    </row>
    <row r="239" spans="1:24" s="27" customFormat="1" ht="16.5" hidden="1" customHeight="1">
      <c r="A239" s="152" t="s">
        <v>1092</v>
      </c>
      <c r="B239" s="151" t="s">
        <v>1093</v>
      </c>
      <c r="C239" s="151">
        <v>78</v>
      </c>
      <c r="D239" s="152" t="s">
        <v>12</v>
      </c>
      <c r="E239" s="152" t="s">
        <v>1094</v>
      </c>
      <c r="F239" s="153" t="s">
        <v>1095</v>
      </c>
      <c r="G239" s="152" t="s">
        <v>16</v>
      </c>
      <c r="H239" s="154" t="s">
        <v>1096</v>
      </c>
      <c r="I239" s="152" t="s">
        <v>18</v>
      </c>
      <c r="J239" s="155">
        <v>45962</v>
      </c>
      <c r="K239" s="155">
        <v>46171</v>
      </c>
      <c r="L239" s="151">
        <f>IF(ISBLANK(DATA[[#This Row],[DISCHARGE DATE]]),"NO DATE", DATA[[#This Row],[DISCHARGE DATE]]-DATA[[#This Row],[ADMISSION DATE]]+1)</f>
        <v>210</v>
      </c>
      <c r="M239" s="156">
        <v>350</v>
      </c>
      <c r="N239" s="156">
        <v>2730</v>
      </c>
      <c r="O239" s="157" t="s">
        <v>766</v>
      </c>
      <c r="P239" s="157">
        <v>298</v>
      </c>
      <c r="Q239" s="158">
        <f>IF(DATA[[#This Row],[STORAGE FEE]]=0,"NULL",DATA[[#This Row],[COLDROOM FEE]])-DATA[[#This Row],[STORAGE FEE]]</f>
        <v>0</v>
      </c>
      <c r="R239" s="158">
        <f>IF(ISBLANK(DATA[[#This Row],[DISCHARGE DATE]]),0,IF(DATA[[#This Row],[TYPE]]="VIP",20*DATA[[#This Row],[STORAGE DAYS]],13*DATA[[#This Row],[STORAGE DAYS]]))</f>
        <v>2730</v>
      </c>
      <c r="S239" s="71" t="str">
        <f>IF(ISBLANK(DATA[[#This Row],[COLDROOM RECEIPT]]), "IN CUSTODY", "DISCHARGED")</f>
        <v>DISCHARGED</v>
      </c>
      <c r="T239" s="58">
        <f>COUNTA(A:A)-2</f>
        <v>419</v>
      </c>
      <c r="U239" s="59">
        <f>YEAR(DATA[[#This Row],[ADMISSION DATE]])</f>
        <v>2025</v>
      </c>
      <c r="V239" s="60" t="str">
        <f>TEXT(DATA[[#This Row],[ADMISSION DATE]],"mmm")</f>
        <v>Nov</v>
      </c>
      <c r="W239" s="59">
        <f>YEAR(DATA[[#This Row],[DISCHARGE DATE]])</f>
        <v>2026</v>
      </c>
      <c r="X239" s="60" t="str">
        <f>TEXT(DATA[[#This Row],[DISCHARGE DATE]],"mmm")</f>
        <v>May</v>
      </c>
    </row>
    <row r="240" spans="1:24" s="27" customFormat="1" ht="16.5" hidden="1" customHeight="1">
      <c r="A240" s="152" t="s">
        <v>1097</v>
      </c>
      <c r="B240" s="151" t="s">
        <v>1098</v>
      </c>
      <c r="C240" s="151">
        <v>80</v>
      </c>
      <c r="D240" s="152" t="s">
        <v>11</v>
      </c>
      <c r="E240" s="152" t="s">
        <v>202</v>
      </c>
      <c r="F240" s="153" t="s">
        <v>1099</v>
      </c>
      <c r="G240" s="152" t="s">
        <v>13</v>
      </c>
      <c r="H240" s="154" t="s">
        <v>993</v>
      </c>
      <c r="I240" s="152" t="s">
        <v>18</v>
      </c>
      <c r="J240" s="155">
        <v>45964</v>
      </c>
      <c r="K240" s="155">
        <v>46108</v>
      </c>
      <c r="L240" s="151">
        <f>IF(ISBLANK(DATA[[#This Row],[DISCHARGE DATE]]),"NO DATE", DATA[[#This Row],[DISCHARGE DATE]]-DATA[[#This Row],[ADMISSION DATE]]+1)</f>
        <v>145</v>
      </c>
      <c r="M240" s="156">
        <v>350</v>
      </c>
      <c r="N240" s="156">
        <v>1885</v>
      </c>
      <c r="O240" s="157" t="s">
        <v>983</v>
      </c>
      <c r="P240" s="157">
        <v>253</v>
      </c>
      <c r="Q240" s="158">
        <f>IF(DATA[[#This Row],[STORAGE FEE]]=0,"NULL",DATA[[#This Row],[COLDROOM FEE]])-DATA[[#This Row],[STORAGE FEE]]</f>
        <v>0</v>
      </c>
      <c r="R240" s="158">
        <f>IF(ISBLANK(DATA[[#This Row],[DISCHARGE DATE]]),0,IF(DATA[[#This Row],[TYPE]]="VIP",20*DATA[[#This Row],[STORAGE DAYS]],13*DATA[[#This Row],[STORAGE DAYS]]))</f>
        <v>1885</v>
      </c>
      <c r="S240" s="71" t="str">
        <f>IF(ISBLANK(DATA[[#This Row],[COLDROOM RECEIPT]]), "IN CUSTODY", "DISCHARGED")</f>
        <v>DISCHARGED</v>
      </c>
      <c r="T240" s="58">
        <f>COUNTA(A:A)-2</f>
        <v>419</v>
      </c>
      <c r="U240" s="59">
        <f>YEAR(DATA[[#This Row],[ADMISSION DATE]])</f>
        <v>2025</v>
      </c>
      <c r="V240" s="60" t="str">
        <f>TEXT(DATA[[#This Row],[ADMISSION DATE]],"mmm")</f>
        <v>Nov</v>
      </c>
      <c r="W240" s="59">
        <f>YEAR(DATA[[#This Row],[DISCHARGE DATE]])</f>
        <v>2026</v>
      </c>
      <c r="X240" s="60" t="str">
        <f>TEXT(DATA[[#This Row],[DISCHARGE DATE]],"mmm")</f>
        <v>Mar</v>
      </c>
    </row>
    <row r="241" spans="1:24" s="27" customFormat="1" ht="16.5" hidden="1" customHeight="1">
      <c r="A241" s="152" t="s">
        <v>1100</v>
      </c>
      <c r="B241" s="151" t="s">
        <v>1101</v>
      </c>
      <c r="C241" s="151">
        <v>90</v>
      </c>
      <c r="D241" s="152" t="s">
        <v>12</v>
      </c>
      <c r="E241" s="152" t="s">
        <v>1102</v>
      </c>
      <c r="F241" s="153" t="s">
        <v>1103</v>
      </c>
      <c r="G241" s="152" t="s">
        <v>13</v>
      </c>
      <c r="H241" s="154" t="s">
        <v>1104</v>
      </c>
      <c r="I241" s="152" t="s">
        <v>20</v>
      </c>
      <c r="J241" s="155">
        <v>45964</v>
      </c>
      <c r="K241" s="155">
        <v>46101</v>
      </c>
      <c r="L241" s="151">
        <f>IF(ISBLANK(DATA[[#This Row],[DISCHARGE DATE]]),"NO DATE", DATA[[#This Row],[DISCHARGE DATE]]-DATA[[#This Row],[ADMISSION DATE]]+1)</f>
        <v>138</v>
      </c>
      <c r="M241" s="156">
        <v>350</v>
      </c>
      <c r="N241" s="156">
        <v>2760</v>
      </c>
      <c r="O241" s="157" t="s">
        <v>1105</v>
      </c>
      <c r="P241" s="157">
        <v>252</v>
      </c>
      <c r="Q241" s="158">
        <f>IF(DATA[[#This Row],[STORAGE FEE]]=0,"NULL",DATA[[#This Row],[COLDROOM FEE]])-DATA[[#This Row],[STORAGE FEE]]</f>
        <v>0</v>
      </c>
      <c r="R241" s="158">
        <f>IF(ISBLANK(DATA[[#This Row],[DISCHARGE DATE]]),0,IF(DATA[[#This Row],[TYPE]]="VIP",20*DATA[[#This Row],[STORAGE DAYS]],13*DATA[[#This Row],[STORAGE DAYS]]))</f>
        <v>2760</v>
      </c>
      <c r="S241" s="71" t="str">
        <f>IF(ISBLANK(DATA[[#This Row],[COLDROOM RECEIPT]]), "IN CUSTODY", "DISCHARGED")</f>
        <v>DISCHARGED</v>
      </c>
      <c r="T241" s="58">
        <f>COUNTA(A:A)-2</f>
        <v>419</v>
      </c>
      <c r="U241" s="59">
        <f>YEAR(DATA[[#This Row],[ADMISSION DATE]])</f>
        <v>2025</v>
      </c>
      <c r="V241" s="60" t="str">
        <f>TEXT(DATA[[#This Row],[ADMISSION DATE]],"mmm")</f>
        <v>Nov</v>
      </c>
      <c r="W241" s="59">
        <f>YEAR(DATA[[#This Row],[DISCHARGE DATE]])</f>
        <v>2026</v>
      </c>
      <c r="X241" s="60" t="str">
        <f>TEXT(DATA[[#This Row],[DISCHARGE DATE]],"mmm")</f>
        <v>Mar</v>
      </c>
    </row>
    <row r="242" spans="1:24" s="27" customFormat="1" ht="16.5" hidden="1" customHeight="1">
      <c r="A242" s="152" t="s">
        <v>1106</v>
      </c>
      <c r="B242" s="151" t="s">
        <v>1107</v>
      </c>
      <c r="C242" s="151">
        <v>51</v>
      </c>
      <c r="D242" s="152" t="s">
        <v>12</v>
      </c>
      <c r="E242" s="152" t="s">
        <v>1108</v>
      </c>
      <c r="F242" s="153" t="s">
        <v>1109</v>
      </c>
      <c r="G242" s="152" t="s">
        <v>17</v>
      </c>
      <c r="H242" s="154" t="s">
        <v>993</v>
      </c>
      <c r="I242" s="152" t="s">
        <v>18</v>
      </c>
      <c r="J242" s="155">
        <v>45963</v>
      </c>
      <c r="K242" s="155">
        <v>45990</v>
      </c>
      <c r="L242" s="151">
        <f>IF(ISBLANK(DATA[[#This Row],[DISCHARGE DATE]]),"NO DATE", DATA[[#This Row],[DISCHARGE DATE]]-DATA[[#This Row],[ADMISSION DATE]]+1)</f>
        <v>28</v>
      </c>
      <c r="M242" s="156">
        <v>350</v>
      </c>
      <c r="N242" s="156">
        <v>364</v>
      </c>
      <c r="O242" s="157" t="s">
        <v>512</v>
      </c>
      <c r="P242" s="157" t="s">
        <v>541</v>
      </c>
      <c r="Q242" s="158">
        <f>IF(DATA[[#This Row],[STORAGE FEE]]=0,"NULL",DATA[[#This Row],[COLDROOM FEE]])-DATA[[#This Row],[STORAGE FEE]]</f>
        <v>0</v>
      </c>
      <c r="R242" s="158">
        <f>IF(ISBLANK(DATA[[#This Row],[DISCHARGE DATE]]),0,IF(DATA[[#This Row],[TYPE]]="VIP",20*DATA[[#This Row],[STORAGE DAYS]],13*DATA[[#This Row],[STORAGE DAYS]]))</f>
        <v>364</v>
      </c>
      <c r="S242" s="71" t="str">
        <f>IF(ISBLANK(DATA[[#This Row],[COLDROOM RECEIPT]]), "IN CUSTODY", "DISCHARGED")</f>
        <v>DISCHARGED</v>
      </c>
      <c r="T242" s="58">
        <f>COUNTA(A:A)-2</f>
        <v>419</v>
      </c>
      <c r="U242" s="59">
        <f>YEAR(DATA[[#This Row],[ADMISSION DATE]])</f>
        <v>2025</v>
      </c>
      <c r="V242" s="60" t="str">
        <f>TEXT(DATA[[#This Row],[ADMISSION DATE]],"mmm")</f>
        <v>Nov</v>
      </c>
      <c r="W242" s="59">
        <f>YEAR(DATA[[#This Row],[DISCHARGE DATE]])</f>
        <v>2025</v>
      </c>
      <c r="X242" s="60" t="str">
        <f>TEXT(DATA[[#This Row],[DISCHARGE DATE]],"mmm")</f>
        <v>Nov</v>
      </c>
    </row>
    <row r="243" spans="1:24" s="27" customFormat="1" ht="16.5" hidden="1" customHeight="1">
      <c r="A243" s="152" t="s">
        <v>1110</v>
      </c>
      <c r="B243" s="151" t="s">
        <v>1111</v>
      </c>
      <c r="C243" s="151">
        <v>29</v>
      </c>
      <c r="D243" s="152" t="s">
        <v>12</v>
      </c>
      <c r="E243" s="152" t="s">
        <v>1112</v>
      </c>
      <c r="F243" s="153" t="s">
        <v>1113</v>
      </c>
      <c r="G243" s="152" t="s">
        <v>16</v>
      </c>
      <c r="H243" s="154" t="s">
        <v>1114</v>
      </c>
      <c r="I243" s="152" t="s">
        <v>18</v>
      </c>
      <c r="J243" s="155">
        <v>45964</v>
      </c>
      <c r="K243" s="155">
        <v>45995</v>
      </c>
      <c r="L243" s="151">
        <f>IF(ISBLANK(DATA[[#This Row],[DISCHARGE DATE]]),"NO DATE", DATA[[#This Row],[DISCHARGE DATE]]-DATA[[#This Row],[ADMISSION DATE]]+1)</f>
        <v>32</v>
      </c>
      <c r="M243" s="156">
        <v>350</v>
      </c>
      <c r="N243" s="156">
        <v>416</v>
      </c>
      <c r="O243" s="157" t="s">
        <v>823</v>
      </c>
      <c r="P243" s="157">
        <v>119</v>
      </c>
      <c r="Q243" s="158">
        <f>IF(DATA[[#This Row],[STORAGE FEE]]=0,"NULL",DATA[[#This Row],[COLDROOM FEE]])-DATA[[#This Row],[STORAGE FEE]]</f>
        <v>0</v>
      </c>
      <c r="R243" s="158">
        <f>IF(ISBLANK(DATA[[#This Row],[DISCHARGE DATE]]),0,IF(DATA[[#This Row],[TYPE]]="VIP",20*DATA[[#This Row],[STORAGE DAYS]],13*DATA[[#This Row],[STORAGE DAYS]]))</f>
        <v>416</v>
      </c>
      <c r="S243" s="71" t="str">
        <f>IF(ISBLANK(DATA[[#This Row],[COLDROOM RECEIPT]]), "IN CUSTODY", "DISCHARGED")</f>
        <v>DISCHARGED</v>
      </c>
      <c r="T243" s="58">
        <f>COUNTA(A:A)-2</f>
        <v>419</v>
      </c>
      <c r="U243" s="59">
        <f>YEAR(DATA[[#This Row],[ADMISSION DATE]])</f>
        <v>2025</v>
      </c>
      <c r="V243" s="60" t="str">
        <f>TEXT(DATA[[#This Row],[ADMISSION DATE]],"mmm")</f>
        <v>Nov</v>
      </c>
      <c r="W243" s="59">
        <f>YEAR(DATA[[#This Row],[DISCHARGE DATE]])</f>
        <v>2025</v>
      </c>
      <c r="X243" s="60" t="str">
        <f>TEXT(DATA[[#This Row],[DISCHARGE DATE]],"mmm")</f>
        <v>Dec</v>
      </c>
    </row>
    <row r="244" spans="1:24" s="27" customFormat="1" ht="16.5" hidden="1" customHeight="1">
      <c r="A244" s="152" t="s">
        <v>1115</v>
      </c>
      <c r="B244" s="151" t="s">
        <v>1116</v>
      </c>
      <c r="C244" s="151">
        <v>68</v>
      </c>
      <c r="D244" s="152" t="s">
        <v>11</v>
      </c>
      <c r="E244" s="152" t="s">
        <v>906</v>
      </c>
      <c r="F244" s="153" t="s">
        <v>1117</v>
      </c>
      <c r="G244" s="152" t="s">
        <v>21</v>
      </c>
      <c r="H244" s="154" t="s">
        <v>1118</v>
      </c>
      <c r="I244" s="152" t="s">
        <v>18</v>
      </c>
      <c r="J244" s="155">
        <v>45964</v>
      </c>
      <c r="K244" s="155">
        <v>46080</v>
      </c>
      <c r="L244" s="151">
        <f>IF(ISBLANK(DATA[[#This Row],[DISCHARGE DATE]]),"NO DATE", DATA[[#This Row],[DISCHARGE DATE]]-DATA[[#This Row],[ADMISSION DATE]]+1)</f>
        <v>117</v>
      </c>
      <c r="M244" s="156">
        <v>350</v>
      </c>
      <c r="N244" s="156">
        <v>1521</v>
      </c>
      <c r="O244" s="157" t="s">
        <v>636</v>
      </c>
      <c r="P244" s="157">
        <v>143</v>
      </c>
      <c r="Q244" s="158">
        <f>IF(DATA[[#This Row],[STORAGE FEE]]=0,"NULL",DATA[[#This Row],[COLDROOM FEE]])-DATA[[#This Row],[STORAGE FEE]]</f>
        <v>0</v>
      </c>
      <c r="R244" s="158">
        <f>IF(ISBLANK(DATA[[#This Row],[DISCHARGE DATE]]),0,IF(DATA[[#This Row],[TYPE]]="VIP",20*DATA[[#This Row],[STORAGE DAYS]],13*DATA[[#This Row],[STORAGE DAYS]]))</f>
        <v>1521</v>
      </c>
      <c r="S244" s="71" t="str">
        <f>IF(ISBLANK(DATA[[#This Row],[COLDROOM RECEIPT]]), "IN CUSTODY", "DISCHARGED")</f>
        <v>DISCHARGED</v>
      </c>
      <c r="T244" s="58">
        <f>COUNTA(A:A)-2</f>
        <v>419</v>
      </c>
      <c r="U244" s="59">
        <f>YEAR(DATA[[#This Row],[ADMISSION DATE]])</f>
        <v>2025</v>
      </c>
      <c r="V244" s="60" t="str">
        <f>TEXT(DATA[[#This Row],[ADMISSION DATE]],"mmm")</f>
        <v>Nov</v>
      </c>
      <c r="W244" s="59">
        <f>YEAR(DATA[[#This Row],[DISCHARGE DATE]])</f>
        <v>2026</v>
      </c>
      <c r="X244" s="60" t="str">
        <f>TEXT(DATA[[#This Row],[DISCHARGE DATE]],"mmm")</f>
        <v>Feb</v>
      </c>
    </row>
    <row r="245" spans="1:24" s="27" customFormat="1" ht="16.5" hidden="1" customHeight="1">
      <c r="A245" s="152" t="s">
        <v>1119</v>
      </c>
      <c r="B245" s="151" t="s">
        <v>1120</v>
      </c>
      <c r="C245" s="151">
        <v>62</v>
      </c>
      <c r="D245" s="152" t="s">
        <v>12</v>
      </c>
      <c r="E245" s="152" t="s">
        <v>1121</v>
      </c>
      <c r="F245" s="153" t="s">
        <v>1122</v>
      </c>
      <c r="G245" s="152" t="s">
        <v>22</v>
      </c>
      <c r="H245" s="154" t="s">
        <v>1123</v>
      </c>
      <c r="I245" s="152" t="s">
        <v>20</v>
      </c>
      <c r="J245" s="155">
        <v>45968</v>
      </c>
      <c r="K245" s="155">
        <v>46066</v>
      </c>
      <c r="L245" s="151">
        <f>IF(ISBLANK(DATA[[#This Row],[DISCHARGE DATE]]),"NO DATE", DATA[[#This Row],[DISCHARGE DATE]]-DATA[[#This Row],[ADMISSION DATE]]+1)</f>
        <v>99</v>
      </c>
      <c r="M245" s="156">
        <v>350</v>
      </c>
      <c r="N245" s="156">
        <v>1980</v>
      </c>
      <c r="O245" s="157" t="s">
        <v>604</v>
      </c>
      <c r="P245" s="157">
        <v>135</v>
      </c>
      <c r="Q245" s="158">
        <f>IF(DATA[[#This Row],[STORAGE FEE]]=0,"NULL",DATA[[#This Row],[COLDROOM FEE]])-DATA[[#This Row],[STORAGE FEE]]</f>
        <v>0</v>
      </c>
      <c r="R245" s="158">
        <f>IF(ISBLANK(DATA[[#This Row],[DISCHARGE DATE]]),0,IF(DATA[[#This Row],[TYPE]]="VIP",20*DATA[[#This Row],[STORAGE DAYS]],13*DATA[[#This Row],[STORAGE DAYS]]))</f>
        <v>1980</v>
      </c>
      <c r="S245" s="71" t="str">
        <f>IF(ISBLANK(DATA[[#This Row],[COLDROOM RECEIPT]]), "IN CUSTODY", "DISCHARGED")</f>
        <v>DISCHARGED</v>
      </c>
      <c r="T245" s="58">
        <f>COUNTA(A:A)-2</f>
        <v>419</v>
      </c>
      <c r="U245" s="59">
        <f>YEAR(DATA[[#This Row],[ADMISSION DATE]])</f>
        <v>2025</v>
      </c>
      <c r="V245" s="60" t="str">
        <f>TEXT(DATA[[#This Row],[ADMISSION DATE]],"mmm")</f>
        <v>Nov</v>
      </c>
      <c r="W245" s="59">
        <f>YEAR(DATA[[#This Row],[DISCHARGE DATE]])</f>
        <v>2026</v>
      </c>
      <c r="X245" s="60" t="str">
        <f>TEXT(DATA[[#This Row],[DISCHARGE DATE]],"mmm")</f>
        <v>Feb</v>
      </c>
    </row>
    <row r="246" spans="1:24" s="27" customFormat="1" ht="16.5" hidden="1" customHeight="1">
      <c r="A246" s="152" t="s">
        <v>1124</v>
      </c>
      <c r="B246" s="151" t="s">
        <v>1125</v>
      </c>
      <c r="C246" s="151">
        <v>63</v>
      </c>
      <c r="D246" s="152" t="s">
        <v>11</v>
      </c>
      <c r="E246" s="152" t="s">
        <v>1126</v>
      </c>
      <c r="F246" s="153" t="s">
        <v>1127</v>
      </c>
      <c r="G246" s="152" t="s">
        <v>15</v>
      </c>
      <c r="H246" s="154" t="s">
        <v>951</v>
      </c>
      <c r="I246" s="152" t="s">
        <v>18</v>
      </c>
      <c r="J246" s="155">
        <v>45971</v>
      </c>
      <c r="K246" s="155">
        <v>46108</v>
      </c>
      <c r="L246" s="151">
        <f>IF(ISBLANK(DATA[[#This Row],[DISCHARGE DATE]]),"NO DATE", DATA[[#This Row],[DISCHARGE DATE]]-DATA[[#This Row],[ADMISSION DATE]]+1)</f>
        <v>138</v>
      </c>
      <c r="M246" s="156">
        <v>350</v>
      </c>
      <c r="N246" s="156">
        <v>1794</v>
      </c>
      <c r="O246" s="157" t="s">
        <v>925</v>
      </c>
      <c r="P246" s="157">
        <v>256</v>
      </c>
      <c r="Q246" s="158">
        <f>IF(DATA[[#This Row],[STORAGE FEE]]=0,"NULL",DATA[[#This Row],[COLDROOM FEE]])-DATA[[#This Row],[STORAGE FEE]]</f>
        <v>0</v>
      </c>
      <c r="R246" s="158">
        <f>IF(ISBLANK(DATA[[#This Row],[DISCHARGE DATE]]),0,IF(DATA[[#This Row],[TYPE]]="VIP",20*DATA[[#This Row],[STORAGE DAYS]],13*DATA[[#This Row],[STORAGE DAYS]]))</f>
        <v>1794</v>
      </c>
      <c r="S246" s="71" t="str">
        <f>IF(ISBLANK(DATA[[#This Row],[COLDROOM RECEIPT]]), "IN CUSTODY", "DISCHARGED")</f>
        <v>DISCHARGED</v>
      </c>
      <c r="T246" s="58">
        <f>COUNTA(A:A)-2</f>
        <v>419</v>
      </c>
      <c r="U246" s="59">
        <f>YEAR(DATA[[#This Row],[ADMISSION DATE]])</f>
        <v>2025</v>
      </c>
      <c r="V246" s="60" t="str">
        <f>TEXT(DATA[[#This Row],[ADMISSION DATE]],"mmm")</f>
        <v>Nov</v>
      </c>
      <c r="W246" s="59">
        <f>YEAR(DATA[[#This Row],[DISCHARGE DATE]])</f>
        <v>2026</v>
      </c>
      <c r="X246" s="60" t="str">
        <f>TEXT(DATA[[#This Row],[DISCHARGE DATE]],"mmm")</f>
        <v>Mar</v>
      </c>
    </row>
    <row r="247" spans="1:24" s="27" customFormat="1" ht="16.5" hidden="1" customHeight="1">
      <c r="A247" s="152" t="s">
        <v>1128</v>
      </c>
      <c r="B247" s="151" t="s">
        <v>1129</v>
      </c>
      <c r="C247" s="151">
        <v>54</v>
      </c>
      <c r="D247" s="152" t="s">
        <v>11</v>
      </c>
      <c r="E247" s="152" t="s">
        <v>1130</v>
      </c>
      <c r="F247" s="153">
        <v>248647626</v>
      </c>
      <c r="G247" s="152" t="s">
        <v>37</v>
      </c>
      <c r="H247" s="154">
        <v>0.67361111111111116</v>
      </c>
      <c r="I247" s="152" t="s">
        <v>18</v>
      </c>
      <c r="J247" s="155">
        <v>45971</v>
      </c>
      <c r="K247" s="155">
        <v>45977</v>
      </c>
      <c r="L247" s="151">
        <f>IF(ISBLANK(DATA[[#This Row],[DISCHARGE DATE]]),"NO DATE", DATA[[#This Row],[DISCHARGE DATE]]-DATA[[#This Row],[ADMISSION DATE]]+1)</f>
        <v>7</v>
      </c>
      <c r="M247" s="156">
        <v>350</v>
      </c>
      <c r="N247" s="156">
        <v>91</v>
      </c>
      <c r="O247" s="157" t="s">
        <v>1131</v>
      </c>
      <c r="P247" s="157" t="s">
        <v>1105</v>
      </c>
      <c r="Q247" s="158">
        <f>IF(DATA[[#This Row],[STORAGE FEE]]=0,"NULL",DATA[[#This Row],[COLDROOM FEE]])-DATA[[#This Row],[STORAGE FEE]]</f>
        <v>0</v>
      </c>
      <c r="R247" s="158">
        <f>IF(ISBLANK(DATA[[#This Row],[DISCHARGE DATE]]),0,IF(DATA[[#This Row],[TYPE]]="VIP",20*DATA[[#This Row],[STORAGE DAYS]],13*DATA[[#This Row],[STORAGE DAYS]]))</f>
        <v>91</v>
      </c>
      <c r="S247" s="71" t="str">
        <f>IF(ISBLANK(DATA[[#This Row],[COLDROOM RECEIPT]]), "IN CUSTODY", "DISCHARGED")</f>
        <v>DISCHARGED</v>
      </c>
      <c r="T247" s="58">
        <f>COUNTA(A:A)-2</f>
        <v>419</v>
      </c>
      <c r="U247" s="59">
        <f>YEAR(DATA[[#This Row],[ADMISSION DATE]])</f>
        <v>2025</v>
      </c>
      <c r="V247" s="60" t="str">
        <f>TEXT(DATA[[#This Row],[ADMISSION DATE]],"mmm")</f>
        <v>Nov</v>
      </c>
      <c r="W247" s="59">
        <f>YEAR(DATA[[#This Row],[DISCHARGE DATE]])</f>
        <v>2025</v>
      </c>
      <c r="X247" s="60" t="str">
        <f>TEXT(DATA[[#This Row],[DISCHARGE DATE]],"mmm")</f>
        <v>Nov</v>
      </c>
    </row>
    <row r="248" spans="1:24" s="27" customFormat="1" ht="16.5" hidden="1" customHeight="1">
      <c r="A248" s="152" t="s">
        <v>1132</v>
      </c>
      <c r="B248" s="151" t="s">
        <v>1133</v>
      </c>
      <c r="C248" s="151">
        <v>62</v>
      </c>
      <c r="D248" s="152" t="s">
        <v>12</v>
      </c>
      <c r="E248" s="152" t="s">
        <v>1134</v>
      </c>
      <c r="F248" s="153" t="s">
        <v>1135</v>
      </c>
      <c r="G248" s="152" t="s">
        <v>13</v>
      </c>
      <c r="H248" s="154" t="s">
        <v>1033</v>
      </c>
      <c r="I248" s="152" t="s">
        <v>18</v>
      </c>
      <c r="J248" s="155">
        <v>45972</v>
      </c>
      <c r="K248" s="155">
        <v>46143</v>
      </c>
      <c r="L248" s="151">
        <f>IF(ISBLANK(DATA[[#This Row],[DISCHARGE DATE]]),"NO DATE", DATA[[#This Row],[DISCHARGE DATE]]-DATA[[#This Row],[ADMISSION DATE]]+1)</f>
        <v>172</v>
      </c>
      <c r="M248" s="156">
        <v>350</v>
      </c>
      <c r="N248" s="156">
        <v>2236</v>
      </c>
      <c r="O248" s="157" t="s">
        <v>1136</v>
      </c>
      <c r="P248" s="157">
        <v>292</v>
      </c>
      <c r="Q248" s="158">
        <f>IF(DATA[[#This Row],[STORAGE FEE]]=0,"NULL",DATA[[#This Row],[COLDROOM FEE]])-DATA[[#This Row],[STORAGE FEE]]</f>
        <v>0</v>
      </c>
      <c r="R248" s="158">
        <f>IF(ISBLANK(DATA[[#This Row],[DISCHARGE DATE]]),0,IF(DATA[[#This Row],[TYPE]]="VIP",20*DATA[[#This Row],[STORAGE DAYS]],13*DATA[[#This Row],[STORAGE DAYS]]))</f>
        <v>2236</v>
      </c>
      <c r="S248" s="71" t="str">
        <f>IF(ISBLANK(DATA[[#This Row],[COLDROOM RECEIPT]]), "IN CUSTODY", "DISCHARGED")</f>
        <v>DISCHARGED</v>
      </c>
      <c r="T248" s="58">
        <f>COUNTA(A:A)-2</f>
        <v>419</v>
      </c>
      <c r="U248" s="59">
        <f>YEAR(DATA[[#This Row],[ADMISSION DATE]])</f>
        <v>2025</v>
      </c>
      <c r="V248" s="60" t="str">
        <f>TEXT(DATA[[#This Row],[ADMISSION DATE]],"mmm")</f>
        <v>Nov</v>
      </c>
      <c r="W248" s="59">
        <f>YEAR(DATA[[#This Row],[DISCHARGE DATE]])</f>
        <v>2026</v>
      </c>
      <c r="X248" s="60" t="str">
        <f>TEXT(DATA[[#This Row],[DISCHARGE DATE]],"mmm")</f>
        <v>May</v>
      </c>
    </row>
    <row r="249" spans="1:24" s="27" customFormat="1" ht="16.5" hidden="1" customHeight="1">
      <c r="A249" s="152" t="s">
        <v>1137</v>
      </c>
      <c r="B249" s="151" t="s">
        <v>1138</v>
      </c>
      <c r="C249" s="151">
        <v>52</v>
      </c>
      <c r="D249" s="152" t="s">
        <v>11</v>
      </c>
      <c r="E249" s="152" t="s">
        <v>1121</v>
      </c>
      <c r="F249" s="153" t="s">
        <v>1122</v>
      </c>
      <c r="G249" s="152" t="s">
        <v>22</v>
      </c>
      <c r="H249" s="154" t="s">
        <v>1139</v>
      </c>
      <c r="I249" s="152" t="s">
        <v>18</v>
      </c>
      <c r="J249" s="155">
        <v>45972</v>
      </c>
      <c r="K249" s="155">
        <v>46066</v>
      </c>
      <c r="L249" s="151">
        <f>IF(ISBLANK(DATA[[#This Row],[DISCHARGE DATE]]),"NO DATE", DATA[[#This Row],[DISCHARGE DATE]]-DATA[[#This Row],[ADMISSION DATE]]+1)</f>
        <v>95</v>
      </c>
      <c r="M249" s="156">
        <v>350</v>
      </c>
      <c r="N249" s="156">
        <v>1235</v>
      </c>
      <c r="O249" s="157" t="s">
        <v>1140</v>
      </c>
      <c r="P249" s="157">
        <v>136</v>
      </c>
      <c r="Q249" s="158">
        <f>IF(DATA[[#This Row],[STORAGE FEE]]=0,"NULL",DATA[[#This Row],[COLDROOM FEE]])-DATA[[#This Row],[STORAGE FEE]]</f>
        <v>0</v>
      </c>
      <c r="R249" s="158">
        <f>IF(ISBLANK(DATA[[#This Row],[DISCHARGE DATE]]),0,IF(DATA[[#This Row],[TYPE]]="VIP",20*DATA[[#This Row],[STORAGE DAYS]],13*DATA[[#This Row],[STORAGE DAYS]]))</f>
        <v>1235</v>
      </c>
      <c r="S249" s="71" t="str">
        <f>IF(ISBLANK(DATA[[#This Row],[COLDROOM RECEIPT]]), "IN CUSTODY", "DISCHARGED")</f>
        <v>DISCHARGED</v>
      </c>
      <c r="T249" s="58">
        <f>COUNTA(A:A)-2</f>
        <v>419</v>
      </c>
      <c r="U249" s="59">
        <f>YEAR(DATA[[#This Row],[ADMISSION DATE]])</f>
        <v>2025</v>
      </c>
      <c r="V249" s="60" t="str">
        <f>TEXT(DATA[[#This Row],[ADMISSION DATE]],"mmm")</f>
        <v>Nov</v>
      </c>
      <c r="W249" s="59">
        <f>YEAR(DATA[[#This Row],[DISCHARGE DATE]])</f>
        <v>2026</v>
      </c>
      <c r="X249" s="60" t="str">
        <f>TEXT(DATA[[#This Row],[DISCHARGE DATE]],"mmm")</f>
        <v>Feb</v>
      </c>
    </row>
    <row r="250" spans="1:24" s="27" customFormat="1" ht="16.5" hidden="1" customHeight="1">
      <c r="A250" s="152" t="s">
        <v>1141</v>
      </c>
      <c r="B250" s="151" t="s">
        <v>1142</v>
      </c>
      <c r="C250" s="151">
        <v>77</v>
      </c>
      <c r="D250" s="152" t="s">
        <v>12</v>
      </c>
      <c r="E250" s="152" t="s">
        <v>1075</v>
      </c>
      <c r="F250" s="153" t="s">
        <v>1076</v>
      </c>
      <c r="G250" s="152" t="s">
        <v>13</v>
      </c>
      <c r="H250" s="154" t="s">
        <v>1143</v>
      </c>
      <c r="I250" s="152" t="s">
        <v>18</v>
      </c>
      <c r="J250" s="155">
        <v>45973</v>
      </c>
      <c r="K250" s="155">
        <v>46143</v>
      </c>
      <c r="L250" s="151">
        <f>IF(ISBLANK(DATA[[#This Row],[DISCHARGE DATE]]),"NO DATE", DATA[[#This Row],[DISCHARGE DATE]]-DATA[[#This Row],[ADMISSION DATE]]+1)</f>
        <v>171</v>
      </c>
      <c r="M250" s="156">
        <v>350</v>
      </c>
      <c r="N250" s="156">
        <v>2223</v>
      </c>
      <c r="O250" s="157" t="s">
        <v>1144</v>
      </c>
      <c r="P250" s="157">
        <v>289</v>
      </c>
      <c r="Q250" s="158">
        <f>IF(DATA[[#This Row],[STORAGE FEE]]=0,"NULL",DATA[[#This Row],[COLDROOM FEE]])-DATA[[#This Row],[STORAGE FEE]]</f>
        <v>0</v>
      </c>
      <c r="R250" s="158">
        <f>IF(ISBLANK(DATA[[#This Row],[DISCHARGE DATE]]),0,IF(DATA[[#This Row],[TYPE]]="VIP",20*DATA[[#This Row],[STORAGE DAYS]],13*DATA[[#This Row],[STORAGE DAYS]]))</f>
        <v>2223</v>
      </c>
      <c r="S250" s="71" t="str">
        <f>IF(ISBLANK(DATA[[#This Row],[COLDROOM RECEIPT]]), "IN CUSTODY", "DISCHARGED")</f>
        <v>DISCHARGED</v>
      </c>
      <c r="T250" s="58">
        <f>COUNTA(A:A)-2</f>
        <v>419</v>
      </c>
      <c r="U250" s="59">
        <f>YEAR(DATA[[#This Row],[ADMISSION DATE]])</f>
        <v>2025</v>
      </c>
      <c r="V250" s="60" t="str">
        <f>TEXT(DATA[[#This Row],[ADMISSION DATE]],"mmm")</f>
        <v>Nov</v>
      </c>
      <c r="W250" s="59">
        <f>YEAR(DATA[[#This Row],[DISCHARGE DATE]])</f>
        <v>2026</v>
      </c>
      <c r="X250" s="60" t="str">
        <f>TEXT(DATA[[#This Row],[DISCHARGE DATE]],"mmm")</f>
        <v>May</v>
      </c>
    </row>
    <row r="251" spans="1:24" s="27" customFormat="1" ht="16.5" hidden="1" customHeight="1">
      <c r="A251" s="152" t="s">
        <v>1145</v>
      </c>
      <c r="B251" s="151" t="s">
        <v>131</v>
      </c>
      <c r="C251" s="151">
        <v>63</v>
      </c>
      <c r="D251" s="152" t="s">
        <v>12</v>
      </c>
      <c r="E251" s="152" t="s">
        <v>1026</v>
      </c>
      <c r="F251" s="153" t="s">
        <v>1027</v>
      </c>
      <c r="G251" s="152" t="s">
        <v>13</v>
      </c>
      <c r="H251" s="154" t="s">
        <v>1146</v>
      </c>
      <c r="I251" s="152" t="s">
        <v>20</v>
      </c>
      <c r="J251" s="155">
        <v>45974</v>
      </c>
      <c r="K251" s="155">
        <v>46108</v>
      </c>
      <c r="L251" s="151">
        <f>IF(ISBLANK(DATA[[#This Row],[DISCHARGE DATE]]),"NO DATE", DATA[[#This Row],[DISCHARGE DATE]]-DATA[[#This Row],[ADMISSION DATE]]+1)</f>
        <v>135</v>
      </c>
      <c r="M251" s="156">
        <v>350</v>
      </c>
      <c r="N251" s="156">
        <v>2700</v>
      </c>
      <c r="O251" s="157" t="s">
        <v>1147</v>
      </c>
      <c r="P251" s="157">
        <v>254</v>
      </c>
      <c r="Q251" s="158">
        <f>IF(DATA[[#This Row],[STORAGE FEE]]=0,"NULL",DATA[[#This Row],[COLDROOM FEE]])-DATA[[#This Row],[STORAGE FEE]]</f>
        <v>0</v>
      </c>
      <c r="R251" s="158">
        <f>IF(ISBLANK(DATA[[#This Row],[DISCHARGE DATE]]),0,IF(DATA[[#This Row],[TYPE]]="VIP",20*DATA[[#This Row],[STORAGE DAYS]],13*DATA[[#This Row],[STORAGE DAYS]]))</f>
        <v>2700</v>
      </c>
      <c r="S251" s="71" t="str">
        <f>IF(ISBLANK(DATA[[#This Row],[COLDROOM RECEIPT]]), "IN CUSTODY", "DISCHARGED")</f>
        <v>DISCHARGED</v>
      </c>
      <c r="T251" s="58">
        <f>COUNTA(A:A)-2</f>
        <v>419</v>
      </c>
      <c r="U251" s="59">
        <f>YEAR(DATA[[#This Row],[ADMISSION DATE]])</f>
        <v>2025</v>
      </c>
      <c r="V251" s="60" t="str">
        <f>TEXT(DATA[[#This Row],[ADMISSION DATE]],"mmm")</f>
        <v>Nov</v>
      </c>
      <c r="W251" s="59">
        <f>YEAR(DATA[[#This Row],[DISCHARGE DATE]])</f>
        <v>2026</v>
      </c>
      <c r="X251" s="60" t="str">
        <f>TEXT(DATA[[#This Row],[DISCHARGE DATE]],"mmm")</f>
        <v>Mar</v>
      </c>
    </row>
    <row r="252" spans="1:24" s="27" customFormat="1" ht="16.5" hidden="1" customHeight="1">
      <c r="A252" s="152" t="s">
        <v>1148</v>
      </c>
      <c r="B252" s="151" t="s">
        <v>1149</v>
      </c>
      <c r="C252" s="151">
        <v>38</v>
      </c>
      <c r="D252" s="152" t="s">
        <v>11</v>
      </c>
      <c r="E252" s="152" t="s">
        <v>1150</v>
      </c>
      <c r="F252" s="153" t="s">
        <v>1151</v>
      </c>
      <c r="G252" s="152" t="s">
        <v>13</v>
      </c>
      <c r="H252" s="154" t="s">
        <v>1123</v>
      </c>
      <c r="I252" s="152" t="s">
        <v>18</v>
      </c>
      <c r="J252" s="155">
        <v>45974</v>
      </c>
      <c r="K252" s="155">
        <v>46108</v>
      </c>
      <c r="L252" s="151">
        <f>IF(ISBLANK(DATA[[#This Row],[DISCHARGE DATE]]),"NO DATE", DATA[[#This Row],[DISCHARGE DATE]]-DATA[[#This Row],[ADMISSION DATE]]+1)</f>
        <v>135</v>
      </c>
      <c r="M252" s="156">
        <v>350</v>
      </c>
      <c r="N252" s="156">
        <v>1755</v>
      </c>
      <c r="O252" s="157" t="s">
        <v>1152</v>
      </c>
      <c r="P252" s="157">
        <v>148</v>
      </c>
      <c r="Q252" s="158">
        <f>IF(DATA[[#This Row],[STORAGE FEE]]=0,"NULL",DATA[[#This Row],[COLDROOM FEE]])-DATA[[#This Row],[STORAGE FEE]]</f>
        <v>0</v>
      </c>
      <c r="R252" s="158">
        <f>IF(ISBLANK(DATA[[#This Row],[DISCHARGE DATE]]),0,IF(DATA[[#This Row],[TYPE]]="VIP",20*DATA[[#This Row],[STORAGE DAYS]],13*DATA[[#This Row],[STORAGE DAYS]]))</f>
        <v>1755</v>
      </c>
      <c r="S252" s="71" t="str">
        <f>IF(ISBLANK(DATA[[#This Row],[COLDROOM RECEIPT]]), "IN CUSTODY", "DISCHARGED")</f>
        <v>DISCHARGED</v>
      </c>
      <c r="T252" s="58">
        <f>COUNTA(A:A)-2</f>
        <v>419</v>
      </c>
      <c r="U252" s="59">
        <f>YEAR(DATA[[#This Row],[ADMISSION DATE]])</f>
        <v>2025</v>
      </c>
      <c r="V252" s="60" t="str">
        <f>TEXT(DATA[[#This Row],[ADMISSION DATE]],"mmm")</f>
        <v>Nov</v>
      </c>
      <c r="W252" s="59">
        <f>YEAR(DATA[[#This Row],[DISCHARGE DATE]])</f>
        <v>2026</v>
      </c>
      <c r="X252" s="60" t="str">
        <f>TEXT(DATA[[#This Row],[DISCHARGE DATE]],"mmm")</f>
        <v>Mar</v>
      </c>
    </row>
    <row r="253" spans="1:24" s="27" customFormat="1" ht="16.5" hidden="1" customHeight="1">
      <c r="A253" s="152" t="s">
        <v>1153</v>
      </c>
      <c r="B253" s="151" t="s">
        <v>1154</v>
      </c>
      <c r="C253" s="151">
        <v>65</v>
      </c>
      <c r="D253" s="152" t="s">
        <v>11</v>
      </c>
      <c r="E253" s="152" t="s">
        <v>674</v>
      </c>
      <c r="F253" s="153">
        <v>247404050</v>
      </c>
      <c r="G253" s="152" t="s">
        <v>13</v>
      </c>
      <c r="H253" s="154" t="s">
        <v>951</v>
      </c>
      <c r="I253" s="152" t="s">
        <v>18</v>
      </c>
      <c r="J253" s="155">
        <v>45976</v>
      </c>
      <c r="K253" s="155">
        <v>46234</v>
      </c>
      <c r="L253" s="151">
        <f>IF(ISBLANK(DATA[[#This Row],[DISCHARGE DATE]]),"NO DATE", DATA[[#This Row],[DISCHARGE DATE]]-DATA[[#This Row],[ADMISSION DATE]]+1)</f>
        <v>259</v>
      </c>
      <c r="M253" s="156">
        <v>350</v>
      </c>
      <c r="N253" s="156">
        <v>2367</v>
      </c>
      <c r="O253" s="157" t="s">
        <v>1155</v>
      </c>
      <c r="P253" s="157">
        <v>337</v>
      </c>
      <c r="Q253" s="158">
        <f>IF(DATA[[#This Row],[STORAGE FEE]]=0,"NULL",DATA[[#This Row],[COLDROOM FEE]])-DATA[[#This Row],[STORAGE FEE]]</f>
        <v>-1000</v>
      </c>
      <c r="R253" s="158">
        <f>IF(ISBLANK(DATA[[#This Row],[DISCHARGE DATE]]),0,IF(DATA[[#This Row],[TYPE]]="VIP",20*DATA[[#This Row],[STORAGE DAYS]],13*DATA[[#This Row],[STORAGE DAYS]]))</f>
        <v>3367</v>
      </c>
      <c r="S253" s="71" t="str">
        <f>IF(ISBLANK(DATA[[#This Row],[COLDROOM RECEIPT]]), "IN CUSTODY", "DISCHARGED")</f>
        <v>DISCHARGED</v>
      </c>
      <c r="T253" s="58">
        <f>COUNTA(A:A)-2</f>
        <v>419</v>
      </c>
      <c r="U253" s="59">
        <f>YEAR(DATA[[#This Row],[ADMISSION DATE]])</f>
        <v>2025</v>
      </c>
      <c r="V253" s="60" t="str">
        <f>TEXT(DATA[[#This Row],[ADMISSION DATE]],"mmm")</f>
        <v>Nov</v>
      </c>
      <c r="W253" s="59">
        <f>YEAR(DATA[[#This Row],[DISCHARGE DATE]])</f>
        <v>2026</v>
      </c>
      <c r="X253" s="60" t="str">
        <f>TEXT(DATA[[#This Row],[DISCHARGE DATE]],"mmm")</f>
        <v>Jul</v>
      </c>
    </row>
    <row r="254" spans="1:24" s="27" customFormat="1" ht="16.5" hidden="1" customHeight="1">
      <c r="A254" s="152" t="s">
        <v>1156</v>
      </c>
      <c r="B254" s="151" t="s">
        <v>1157</v>
      </c>
      <c r="C254" s="151">
        <v>92</v>
      </c>
      <c r="D254" s="152" t="s">
        <v>11</v>
      </c>
      <c r="E254" s="152" t="s">
        <v>1158</v>
      </c>
      <c r="F254" s="153" t="s">
        <v>1159</v>
      </c>
      <c r="G254" s="152" t="s">
        <v>22</v>
      </c>
      <c r="H254" s="154" t="s">
        <v>1160</v>
      </c>
      <c r="I254" s="152" t="s">
        <v>18</v>
      </c>
      <c r="J254" s="155">
        <v>45976</v>
      </c>
      <c r="K254" s="155">
        <v>46122</v>
      </c>
      <c r="L254" s="151">
        <f>IF(ISBLANK(DATA[[#This Row],[DISCHARGE DATE]]),"NO DATE", DATA[[#This Row],[DISCHARGE DATE]]-DATA[[#This Row],[ADMISSION DATE]]+1)</f>
        <v>147</v>
      </c>
      <c r="M254" s="156">
        <v>350</v>
      </c>
      <c r="N254" s="156">
        <v>1911</v>
      </c>
      <c r="O254" s="157" t="s">
        <v>1161</v>
      </c>
      <c r="P254" s="157">
        <v>272</v>
      </c>
      <c r="Q254" s="158">
        <f>IF(DATA[[#This Row],[STORAGE FEE]]=0,"NULL",DATA[[#This Row],[COLDROOM FEE]])-DATA[[#This Row],[STORAGE FEE]]</f>
        <v>0</v>
      </c>
      <c r="R254" s="158">
        <f>IF(ISBLANK(DATA[[#This Row],[DISCHARGE DATE]]),0,IF(DATA[[#This Row],[TYPE]]="VIP",20*DATA[[#This Row],[STORAGE DAYS]],13*DATA[[#This Row],[STORAGE DAYS]]))</f>
        <v>1911</v>
      </c>
      <c r="S254" s="71" t="str">
        <f>IF(ISBLANK(DATA[[#This Row],[COLDROOM RECEIPT]]), "IN CUSTODY", "DISCHARGED")</f>
        <v>DISCHARGED</v>
      </c>
      <c r="T254" s="58">
        <f>COUNTA(A:A)-2</f>
        <v>419</v>
      </c>
      <c r="U254" s="59">
        <f>YEAR(DATA[[#This Row],[ADMISSION DATE]])</f>
        <v>2025</v>
      </c>
      <c r="V254" s="60" t="str">
        <f>TEXT(DATA[[#This Row],[ADMISSION DATE]],"mmm")</f>
        <v>Nov</v>
      </c>
      <c r="W254" s="59">
        <f>YEAR(DATA[[#This Row],[DISCHARGE DATE]])</f>
        <v>2026</v>
      </c>
      <c r="X254" s="60" t="str">
        <f>TEXT(DATA[[#This Row],[DISCHARGE DATE]],"mmm")</f>
        <v>Apr</v>
      </c>
    </row>
    <row r="255" spans="1:24" s="27" customFormat="1" ht="16.5" hidden="1" customHeight="1">
      <c r="A255" s="152" t="s">
        <v>1162</v>
      </c>
      <c r="B255" s="151" t="s">
        <v>1163</v>
      </c>
      <c r="C255" s="151">
        <v>65</v>
      </c>
      <c r="D255" s="152" t="s">
        <v>12</v>
      </c>
      <c r="E255" s="152" t="s">
        <v>906</v>
      </c>
      <c r="F255" s="153" t="s">
        <v>1164</v>
      </c>
      <c r="G255" s="152" t="s">
        <v>37</v>
      </c>
      <c r="H255" s="154" t="s">
        <v>1143</v>
      </c>
      <c r="I255" s="152" t="s">
        <v>18</v>
      </c>
      <c r="J255" s="155">
        <v>45978</v>
      </c>
      <c r="K255" s="155">
        <v>46129</v>
      </c>
      <c r="L255" s="151">
        <f>IF(ISBLANK(DATA[[#This Row],[DISCHARGE DATE]]),"NO DATE", DATA[[#This Row],[DISCHARGE DATE]]-DATA[[#This Row],[ADMISSION DATE]]+1)</f>
        <v>152</v>
      </c>
      <c r="M255" s="156">
        <v>350</v>
      </c>
      <c r="N255" s="156">
        <v>1976</v>
      </c>
      <c r="O255" s="157" t="s">
        <v>1165</v>
      </c>
      <c r="P255" s="157">
        <v>275</v>
      </c>
      <c r="Q255" s="158">
        <f>IF(DATA[[#This Row],[STORAGE FEE]]=0,"NULL",DATA[[#This Row],[COLDROOM FEE]])-DATA[[#This Row],[STORAGE FEE]]</f>
        <v>0</v>
      </c>
      <c r="R255" s="158">
        <f>IF(ISBLANK(DATA[[#This Row],[DISCHARGE DATE]]),0,IF(DATA[[#This Row],[TYPE]]="VIP",20*DATA[[#This Row],[STORAGE DAYS]],13*DATA[[#This Row],[STORAGE DAYS]]))</f>
        <v>1976</v>
      </c>
      <c r="S255" s="71" t="str">
        <f>IF(ISBLANK(DATA[[#This Row],[COLDROOM RECEIPT]]), "IN CUSTODY", "DISCHARGED")</f>
        <v>DISCHARGED</v>
      </c>
      <c r="T255" s="58">
        <f>COUNTA(A:A)-2</f>
        <v>419</v>
      </c>
      <c r="U255" s="59">
        <f>YEAR(DATA[[#This Row],[ADMISSION DATE]])</f>
        <v>2025</v>
      </c>
      <c r="V255" s="60" t="str">
        <f>TEXT(DATA[[#This Row],[ADMISSION DATE]],"mmm")</f>
        <v>Nov</v>
      </c>
      <c r="W255" s="59">
        <f>YEAR(DATA[[#This Row],[DISCHARGE DATE]])</f>
        <v>2026</v>
      </c>
      <c r="X255" s="60" t="str">
        <f>TEXT(DATA[[#This Row],[DISCHARGE DATE]],"mmm")</f>
        <v>Apr</v>
      </c>
    </row>
    <row r="256" spans="1:24" s="27" customFormat="1" ht="16.5" hidden="1" customHeight="1">
      <c r="A256" s="152" t="s">
        <v>1166</v>
      </c>
      <c r="B256" s="151" t="s">
        <v>1167</v>
      </c>
      <c r="C256" s="151">
        <v>65</v>
      </c>
      <c r="D256" s="152" t="s">
        <v>12</v>
      </c>
      <c r="E256" s="152" t="s">
        <v>1168</v>
      </c>
      <c r="F256" s="153" t="s">
        <v>1169</v>
      </c>
      <c r="G256" s="152" t="s">
        <v>13</v>
      </c>
      <c r="H256" s="154" t="s">
        <v>1033</v>
      </c>
      <c r="I256" s="152" t="s">
        <v>18</v>
      </c>
      <c r="J256" s="155">
        <v>45981</v>
      </c>
      <c r="K256" s="155">
        <v>46108</v>
      </c>
      <c r="L256" s="151">
        <f>IF(ISBLANK(DATA[[#This Row],[DISCHARGE DATE]]),"NO DATE", DATA[[#This Row],[DISCHARGE DATE]]-DATA[[#This Row],[ADMISSION DATE]]+1)</f>
        <v>128</v>
      </c>
      <c r="M256" s="156">
        <v>350</v>
      </c>
      <c r="N256" s="156">
        <v>1664</v>
      </c>
      <c r="O256" s="157" t="s">
        <v>1170</v>
      </c>
      <c r="P256" s="157">
        <v>149</v>
      </c>
      <c r="Q256" s="158">
        <f>IF(DATA[[#This Row],[STORAGE FEE]]=0,"NULL",DATA[[#This Row],[COLDROOM FEE]])-DATA[[#This Row],[STORAGE FEE]]</f>
        <v>0</v>
      </c>
      <c r="R256" s="158">
        <f>IF(ISBLANK(DATA[[#This Row],[DISCHARGE DATE]]),0,IF(DATA[[#This Row],[TYPE]]="VIP",20*DATA[[#This Row],[STORAGE DAYS]],13*DATA[[#This Row],[STORAGE DAYS]]))</f>
        <v>1664</v>
      </c>
      <c r="S256" s="71" t="str">
        <f>IF(ISBLANK(DATA[[#This Row],[COLDROOM RECEIPT]]), "IN CUSTODY", "DISCHARGED")</f>
        <v>DISCHARGED</v>
      </c>
      <c r="T256" s="58">
        <f>COUNTA(A:A)-2</f>
        <v>419</v>
      </c>
      <c r="U256" s="59">
        <f>YEAR(DATA[[#This Row],[ADMISSION DATE]])</f>
        <v>2025</v>
      </c>
      <c r="V256" s="60" t="str">
        <f>TEXT(DATA[[#This Row],[ADMISSION DATE]],"mmm")</f>
        <v>Nov</v>
      </c>
      <c r="W256" s="59">
        <f>YEAR(DATA[[#This Row],[DISCHARGE DATE]])</f>
        <v>2026</v>
      </c>
      <c r="X256" s="60" t="str">
        <f>TEXT(DATA[[#This Row],[DISCHARGE DATE]],"mmm")</f>
        <v>Mar</v>
      </c>
    </row>
    <row r="257" spans="1:24" s="27" customFormat="1" ht="16.5" hidden="1" customHeight="1">
      <c r="A257" s="152" t="s">
        <v>1171</v>
      </c>
      <c r="B257" s="151" t="s">
        <v>1172</v>
      </c>
      <c r="C257" s="151">
        <v>80</v>
      </c>
      <c r="D257" s="152" t="s">
        <v>11</v>
      </c>
      <c r="E257" s="152" t="s">
        <v>1173</v>
      </c>
      <c r="F257" s="153" t="s">
        <v>1174</v>
      </c>
      <c r="G257" s="152" t="s">
        <v>13</v>
      </c>
      <c r="H257" s="154">
        <v>0.8125</v>
      </c>
      <c r="I257" s="152" t="s">
        <v>18</v>
      </c>
      <c r="J257" s="155">
        <v>45986</v>
      </c>
      <c r="K257" s="155">
        <v>46143</v>
      </c>
      <c r="L257" s="151">
        <f>IF(ISBLANK(DATA[[#This Row],[DISCHARGE DATE]]),"NO DATE", DATA[[#This Row],[DISCHARGE DATE]]-DATA[[#This Row],[ADMISSION DATE]]+1)</f>
        <v>158</v>
      </c>
      <c r="M257" s="156">
        <v>350</v>
      </c>
      <c r="N257" s="156">
        <v>2054</v>
      </c>
      <c r="O257" s="157" t="s">
        <v>1175</v>
      </c>
      <c r="P257" s="157">
        <v>288</v>
      </c>
      <c r="Q257" s="158">
        <f>IF(DATA[[#This Row],[STORAGE FEE]]=0,"NULL",DATA[[#This Row],[COLDROOM FEE]])-DATA[[#This Row],[STORAGE FEE]]</f>
        <v>0</v>
      </c>
      <c r="R257" s="158">
        <f>IF(ISBLANK(DATA[[#This Row],[DISCHARGE DATE]]),0,IF(DATA[[#This Row],[TYPE]]="VIP",20*DATA[[#This Row],[STORAGE DAYS]],13*DATA[[#This Row],[STORAGE DAYS]]))</f>
        <v>2054</v>
      </c>
      <c r="S257" s="71" t="str">
        <f>IF(ISBLANK(DATA[[#This Row],[COLDROOM RECEIPT]]), "IN CUSTODY", "DISCHARGED")</f>
        <v>DISCHARGED</v>
      </c>
      <c r="T257" s="58">
        <f>COUNTA(A:A)-2</f>
        <v>419</v>
      </c>
      <c r="U257" s="59">
        <f>YEAR(DATA[[#This Row],[ADMISSION DATE]])</f>
        <v>2025</v>
      </c>
      <c r="V257" s="60" t="str">
        <f>TEXT(DATA[[#This Row],[ADMISSION DATE]],"mmm")</f>
        <v>Nov</v>
      </c>
      <c r="W257" s="59">
        <f>YEAR(DATA[[#This Row],[DISCHARGE DATE]])</f>
        <v>2026</v>
      </c>
      <c r="X257" s="60" t="str">
        <f>TEXT(DATA[[#This Row],[DISCHARGE DATE]],"mmm")</f>
        <v>May</v>
      </c>
    </row>
    <row r="258" spans="1:24" s="27" customFormat="1" ht="16.5" hidden="1" customHeight="1">
      <c r="A258" s="152" t="s">
        <v>1176</v>
      </c>
      <c r="B258" s="151" t="s">
        <v>1177</v>
      </c>
      <c r="C258" s="151">
        <v>101</v>
      </c>
      <c r="D258" s="152" t="s">
        <v>11</v>
      </c>
      <c r="E258" s="152" t="s">
        <v>1178</v>
      </c>
      <c r="F258" s="153" t="s">
        <v>1179</v>
      </c>
      <c r="G258" s="152" t="s">
        <v>13</v>
      </c>
      <c r="H258" s="154" t="s">
        <v>1180</v>
      </c>
      <c r="I258" s="152" t="s">
        <v>18</v>
      </c>
      <c r="J258" s="155">
        <v>45987</v>
      </c>
      <c r="K258" s="155">
        <v>46171</v>
      </c>
      <c r="L258" s="151">
        <f>IF(ISBLANK(DATA[[#This Row],[DISCHARGE DATE]]),"NO DATE", DATA[[#This Row],[DISCHARGE DATE]]-DATA[[#This Row],[ADMISSION DATE]]+1)</f>
        <v>185</v>
      </c>
      <c r="M258" s="156">
        <v>350</v>
      </c>
      <c r="N258" s="156">
        <v>2405</v>
      </c>
      <c r="O258" s="157" t="s">
        <v>1181</v>
      </c>
      <c r="P258" s="157">
        <v>306</v>
      </c>
      <c r="Q258" s="158">
        <f>IF(DATA[[#This Row],[STORAGE FEE]]=0,"NULL",DATA[[#This Row],[COLDROOM FEE]])-DATA[[#This Row],[STORAGE FEE]]</f>
        <v>0</v>
      </c>
      <c r="R258" s="158">
        <f>IF(ISBLANK(DATA[[#This Row],[DISCHARGE DATE]]),0,IF(DATA[[#This Row],[TYPE]]="VIP",20*DATA[[#This Row],[STORAGE DAYS]],13*DATA[[#This Row],[STORAGE DAYS]]))</f>
        <v>2405</v>
      </c>
      <c r="S258" s="71" t="str">
        <f>IF(ISBLANK(DATA[[#This Row],[COLDROOM RECEIPT]]), "IN CUSTODY", "DISCHARGED")</f>
        <v>DISCHARGED</v>
      </c>
      <c r="T258" s="58">
        <f>COUNTA(A:A)-2</f>
        <v>419</v>
      </c>
      <c r="U258" s="59">
        <f>YEAR(DATA[[#This Row],[ADMISSION DATE]])</f>
        <v>2025</v>
      </c>
      <c r="V258" s="60" t="str">
        <f>TEXT(DATA[[#This Row],[ADMISSION DATE]],"mmm")</f>
        <v>Nov</v>
      </c>
      <c r="W258" s="59">
        <f>YEAR(DATA[[#This Row],[DISCHARGE DATE]])</f>
        <v>2026</v>
      </c>
      <c r="X258" s="60" t="str">
        <f>TEXT(DATA[[#This Row],[DISCHARGE DATE]],"mmm")</f>
        <v>May</v>
      </c>
    </row>
    <row r="259" spans="1:24" s="27" customFormat="1" ht="16.5" hidden="1" customHeight="1">
      <c r="A259" s="152" t="s">
        <v>1182</v>
      </c>
      <c r="B259" s="151" t="s">
        <v>1183</v>
      </c>
      <c r="C259" s="151">
        <v>52</v>
      </c>
      <c r="D259" s="152" t="s">
        <v>12</v>
      </c>
      <c r="E259" s="152" t="s">
        <v>1184</v>
      </c>
      <c r="F259" s="153" t="s">
        <v>1185</v>
      </c>
      <c r="G259" s="152" t="s">
        <v>16</v>
      </c>
      <c r="H259" s="154" t="s">
        <v>1186</v>
      </c>
      <c r="I259" s="152" t="s">
        <v>18</v>
      </c>
      <c r="J259" s="155">
        <v>45987</v>
      </c>
      <c r="K259" s="155">
        <v>46142</v>
      </c>
      <c r="L259" s="151">
        <f>IF(ISBLANK(DATA[[#This Row],[DISCHARGE DATE]]),"NO DATE", DATA[[#This Row],[DISCHARGE DATE]]-DATA[[#This Row],[ADMISSION DATE]]+1)</f>
        <v>156</v>
      </c>
      <c r="M259" s="156">
        <v>350</v>
      </c>
      <c r="N259" s="156">
        <v>2028</v>
      </c>
      <c r="O259" s="157" t="s">
        <v>1187</v>
      </c>
      <c r="P259" s="157">
        <v>281</v>
      </c>
      <c r="Q259" s="158">
        <f>IF(DATA[[#This Row],[STORAGE FEE]]=0,"NULL",DATA[[#This Row],[COLDROOM FEE]])-DATA[[#This Row],[STORAGE FEE]]</f>
        <v>0</v>
      </c>
      <c r="R259" s="158">
        <f>IF(ISBLANK(DATA[[#This Row],[DISCHARGE DATE]]),0,IF(DATA[[#This Row],[TYPE]]="VIP",20*DATA[[#This Row],[STORAGE DAYS]],13*DATA[[#This Row],[STORAGE DAYS]]))</f>
        <v>2028</v>
      </c>
      <c r="S259" s="71" t="str">
        <f>IF(ISBLANK(DATA[[#This Row],[COLDROOM RECEIPT]]), "IN CUSTODY", "DISCHARGED")</f>
        <v>DISCHARGED</v>
      </c>
      <c r="T259" s="58">
        <f>COUNTA(A:A)-2</f>
        <v>419</v>
      </c>
      <c r="U259" s="59">
        <f>YEAR(DATA[[#This Row],[ADMISSION DATE]])</f>
        <v>2025</v>
      </c>
      <c r="V259" s="60" t="str">
        <f>TEXT(DATA[[#This Row],[ADMISSION DATE]],"mmm")</f>
        <v>Nov</v>
      </c>
      <c r="W259" s="59">
        <f>YEAR(DATA[[#This Row],[DISCHARGE DATE]])</f>
        <v>2026</v>
      </c>
      <c r="X259" s="60" t="str">
        <f>TEXT(DATA[[#This Row],[DISCHARGE DATE]],"mmm")</f>
        <v>Apr</v>
      </c>
    </row>
    <row r="260" spans="1:24" s="27" customFormat="1" ht="16.5" customHeight="1">
      <c r="A260" s="152" t="s">
        <v>1188</v>
      </c>
      <c r="B260" s="151" t="s">
        <v>1189</v>
      </c>
      <c r="C260" s="151">
        <v>52</v>
      </c>
      <c r="D260" s="152" t="s">
        <v>12</v>
      </c>
      <c r="E260" s="152" t="s">
        <v>1190</v>
      </c>
      <c r="F260" s="153" t="s">
        <v>1191</v>
      </c>
      <c r="G260" s="152" t="s">
        <v>23</v>
      </c>
      <c r="H260" s="154" t="s">
        <v>1192</v>
      </c>
      <c r="I260" s="152" t="s">
        <v>18</v>
      </c>
      <c r="J260" s="155">
        <v>45987</v>
      </c>
      <c r="K260" s="155">
        <v>46353</v>
      </c>
      <c r="L260" s="151">
        <f>IF(ISBLANK(DATA[[#This Row],[DISCHARGE DATE]]),"NO DATE", DATA[[#This Row],[DISCHARGE DATE]]-DATA[[#This Row],[ADMISSION DATE]]+1)</f>
        <v>367</v>
      </c>
      <c r="M260" s="156">
        <v>350</v>
      </c>
      <c r="N260" s="156"/>
      <c r="O260" s="157" t="s">
        <v>1193</v>
      </c>
      <c r="P260" s="157"/>
      <c r="Q260" s="158">
        <f>IF(DATA[[#This Row],[STORAGE FEE]]=0,"NULL",DATA[[#This Row],[COLDROOM FEE]])-DATA[[#This Row],[STORAGE FEE]]</f>
        <v>-4771</v>
      </c>
      <c r="R260" s="158">
        <f>IF(ISBLANK(DATA[[#This Row],[DISCHARGE DATE]]),0,IF(DATA[[#This Row],[TYPE]]="VIP",20*DATA[[#This Row],[STORAGE DAYS]],13*DATA[[#This Row],[STORAGE DAYS]]))</f>
        <v>4771</v>
      </c>
      <c r="S260" s="71" t="str">
        <f>IF(ISBLANK(DATA[[#This Row],[COLDROOM RECEIPT]]), "IN CUSTODY", "DISCHARGED")</f>
        <v>IN CUSTODY</v>
      </c>
      <c r="T260" s="58">
        <f>COUNTA(A:A)-2</f>
        <v>419</v>
      </c>
      <c r="U260" s="59">
        <f>YEAR(DATA[[#This Row],[ADMISSION DATE]])</f>
        <v>2025</v>
      </c>
      <c r="V260" s="60" t="str">
        <f>TEXT(DATA[[#This Row],[ADMISSION DATE]],"mmm")</f>
        <v>Nov</v>
      </c>
      <c r="W260" s="59">
        <f>YEAR(DATA[[#This Row],[DISCHARGE DATE]])</f>
        <v>2026</v>
      </c>
      <c r="X260" s="60" t="str">
        <f>TEXT(DATA[[#This Row],[DISCHARGE DATE]],"mmm")</f>
        <v>Nov</v>
      </c>
    </row>
    <row r="261" spans="1:24" s="27" customFormat="1" ht="16.5" hidden="1" customHeight="1">
      <c r="A261" s="152" t="s">
        <v>1194</v>
      </c>
      <c r="B261" s="151" t="s">
        <v>1195</v>
      </c>
      <c r="C261" s="151">
        <v>85</v>
      </c>
      <c r="D261" s="152" t="s">
        <v>11</v>
      </c>
      <c r="E261" s="152" t="s">
        <v>1196</v>
      </c>
      <c r="F261" s="153" t="s">
        <v>1197</v>
      </c>
      <c r="G261" s="152" t="s">
        <v>23</v>
      </c>
      <c r="H261" s="154" t="s">
        <v>1192</v>
      </c>
      <c r="I261" s="152" t="s">
        <v>18</v>
      </c>
      <c r="J261" s="155">
        <v>45988</v>
      </c>
      <c r="K261" s="155">
        <v>46122</v>
      </c>
      <c r="L261" s="151">
        <f>IF(ISBLANK(DATA[[#This Row],[DISCHARGE DATE]]),"NO DATE", DATA[[#This Row],[DISCHARGE DATE]]-DATA[[#This Row],[ADMISSION DATE]]+1)</f>
        <v>135</v>
      </c>
      <c r="M261" s="156">
        <v>350</v>
      </c>
      <c r="N261" s="156">
        <v>1755</v>
      </c>
      <c r="O261" s="157" t="s">
        <v>1198</v>
      </c>
      <c r="P261" s="157">
        <v>144</v>
      </c>
      <c r="Q261" s="158">
        <f>IF(DATA[[#This Row],[STORAGE FEE]]=0,"NULL",DATA[[#This Row],[COLDROOM FEE]])-DATA[[#This Row],[STORAGE FEE]]</f>
        <v>0</v>
      </c>
      <c r="R261" s="158">
        <f>IF(ISBLANK(DATA[[#This Row],[DISCHARGE DATE]]),0,IF(DATA[[#This Row],[TYPE]]="VIP",20*DATA[[#This Row],[STORAGE DAYS]],13*DATA[[#This Row],[STORAGE DAYS]]))</f>
        <v>1755</v>
      </c>
      <c r="S261" s="71" t="str">
        <f>IF(ISBLANK(DATA[[#This Row],[COLDROOM RECEIPT]]), "IN CUSTODY", "DISCHARGED")</f>
        <v>DISCHARGED</v>
      </c>
      <c r="T261" s="58">
        <f>COUNTA(A:A)-2</f>
        <v>419</v>
      </c>
      <c r="U261" s="59">
        <f>YEAR(DATA[[#This Row],[ADMISSION DATE]])</f>
        <v>2025</v>
      </c>
      <c r="V261" s="60" t="str">
        <f>TEXT(DATA[[#This Row],[ADMISSION DATE]],"mmm")</f>
        <v>Nov</v>
      </c>
      <c r="W261" s="59">
        <f>YEAR(DATA[[#This Row],[DISCHARGE DATE]])</f>
        <v>2026</v>
      </c>
      <c r="X261" s="60" t="str">
        <f>TEXT(DATA[[#This Row],[DISCHARGE DATE]],"mmm")</f>
        <v>Apr</v>
      </c>
    </row>
    <row r="262" spans="1:24" s="27" customFormat="1" ht="16.5" hidden="1" customHeight="1">
      <c r="A262" s="152" t="s">
        <v>1199</v>
      </c>
      <c r="B262" s="151" t="s">
        <v>294</v>
      </c>
      <c r="C262" s="151">
        <v>60</v>
      </c>
      <c r="D262" s="152" t="s">
        <v>12</v>
      </c>
      <c r="E262" s="152" t="s">
        <v>1200</v>
      </c>
      <c r="F262" s="153" t="s">
        <v>1201</v>
      </c>
      <c r="G262" s="152" t="s">
        <v>32</v>
      </c>
      <c r="H262" s="154" t="s">
        <v>1202</v>
      </c>
      <c r="I262" s="152" t="s">
        <v>18</v>
      </c>
      <c r="J262" s="155">
        <v>45988</v>
      </c>
      <c r="K262" s="155">
        <v>46080</v>
      </c>
      <c r="L262" s="151">
        <f>IF(ISBLANK(DATA[[#This Row],[DISCHARGE DATE]]),"NO DATE", DATA[[#This Row],[DISCHARGE DATE]]-DATA[[#This Row],[ADMISSION DATE]]+1)</f>
        <v>93</v>
      </c>
      <c r="M262" s="156">
        <v>350</v>
      </c>
      <c r="N262" s="156">
        <v>1209</v>
      </c>
      <c r="O262" s="157" t="s">
        <v>1203</v>
      </c>
      <c r="P262" s="157">
        <v>140</v>
      </c>
      <c r="Q262" s="158">
        <f>IF(DATA[[#This Row],[STORAGE FEE]]=0,"NULL",DATA[[#This Row],[COLDROOM FEE]])-DATA[[#This Row],[STORAGE FEE]]</f>
        <v>0</v>
      </c>
      <c r="R262" s="158">
        <f>IF(ISBLANK(DATA[[#This Row],[DISCHARGE DATE]]),0,IF(DATA[[#This Row],[TYPE]]="VIP",20*DATA[[#This Row],[STORAGE DAYS]],13*DATA[[#This Row],[STORAGE DAYS]]))</f>
        <v>1209</v>
      </c>
      <c r="S262" s="71" t="str">
        <f>IF(ISBLANK(DATA[[#This Row],[COLDROOM RECEIPT]]), "IN CUSTODY", "DISCHARGED")</f>
        <v>DISCHARGED</v>
      </c>
      <c r="T262" s="58">
        <f>COUNTA(A:A)-2</f>
        <v>419</v>
      </c>
      <c r="U262" s="59">
        <f>YEAR(DATA[[#This Row],[ADMISSION DATE]])</f>
        <v>2025</v>
      </c>
      <c r="V262" s="60" t="str">
        <f>TEXT(DATA[[#This Row],[ADMISSION DATE]],"mmm")</f>
        <v>Nov</v>
      </c>
      <c r="W262" s="59">
        <f>YEAR(DATA[[#This Row],[DISCHARGE DATE]])</f>
        <v>2026</v>
      </c>
      <c r="X262" s="60" t="str">
        <f>TEXT(DATA[[#This Row],[DISCHARGE DATE]],"mmm")</f>
        <v>Feb</v>
      </c>
    </row>
    <row r="263" spans="1:24" s="27" customFormat="1" ht="16.5" hidden="1" customHeight="1">
      <c r="A263" s="150" t="s">
        <v>1204</v>
      </c>
      <c r="B263" s="151" t="s">
        <v>1205</v>
      </c>
      <c r="C263" s="151">
        <v>80</v>
      </c>
      <c r="D263" s="152" t="s">
        <v>12</v>
      </c>
      <c r="E263" s="152" t="s">
        <v>1206</v>
      </c>
      <c r="F263" s="159" t="s">
        <v>1207</v>
      </c>
      <c r="G263" s="152" t="s">
        <v>13</v>
      </c>
      <c r="H263" s="154" t="s">
        <v>1208</v>
      </c>
      <c r="I263" s="152" t="s">
        <v>18</v>
      </c>
      <c r="J263" s="155">
        <v>45993</v>
      </c>
      <c r="K263" s="155">
        <v>46143</v>
      </c>
      <c r="L263" s="151">
        <f>IF(ISBLANK(DATA[[#This Row],[DISCHARGE DATE]]),"NO DATE", DATA[[#This Row],[DISCHARGE DATE]]-DATA[[#This Row],[ADMISSION DATE]]+1)</f>
        <v>151</v>
      </c>
      <c r="M263" s="156">
        <v>350</v>
      </c>
      <c r="N263" s="156">
        <v>1963</v>
      </c>
      <c r="O263" s="157" t="s">
        <v>1209</v>
      </c>
      <c r="P263" s="157">
        <v>293</v>
      </c>
      <c r="Q263" s="158">
        <f>IF(DATA[[#This Row],[STORAGE FEE]]=0,"NULL",DATA[[#This Row],[COLDROOM FEE]])-DATA[[#This Row],[STORAGE FEE]]</f>
        <v>0</v>
      </c>
      <c r="R263" s="158">
        <f>IF(ISBLANK(DATA[[#This Row],[DISCHARGE DATE]]),0,IF(DATA[[#This Row],[TYPE]]="VIP",20*DATA[[#This Row],[STORAGE DAYS]],13*DATA[[#This Row],[STORAGE DAYS]]))</f>
        <v>1963</v>
      </c>
      <c r="S263" s="71" t="str">
        <f>IF(ISBLANK(DATA[[#This Row],[COLDROOM RECEIPT]]), "IN CUSTODY", "DISCHARGED")</f>
        <v>DISCHARGED</v>
      </c>
      <c r="T263" s="58">
        <f>COUNTA(A:A)-2</f>
        <v>419</v>
      </c>
      <c r="U263" s="59">
        <f>YEAR(DATA[[#This Row],[ADMISSION DATE]])</f>
        <v>2025</v>
      </c>
      <c r="V263" s="60" t="str">
        <f>TEXT(DATA[[#This Row],[ADMISSION DATE]],"mmm")</f>
        <v>Dec</v>
      </c>
      <c r="W263" s="59">
        <f>YEAR(DATA[[#This Row],[DISCHARGE DATE]])</f>
        <v>2026</v>
      </c>
      <c r="X263" s="60" t="str">
        <f>TEXT(DATA[[#This Row],[DISCHARGE DATE]],"mmm")</f>
        <v>May</v>
      </c>
    </row>
    <row r="264" spans="1:24" s="27" customFormat="1" ht="16.5" hidden="1" customHeight="1">
      <c r="A264" s="150" t="s">
        <v>1210</v>
      </c>
      <c r="B264" s="151" t="s">
        <v>1211</v>
      </c>
      <c r="C264" s="151">
        <v>67</v>
      </c>
      <c r="D264" s="152" t="s">
        <v>11</v>
      </c>
      <c r="E264" s="152" t="s">
        <v>644</v>
      </c>
      <c r="F264" s="159">
        <v>244126977</v>
      </c>
      <c r="G264" s="152" t="s">
        <v>13</v>
      </c>
      <c r="H264" s="154" t="s">
        <v>1212</v>
      </c>
      <c r="I264" s="152" t="s">
        <v>20</v>
      </c>
      <c r="J264" s="155">
        <v>45994</v>
      </c>
      <c r="K264" s="155">
        <v>46108</v>
      </c>
      <c r="L264" s="151">
        <f>IF(ISBLANK(DATA[[#This Row],[DISCHARGE DATE]]),"NO DATE", DATA[[#This Row],[DISCHARGE DATE]]-DATA[[#This Row],[ADMISSION DATE]]+1)</f>
        <v>115</v>
      </c>
      <c r="M264" s="156">
        <v>350</v>
      </c>
      <c r="N264" s="156">
        <v>2300</v>
      </c>
      <c r="O264" s="157" t="s">
        <v>1213</v>
      </c>
      <c r="P264" s="157">
        <v>147</v>
      </c>
      <c r="Q264" s="158">
        <f>IF(DATA[[#This Row],[STORAGE FEE]]=0,"NULL",DATA[[#This Row],[COLDROOM FEE]])-DATA[[#This Row],[STORAGE FEE]]</f>
        <v>0</v>
      </c>
      <c r="R264" s="158">
        <f>IF(ISBLANK(DATA[[#This Row],[DISCHARGE DATE]]),0,IF(DATA[[#This Row],[TYPE]]="VIP",20*DATA[[#This Row],[STORAGE DAYS]],13*DATA[[#This Row],[STORAGE DAYS]]))</f>
        <v>2300</v>
      </c>
      <c r="S264" s="71" t="str">
        <f>IF(ISBLANK(DATA[[#This Row],[COLDROOM RECEIPT]]), "IN CUSTODY", "DISCHARGED")</f>
        <v>DISCHARGED</v>
      </c>
      <c r="T264" s="58">
        <f>COUNTA(A:A)-2</f>
        <v>419</v>
      </c>
      <c r="U264" s="59">
        <f>YEAR(DATA[[#This Row],[ADMISSION DATE]])</f>
        <v>2025</v>
      </c>
      <c r="V264" s="60" t="str">
        <f>TEXT(DATA[[#This Row],[ADMISSION DATE]],"mmm")</f>
        <v>Dec</v>
      </c>
      <c r="W264" s="59">
        <f>YEAR(DATA[[#This Row],[DISCHARGE DATE]])</f>
        <v>2026</v>
      </c>
      <c r="X264" s="60" t="str">
        <f>TEXT(DATA[[#This Row],[DISCHARGE DATE]],"mmm")</f>
        <v>Mar</v>
      </c>
    </row>
    <row r="265" spans="1:24" s="27" customFormat="1" ht="16.5" hidden="1" customHeight="1">
      <c r="A265" s="150" t="s">
        <v>1214</v>
      </c>
      <c r="B265" s="151" t="s">
        <v>1215</v>
      </c>
      <c r="C265" s="151">
        <v>6</v>
      </c>
      <c r="D265" s="152" t="s">
        <v>11</v>
      </c>
      <c r="E265" s="152" t="s">
        <v>1216</v>
      </c>
      <c r="F265" s="159">
        <v>550985768</v>
      </c>
      <c r="G265" s="152" t="s">
        <v>15</v>
      </c>
      <c r="H265" s="154">
        <v>0.85416666666666663</v>
      </c>
      <c r="I265" s="152" t="s">
        <v>18</v>
      </c>
      <c r="J265" s="155">
        <v>45994</v>
      </c>
      <c r="K265" s="155">
        <v>45997</v>
      </c>
      <c r="L265" s="151">
        <f>IF(ISBLANK(DATA[[#This Row],[DISCHARGE DATE]]),"NO DATE", DATA[[#This Row],[DISCHARGE DATE]]-DATA[[#This Row],[ADMISSION DATE]]+1)</f>
        <v>4</v>
      </c>
      <c r="M265" s="156">
        <v>350</v>
      </c>
      <c r="N265" s="156">
        <v>52</v>
      </c>
      <c r="O265" s="157" t="s">
        <v>1217</v>
      </c>
      <c r="P265" s="157">
        <v>121</v>
      </c>
      <c r="Q265" s="158">
        <f>IF(DATA[[#This Row],[STORAGE FEE]]=0,"NULL",DATA[[#This Row],[COLDROOM FEE]])-DATA[[#This Row],[STORAGE FEE]]</f>
        <v>0</v>
      </c>
      <c r="R265" s="158">
        <f>IF(ISBLANK(DATA[[#This Row],[DISCHARGE DATE]]),0,IF(DATA[[#This Row],[TYPE]]="VIP",20*DATA[[#This Row],[STORAGE DAYS]],13*DATA[[#This Row],[STORAGE DAYS]]))</f>
        <v>52</v>
      </c>
      <c r="S265" s="71" t="str">
        <f>IF(ISBLANK(DATA[[#This Row],[COLDROOM RECEIPT]]), "IN CUSTODY", "DISCHARGED")</f>
        <v>DISCHARGED</v>
      </c>
      <c r="T265" s="58">
        <f>COUNTA(A:A)-2</f>
        <v>419</v>
      </c>
      <c r="U265" s="59">
        <f>YEAR(DATA[[#This Row],[ADMISSION DATE]])</f>
        <v>2025</v>
      </c>
      <c r="V265" s="60" t="str">
        <f>TEXT(DATA[[#This Row],[ADMISSION DATE]],"mmm")</f>
        <v>Dec</v>
      </c>
      <c r="W265" s="59">
        <f>YEAR(DATA[[#This Row],[DISCHARGE DATE]])</f>
        <v>2025</v>
      </c>
      <c r="X265" s="60" t="str">
        <f>TEXT(DATA[[#This Row],[DISCHARGE DATE]],"mmm")</f>
        <v>Dec</v>
      </c>
    </row>
    <row r="266" spans="1:24" s="27" customFormat="1" ht="16.5" hidden="1" customHeight="1">
      <c r="A266" s="150" t="s">
        <v>1218</v>
      </c>
      <c r="B266" s="151" t="s">
        <v>1219</v>
      </c>
      <c r="C266" s="151">
        <v>70</v>
      </c>
      <c r="D266" s="152" t="s">
        <v>11</v>
      </c>
      <c r="E266" s="152" t="s">
        <v>1220</v>
      </c>
      <c r="F266" s="159">
        <v>242512984</v>
      </c>
      <c r="G266" s="152" t="s">
        <v>13</v>
      </c>
      <c r="H266" s="154">
        <v>0.39583333333333331</v>
      </c>
      <c r="I266" s="152" t="s">
        <v>18</v>
      </c>
      <c r="J266" s="155">
        <v>45996</v>
      </c>
      <c r="K266" s="155">
        <v>46171</v>
      </c>
      <c r="L266" s="151">
        <f>IF(ISBLANK(DATA[[#This Row],[DISCHARGE DATE]]),"NO DATE", DATA[[#This Row],[DISCHARGE DATE]]-DATA[[#This Row],[ADMISSION DATE]]+1)</f>
        <v>176</v>
      </c>
      <c r="M266" s="156">
        <v>350</v>
      </c>
      <c r="N266" s="156">
        <v>2288</v>
      </c>
      <c r="O266" s="157">
        <v>270</v>
      </c>
      <c r="P266" s="157">
        <v>319</v>
      </c>
      <c r="Q266" s="158">
        <f>IF(DATA[[#This Row],[STORAGE FEE]]=0,"NULL",DATA[[#This Row],[COLDROOM FEE]])-DATA[[#This Row],[STORAGE FEE]]</f>
        <v>0</v>
      </c>
      <c r="R266" s="158">
        <f>IF(ISBLANK(DATA[[#This Row],[DISCHARGE DATE]]),0,IF(DATA[[#This Row],[TYPE]]="VIP",20*DATA[[#This Row],[STORAGE DAYS]],13*DATA[[#This Row],[STORAGE DAYS]]))</f>
        <v>2288</v>
      </c>
      <c r="S266" s="71" t="str">
        <f>IF(ISBLANK(DATA[[#This Row],[COLDROOM RECEIPT]]), "IN CUSTODY", "DISCHARGED")</f>
        <v>DISCHARGED</v>
      </c>
      <c r="T266" s="58">
        <f>COUNTA(A:A)-2</f>
        <v>419</v>
      </c>
      <c r="U266" s="59">
        <f>YEAR(DATA[[#This Row],[ADMISSION DATE]])</f>
        <v>2025</v>
      </c>
      <c r="V266" s="60" t="str">
        <f>TEXT(DATA[[#This Row],[ADMISSION DATE]],"mmm")</f>
        <v>Dec</v>
      </c>
      <c r="W266" s="59">
        <f>YEAR(DATA[[#This Row],[DISCHARGE DATE]])</f>
        <v>2026</v>
      </c>
      <c r="X266" s="60" t="str">
        <f>TEXT(DATA[[#This Row],[DISCHARGE DATE]],"mmm")</f>
        <v>May</v>
      </c>
    </row>
    <row r="267" spans="1:24" s="27" customFormat="1" ht="16.5" hidden="1" customHeight="1">
      <c r="A267" s="150" t="s">
        <v>1221</v>
      </c>
      <c r="B267" s="151" t="s">
        <v>1222</v>
      </c>
      <c r="C267" s="151">
        <v>65</v>
      </c>
      <c r="D267" s="152" t="s">
        <v>11</v>
      </c>
      <c r="E267" s="152" t="s">
        <v>1223</v>
      </c>
      <c r="F267" s="153">
        <v>248131246</v>
      </c>
      <c r="G267" s="152" t="s">
        <v>13</v>
      </c>
      <c r="H267" s="154">
        <v>0.41666666666666669</v>
      </c>
      <c r="I267" s="152" t="s">
        <v>18</v>
      </c>
      <c r="J267" s="155">
        <v>45996</v>
      </c>
      <c r="K267" s="155">
        <v>46143</v>
      </c>
      <c r="L267" s="151">
        <f>IF(ISBLANK(DATA[[#This Row],[DISCHARGE DATE]]),"NO DATE", DATA[[#This Row],[DISCHARGE DATE]]-DATA[[#This Row],[ADMISSION DATE]]+1)</f>
        <v>148</v>
      </c>
      <c r="M267" s="156">
        <v>350</v>
      </c>
      <c r="N267" s="156">
        <v>1924</v>
      </c>
      <c r="O267" s="157">
        <v>271</v>
      </c>
      <c r="P267" s="157">
        <v>282</v>
      </c>
      <c r="Q267" s="158">
        <f>IF(DATA[[#This Row],[STORAGE FEE]]=0,"NULL",DATA[[#This Row],[COLDROOM FEE]])-DATA[[#This Row],[STORAGE FEE]]</f>
        <v>0</v>
      </c>
      <c r="R267" s="158">
        <f>IF(ISBLANK(DATA[[#This Row],[DISCHARGE DATE]]),0,IF(DATA[[#This Row],[TYPE]]="VIP",20*DATA[[#This Row],[STORAGE DAYS]],13*DATA[[#This Row],[STORAGE DAYS]]))</f>
        <v>1924</v>
      </c>
      <c r="S267" s="71" t="str">
        <f>IF(ISBLANK(DATA[[#This Row],[COLDROOM RECEIPT]]), "IN CUSTODY", "DISCHARGED")</f>
        <v>DISCHARGED</v>
      </c>
      <c r="T267" s="58">
        <f>COUNTA(A:A)-2</f>
        <v>419</v>
      </c>
      <c r="U267" s="59">
        <f>YEAR(DATA[[#This Row],[ADMISSION DATE]])</f>
        <v>2025</v>
      </c>
      <c r="V267" s="60" t="str">
        <f>TEXT(DATA[[#This Row],[ADMISSION DATE]],"mmm")</f>
        <v>Dec</v>
      </c>
      <c r="W267" s="59">
        <f>YEAR(DATA[[#This Row],[DISCHARGE DATE]])</f>
        <v>2026</v>
      </c>
      <c r="X267" s="60" t="str">
        <f>TEXT(DATA[[#This Row],[DISCHARGE DATE]],"mmm")</f>
        <v>May</v>
      </c>
    </row>
    <row r="268" spans="1:24" s="27" customFormat="1" ht="16.5" hidden="1" customHeight="1">
      <c r="A268" s="150" t="s">
        <v>1224</v>
      </c>
      <c r="B268" s="151" t="s">
        <v>1225</v>
      </c>
      <c r="C268" s="151">
        <v>39</v>
      </c>
      <c r="D268" s="152" t="s">
        <v>12</v>
      </c>
      <c r="E268" s="152" t="s">
        <v>1081</v>
      </c>
      <c r="F268" s="153">
        <v>554620203</v>
      </c>
      <c r="G268" s="152" t="s">
        <v>35</v>
      </c>
      <c r="H268" s="154">
        <v>0.34722222222222221</v>
      </c>
      <c r="I268" s="152" t="s">
        <v>20</v>
      </c>
      <c r="J268" s="155">
        <v>45999</v>
      </c>
      <c r="K268" s="155">
        <v>46038</v>
      </c>
      <c r="L268" s="151">
        <f>IF(ISBLANK(DATA[[#This Row],[DISCHARGE DATE]]),"NO DATE", DATA[[#This Row],[DISCHARGE DATE]]-DATA[[#This Row],[ADMISSION DATE]]+1)</f>
        <v>40</v>
      </c>
      <c r="M268" s="156">
        <v>350</v>
      </c>
      <c r="N268" s="156">
        <v>800</v>
      </c>
      <c r="O268" s="157">
        <v>272</v>
      </c>
      <c r="P268" s="157">
        <v>124</v>
      </c>
      <c r="Q268" s="158">
        <f>IF(DATA[[#This Row],[STORAGE FEE]]=0,"NULL",DATA[[#This Row],[COLDROOM FEE]])-DATA[[#This Row],[STORAGE FEE]]</f>
        <v>0</v>
      </c>
      <c r="R268" s="158">
        <f>IF(ISBLANK(DATA[[#This Row],[DISCHARGE DATE]]),0,IF(DATA[[#This Row],[TYPE]]="VIP",20*DATA[[#This Row],[STORAGE DAYS]],13*DATA[[#This Row],[STORAGE DAYS]]))</f>
        <v>800</v>
      </c>
      <c r="S268" s="71" t="str">
        <f>IF(ISBLANK(DATA[[#This Row],[COLDROOM RECEIPT]]), "IN CUSTODY", "DISCHARGED")</f>
        <v>DISCHARGED</v>
      </c>
      <c r="T268" s="58">
        <f>COUNTA(A:A)-2</f>
        <v>419</v>
      </c>
      <c r="U268" s="59">
        <f>YEAR(DATA[[#This Row],[ADMISSION DATE]])</f>
        <v>2025</v>
      </c>
      <c r="V268" s="60" t="str">
        <f>TEXT(DATA[[#This Row],[ADMISSION DATE]],"mmm")</f>
        <v>Dec</v>
      </c>
      <c r="W268" s="59">
        <f>YEAR(DATA[[#This Row],[DISCHARGE DATE]])</f>
        <v>2026</v>
      </c>
      <c r="X268" s="60" t="str">
        <f>TEXT(DATA[[#This Row],[DISCHARGE DATE]],"mmm")</f>
        <v>Jan</v>
      </c>
    </row>
    <row r="269" spans="1:24" s="27" customFormat="1" ht="16.5" hidden="1" customHeight="1">
      <c r="A269" s="150" t="s">
        <v>1226</v>
      </c>
      <c r="B269" s="151" t="s">
        <v>1227</v>
      </c>
      <c r="C269" s="151">
        <v>45</v>
      </c>
      <c r="D269" s="152" t="s">
        <v>12</v>
      </c>
      <c r="E269" s="152" t="s">
        <v>1228</v>
      </c>
      <c r="F269" s="153">
        <v>549685856</v>
      </c>
      <c r="G269" s="152" t="s">
        <v>21</v>
      </c>
      <c r="H269" s="154">
        <v>0.27083333333333331</v>
      </c>
      <c r="I269" s="152" t="s">
        <v>18</v>
      </c>
      <c r="J269" s="155">
        <v>45997</v>
      </c>
      <c r="K269" s="155">
        <v>46143</v>
      </c>
      <c r="L269" s="151">
        <f>IF(ISBLANK(DATA[[#This Row],[DISCHARGE DATE]]),"NO DATE", DATA[[#This Row],[DISCHARGE DATE]]-DATA[[#This Row],[ADMISSION DATE]]+1)</f>
        <v>147</v>
      </c>
      <c r="M269" s="156">
        <v>350</v>
      </c>
      <c r="N269" s="156">
        <v>1911</v>
      </c>
      <c r="O269" s="157">
        <v>273</v>
      </c>
      <c r="P269" s="157">
        <v>297</v>
      </c>
      <c r="Q269" s="158">
        <f>IF(DATA[[#This Row],[STORAGE FEE]]=0,"NULL",DATA[[#This Row],[COLDROOM FEE]])-DATA[[#This Row],[STORAGE FEE]]</f>
        <v>0</v>
      </c>
      <c r="R269" s="158">
        <f>IF(ISBLANK(DATA[[#This Row],[DISCHARGE DATE]]),0,IF(DATA[[#This Row],[TYPE]]="VIP",20*DATA[[#This Row],[STORAGE DAYS]],13*DATA[[#This Row],[STORAGE DAYS]]))</f>
        <v>1911</v>
      </c>
      <c r="S269" s="71" t="str">
        <f>IF(ISBLANK(DATA[[#This Row],[COLDROOM RECEIPT]]), "IN CUSTODY", "DISCHARGED")</f>
        <v>DISCHARGED</v>
      </c>
      <c r="T269" s="58">
        <f>COUNTA(A:A)-2</f>
        <v>419</v>
      </c>
      <c r="U269" s="59">
        <f>YEAR(DATA[[#This Row],[ADMISSION DATE]])</f>
        <v>2025</v>
      </c>
      <c r="V269" s="60" t="str">
        <f>TEXT(DATA[[#This Row],[ADMISSION DATE]],"mmm")</f>
        <v>Dec</v>
      </c>
      <c r="W269" s="59">
        <f>YEAR(DATA[[#This Row],[DISCHARGE DATE]])</f>
        <v>2026</v>
      </c>
      <c r="X269" s="60" t="str">
        <f>TEXT(DATA[[#This Row],[DISCHARGE DATE]],"mmm")</f>
        <v>May</v>
      </c>
    </row>
    <row r="270" spans="1:24" s="27" customFormat="1" ht="16.5" hidden="1" customHeight="1">
      <c r="A270" s="150" t="s">
        <v>1229</v>
      </c>
      <c r="B270" s="151" t="s">
        <v>1230</v>
      </c>
      <c r="C270" s="151">
        <v>35</v>
      </c>
      <c r="D270" s="152" t="s">
        <v>11</v>
      </c>
      <c r="E270" s="152" t="s">
        <v>1231</v>
      </c>
      <c r="F270" s="153">
        <v>241372177</v>
      </c>
      <c r="G270" s="152" t="s">
        <v>13</v>
      </c>
      <c r="H270" s="154">
        <v>0.41666666666666669</v>
      </c>
      <c r="I270" s="152" t="s">
        <v>18</v>
      </c>
      <c r="J270" s="155">
        <v>45999</v>
      </c>
      <c r="K270" s="155">
        <v>46108</v>
      </c>
      <c r="L270" s="151">
        <f>IF(ISBLANK(DATA[[#This Row],[DISCHARGE DATE]]),"NO DATE", DATA[[#This Row],[DISCHARGE DATE]]-DATA[[#This Row],[ADMISSION DATE]]+1)</f>
        <v>110</v>
      </c>
      <c r="M270" s="156">
        <v>350</v>
      </c>
      <c r="N270" s="156">
        <v>1430</v>
      </c>
      <c r="O270" s="157">
        <v>274</v>
      </c>
      <c r="P270" s="157">
        <v>145</v>
      </c>
      <c r="Q270" s="158">
        <f>IF(DATA[[#This Row],[STORAGE FEE]]=0,"NULL",DATA[[#This Row],[COLDROOM FEE]])-DATA[[#This Row],[STORAGE FEE]]</f>
        <v>0</v>
      </c>
      <c r="R270" s="158">
        <f>IF(ISBLANK(DATA[[#This Row],[DISCHARGE DATE]]),0,IF(DATA[[#This Row],[TYPE]]="VIP",20*DATA[[#This Row],[STORAGE DAYS]],13*DATA[[#This Row],[STORAGE DAYS]]))</f>
        <v>1430</v>
      </c>
      <c r="S270" s="71" t="str">
        <f>IF(ISBLANK(DATA[[#This Row],[COLDROOM RECEIPT]]), "IN CUSTODY", "DISCHARGED")</f>
        <v>DISCHARGED</v>
      </c>
      <c r="T270" s="58">
        <f>COUNTA(A:A)-2</f>
        <v>419</v>
      </c>
      <c r="U270" s="59">
        <f>YEAR(DATA[[#This Row],[ADMISSION DATE]])</f>
        <v>2025</v>
      </c>
      <c r="V270" s="60" t="str">
        <f>TEXT(DATA[[#This Row],[ADMISSION DATE]],"mmm")</f>
        <v>Dec</v>
      </c>
      <c r="W270" s="59">
        <f>YEAR(DATA[[#This Row],[DISCHARGE DATE]])</f>
        <v>2026</v>
      </c>
      <c r="X270" s="60" t="str">
        <f>TEXT(DATA[[#This Row],[DISCHARGE DATE]],"mmm")</f>
        <v>Mar</v>
      </c>
    </row>
    <row r="271" spans="1:24" s="27" customFormat="1" ht="16.5" hidden="1" customHeight="1">
      <c r="A271" s="150" t="s">
        <v>1232</v>
      </c>
      <c r="B271" s="151" t="s">
        <v>1233</v>
      </c>
      <c r="C271" s="151">
        <v>62</v>
      </c>
      <c r="D271" s="152" t="s">
        <v>11</v>
      </c>
      <c r="E271" s="152" t="s">
        <v>1234</v>
      </c>
      <c r="F271" s="153">
        <v>540042991</v>
      </c>
      <c r="G271" s="152" t="s">
        <v>13</v>
      </c>
      <c r="H271" s="154">
        <v>0.8125</v>
      </c>
      <c r="I271" s="152" t="s">
        <v>18</v>
      </c>
      <c r="J271" s="155">
        <v>46002</v>
      </c>
      <c r="K271" s="155">
        <v>46143</v>
      </c>
      <c r="L271" s="151">
        <f>IF(ISBLANK(DATA[[#This Row],[DISCHARGE DATE]]),"NO DATE", DATA[[#This Row],[DISCHARGE DATE]]-DATA[[#This Row],[ADMISSION DATE]]+1)</f>
        <v>142</v>
      </c>
      <c r="M271" s="156">
        <v>350</v>
      </c>
      <c r="N271" s="156">
        <v>1846</v>
      </c>
      <c r="O271" s="157">
        <v>275</v>
      </c>
      <c r="P271" s="157">
        <v>285</v>
      </c>
      <c r="Q271" s="158">
        <f>IF(DATA[[#This Row],[STORAGE FEE]]=0,"NULL",DATA[[#This Row],[COLDROOM FEE]])-DATA[[#This Row],[STORAGE FEE]]</f>
        <v>0</v>
      </c>
      <c r="R271" s="158">
        <f>IF(ISBLANK(DATA[[#This Row],[DISCHARGE DATE]]),0,IF(DATA[[#This Row],[TYPE]]="VIP",20*DATA[[#This Row],[STORAGE DAYS]],13*DATA[[#This Row],[STORAGE DAYS]]))</f>
        <v>1846</v>
      </c>
      <c r="S271" s="71" t="str">
        <f>IF(ISBLANK(DATA[[#This Row],[COLDROOM RECEIPT]]), "IN CUSTODY", "DISCHARGED")</f>
        <v>DISCHARGED</v>
      </c>
      <c r="T271" s="58">
        <f>COUNTA(A:A)-2</f>
        <v>419</v>
      </c>
      <c r="U271" s="59">
        <f>YEAR(DATA[[#This Row],[ADMISSION DATE]])</f>
        <v>2025</v>
      </c>
      <c r="V271" s="60" t="str">
        <f>TEXT(DATA[[#This Row],[ADMISSION DATE]],"mmm")</f>
        <v>Dec</v>
      </c>
      <c r="W271" s="59">
        <f>YEAR(DATA[[#This Row],[DISCHARGE DATE]])</f>
        <v>2026</v>
      </c>
      <c r="X271" s="60" t="str">
        <f>TEXT(DATA[[#This Row],[DISCHARGE DATE]],"mmm")</f>
        <v>May</v>
      </c>
    </row>
    <row r="272" spans="1:24" s="27" customFormat="1" ht="16.5" hidden="1" customHeight="1">
      <c r="A272" s="150" t="s">
        <v>1235</v>
      </c>
      <c r="B272" s="151" t="s">
        <v>1236</v>
      </c>
      <c r="C272" s="151">
        <v>36</v>
      </c>
      <c r="D272" s="152" t="s">
        <v>11</v>
      </c>
      <c r="E272" s="152" t="s">
        <v>1237</v>
      </c>
      <c r="F272" s="153">
        <v>241385818</v>
      </c>
      <c r="G272" s="152" t="s">
        <v>13</v>
      </c>
      <c r="H272" s="154">
        <v>0.125</v>
      </c>
      <c r="I272" s="152" t="s">
        <v>18</v>
      </c>
      <c r="J272" s="155">
        <v>46004</v>
      </c>
      <c r="K272" s="155">
        <v>46206</v>
      </c>
      <c r="L272" s="151">
        <f>IF(ISBLANK(DATA[[#This Row],[DISCHARGE DATE]]),"NO DATE", DATA[[#This Row],[DISCHARGE DATE]]-DATA[[#This Row],[ADMISSION DATE]]+1)</f>
        <v>203</v>
      </c>
      <c r="M272" s="156">
        <v>350</v>
      </c>
      <c r="N272" s="156">
        <v>2639</v>
      </c>
      <c r="O272" s="157">
        <v>276</v>
      </c>
      <c r="P272" s="157">
        <v>326</v>
      </c>
      <c r="Q272" s="158">
        <f>IF(DATA[[#This Row],[STORAGE FEE]]=0,"NULL",DATA[[#This Row],[COLDROOM FEE]])-DATA[[#This Row],[STORAGE FEE]]</f>
        <v>0</v>
      </c>
      <c r="R272" s="158">
        <f>IF(ISBLANK(DATA[[#This Row],[DISCHARGE DATE]]),0,IF(DATA[[#This Row],[TYPE]]="VIP",20*DATA[[#This Row],[STORAGE DAYS]],13*DATA[[#This Row],[STORAGE DAYS]]))</f>
        <v>2639</v>
      </c>
      <c r="S272" s="71" t="str">
        <f>IF(ISBLANK(DATA[[#This Row],[COLDROOM RECEIPT]]), "IN CUSTODY", "DISCHARGED")</f>
        <v>DISCHARGED</v>
      </c>
      <c r="T272" s="58">
        <f>COUNTA(A:A)-2</f>
        <v>419</v>
      </c>
      <c r="U272" s="59">
        <f>YEAR(DATA[[#This Row],[ADMISSION DATE]])</f>
        <v>2025</v>
      </c>
      <c r="V272" s="60" t="str">
        <f>TEXT(DATA[[#This Row],[ADMISSION DATE]],"mmm")</f>
        <v>Dec</v>
      </c>
      <c r="W272" s="59">
        <f>YEAR(DATA[[#This Row],[DISCHARGE DATE]])</f>
        <v>2026</v>
      </c>
      <c r="X272" s="60" t="str">
        <f>TEXT(DATA[[#This Row],[DISCHARGE DATE]],"mmm")</f>
        <v>Jul</v>
      </c>
    </row>
    <row r="273" spans="1:24" s="27" customFormat="1" ht="16.5" customHeight="1">
      <c r="A273" s="150" t="s">
        <v>1238</v>
      </c>
      <c r="B273" s="151" t="s">
        <v>1239</v>
      </c>
      <c r="C273" s="151">
        <v>75</v>
      </c>
      <c r="D273" s="152" t="s">
        <v>11</v>
      </c>
      <c r="E273" s="152" t="s">
        <v>1240</v>
      </c>
      <c r="F273" s="153">
        <v>541089136</v>
      </c>
      <c r="G273" s="152" t="s">
        <v>13</v>
      </c>
      <c r="H273" s="154">
        <v>0.46527777777777779</v>
      </c>
      <c r="I273" s="152" t="s">
        <v>18</v>
      </c>
      <c r="J273" s="155">
        <v>46006</v>
      </c>
      <c r="K273" s="155">
        <v>46318</v>
      </c>
      <c r="L273" s="151">
        <f>IF(ISBLANK(DATA[[#This Row],[DISCHARGE DATE]]),"NO DATE", DATA[[#This Row],[DISCHARGE DATE]]-DATA[[#This Row],[ADMISSION DATE]]+1)</f>
        <v>313</v>
      </c>
      <c r="M273" s="156">
        <v>350</v>
      </c>
      <c r="N273" s="156"/>
      <c r="O273" s="157">
        <v>277</v>
      </c>
      <c r="P273" s="157"/>
      <c r="Q273" s="158">
        <f>IF(DATA[[#This Row],[STORAGE FEE]]=0,"NULL",DATA[[#This Row],[COLDROOM FEE]])-DATA[[#This Row],[STORAGE FEE]]</f>
        <v>-4069</v>
      </c>
      <c r="R273" s="158">
        <f>IF(ISBLANK(DATA[[#This Row],[DISCHARGE DATE]]),0,IF(DATA[[#This Row],[TYPE]]="VIP",20*DATA[[#This Row],[STORAGE DAYS]],13*DATA[[#This Row],[STORAGE DAYS]]))</f>
        <v>4069</v>
      </c>
      <c r="S273" s="71" t="str">
        <f>IF(ISBLANK(DATA[[#This Row],[COLDROOM RECEIPT]]), "IN CUSTODY", "DISCHARGED")</f>
        <v>IN CUSTODY</v>
      </c>
      <c r="T273" s="58">
        <f>COUNTA(A:A)-2</f>
        <v>419</v>
      </c>
      <c r="U273" s="59">
        <f>YEAR(DATA[[#This Row],[ADMISSION DATE]])</f>
        <v>2025</v>
      </c>
      <c r="V273" s="60" t="str">
        <f>TEXT(DATA[[#This Row],[ADMISSION DATE]],"mmm")</f>
        <v>Dec</v>
      </c>
      <c r="W273" s="59">
        <f>YEAR(DATA[[#This Row],[DISCHARGE DATE]])</f>
        <v>2026</v>
      </c>
      <c r="X273" s="60" t="str">
        <f>TEXT(DATA[[#This Row],[DISCHARGE DATE]],"mmm")</f>
        <v>Oct</v>
      </c>
    </row>
    <row r="274" spans="1:24" s="27" customFormat="1" ht="16.5" hidden="1" customHeight="1">
      <c r="A274" s="150" t="s">
        <v>1241</v>
      </c>
      <c r="B274" s="151" t="s">
        <v>1242</v>
      </c>
      <c r="C274" s="151">
        <v>64</v>
      </c>
      <c r="D274" s="152" t="s">
        <v>12</v>
      </c>
      <c r="E274" s="152" t="s">
        <v>1243</v>
      </c>
      <c r="F274" s="153">
        <v>241455337</v>
      </c>
      <c r="G274" s="152" t="s">
        <v>19</v>
      </c>
      <c r="H274" s="154">
        <v>0.8125</v>
      </c>
      <c r="I274" s="152" t="s">
        <v>18</v>
      </c>
      <c r="J274" s="155">
        <v>46010</v>
      </c>
      <c r="K274" s="155">
        <v>46108</v>
      </c>
      <c r="L274" s="151">
        <f>IF(ISBLANK(DATA[[#This Row],[DISCHARGE DATE]]),"NO DATE", DATA[[#This Row],[DISCHARGE DATE]]-DATA[[#This Row],[ADMISSION DATE]]+1)</f>
        <v>99</v>
      </c>
      <c r="M274" s="156">
        <v>350</v>
      </c>
      <c r="N274" s="156">
        <v>1287</v>
      </c>
      <c r="O274" s="157">
        <v>278</v>
      </c>
      <c r="P274" s="157">
        <v>265</v>
      </c>
      <c r="Q274" s="158">
        <f>IF(DATA[[#This Row],[STORAGE FEE]]=0,"NULL",DATA[[#This Row],[COLDROOM FEE]])-DATA[[#This Row],[STORAGE FEE]]</f>
        <v>0</v>
      </c>
      <c r="R274" s="158">
        <f>IF(ISBLANK(DATA[[#This Row],[DISCHARGE DATE]]),0,IF(DATA[[#This Row],[TYPE]]="VIP",20*DATA[[#This Row],[STORAGE DAYS]],13*DATA[[#This Row],[STORAGE DAYS]]))</f>
        <v>1287</v>
      </c>
      <c r="S274" s="71" t="str">
        <f>IF(ISBLANK(DATA[[#This Row],[COLDROOM RECEIPT]]), "IN CUSTODY", "DISCHARGED")</f>
        <v>DISCHARGED</v>
      </c>
      <c r="T274" s="58">
        <f>COUNTA(A:A)-2</f>
        <v>419</v>
      </c>
      <c r="U274" s="59">
        <f>YEAR(DATA[[#This Row],[ADMISSION DATE]])</f>
        <v>2025</v>
      </c>
      <c r="V274" s="60" t="str">
        <f>TEXT(DATA[[#This Row],[ADMISSION DATE]],"mmm")</f>
        <v>Dec</v>
      </c>
      <c r="W274" s="59">
        <f>YEAR(DATA[[#This Row],[DISCHARGE DATE]])</f>
        <v>2026</v>
      </c>
      <c r="X274" s="60" t="str">
        <f>TEXT(DATA[[#This Row],[DISCHARGE DATE]],"mmm")</f>
        <v>Mar</v>
      </c>
    </row>
    <row r="275" spans="1:24" s="27" customFormat="1" ht="16.5" hidden="1" customHeight="1">
      <c r="A275" s="150" t="s">
        <v>1244</v>
      </c>
      <c r="B275" s="151" t="s">
        <v>1245</v>
      </c>
      <c r="C275" s="151">
        <v>52</v>
      </c>
      <c r="D275" s="152" t="s">
        <v>12</v>
      </c>
      <c r="E275" s="152" t="s">
        <v>1246</v>
      </c>
      <c r="F275" s="153">
        <v>541116410</v>
      </c>
      <c r="G275" s="152" t="s">
        <v>38</v>
      </c>
      <c r="H275" s="154">
        <v>0.8125</v>
      </c>
      <c r="I275" s="152" t="s">
        <v>18</v>
      </c>
      <c r="J275" s="155">
        <v>46015</v>
      </c>
      <c r="K275" s="155">
        <v>46059</v>
      </c>
      <c r="L275" s="151">
        <f>IF(ISBLANK(DATA[[#This Row],[DISCHARGE DATE]]),"NO DATE", DATA[[#This Row],[DISCHARGE DATE]]-DATA[[#This Row],[ADMISSION DATE]]+1)</f>
        <v>45</v>
      </c>
      <c r="M275" s="156">
        <v>350</v>
      </c>
      <c r="N275" s="156">
        <v>585</v>
      </c>
      <c r="O275" s="157">
        <v>279</v>
      </c>
      <c r="P275" s="157">
        <v>131</v>
      </c>
      <c r="Q275" s="158">
        <f>IF(DATA[[#This Row],[STORAGE FEE]]=0,"NULL",DATA[[#This Row],[COLDROOM FEE]])-DATA[[#This Row],[STORAGE FEE]]</f>
        <v>0</v>
      </c>
      <c r="R275" s="158">
        <f>IF(ISBLANK(DATA[[#This Row],[DISCHARGE DATE]]),0,IF(DATA[[#This Row],[TYPE]]="VIP",20*DATA[[#This Row],[STORAGE DAYS]],13*DATA[[#This Row],[STORAGE DAYS]]))</f>
        <v>585</v>
      </c>
      <c r="S275" s="71" t="str">
        <f>IF(ISBLANK(DATA[[#This Row],[COLDROOM RECEIPT]]), "IN CUSTODY", "DISCHARGED")</f>
        <v>DISCHARGED</v>
      </c>
      <c r="T275" s="58">
        <f>COUNTA(A:A)-2</f>
        <v>419</v>
      </c>
      <c r="U275" s="59">
        <f>YEAR(DATA[[#This Row],[ADMISSION DATE]])</f>
        <v>2025</v>
      </c>
      <c r="V275" s="60" t="str">
        <f>TEXT(DATA[[#This Row],[ADMISSION DATE]],"mmm")</f>
        <v>Dec</v>
      </c>
      <c r="W275" s="59">
        <f>YEAR(DATA[[#This Row],[DISCHARGE DATE]])</f>
        <v>2026</v>
      </c>
      <c r="X275" s="60" t="str">
        <f>TEXT(DATA[[#This Row],[DISCHARGE DATE]],"mmm")</f>
        <v>Feb</v>
      </c>
    </row>
    <row r="276" spans="1:24" s="27" customFormat="1" ht="16.5" hidden="1" customHeight="1">
      <c r="A276" s="150" t="s">
        <v>1247</v>
      </c>
      <c r="B276" s="151" t="s">
        <v>1248</v>
      </c>
      <c r="C276" s="151">
        <v>21</v>
      </c>
      <c r="D276" s="152" t="s">
        <v>11</v>
      </c>
      <c r="E276" s="152" t="s">
        <v>1249</v>
      </c>
      <c r="F276" s="153">
        <v>242283600</v>
      </c>
      <c r="G276" s="152" t="s">
        <v>19</v>
      </c>
      <c r="H276" s="154">
        <v>0.85416666666666663</v>
      </c>
      <c r="I276" s="152" t="s">
        <v>18</v>
      </c>
      <c r="J276" s="155">
        <v>46019</v>
      </c>
      <c r="K276" s="155">
        <v>46045</v>
      </c>
      <c r="L276" s="151">
        <f>IF(ISBLANK(DATA[[#This Row],[DISCHARGE DATE]]),"NO DATE", DATA[[#This Row],[DISCHARGE DATE]]-DATA[[#This Row],[ADMISSION DATE]]+1)</f>
        <v>27</v>
      </c>
      <c r="M276" s="156">
        <v>350</v>
      </c>
      <c r="N276" s="156">
        <v>351</v>
      </c>
      <c r="O276" s="157">
        <v>280</v>
      </c>
      <c r="P276" s="157">
        <v>128</v>
      </c>
      <c r="Q276" s="158">
        <f>IF(DATA[[#This Row],[STORAGE FEE]]=0,"NULL",DATA[[#This Row],[COLDROOM FEE]])-DATA[[#This Row],[STORAGE FEE]]</f>
        <v>0</v>
      </c>
      <c r="R276" s="158">
        <f>IF(ISBLANK(DATA[[#This Row],[DISCHARGE DATE]]),0,IF(DATA[[#This Row],[TYPE]]="VIP",20*DATA[[#This Row],[STORAGE DAYS]],13*DATA[[#This Row],[STORAGE DAYS]]))</f>
        <v>351</v>
      </c>
      <c r="S276" s="71" t="str">
        <f>IF(ISBLANK(DATA[[#This Row],[COLDROOM RECEIPT]]), "IN CUSTODY", "DISCHARGED")</f>
        <v>DISCHARGED</v>
      </c>
      <c r="T276" s="58">
        <f>COUNTA(A:A)-2</f>
        <v>419</v>
      </c>
      <c r="U276" s="59">
        <f>YEAR(DATA[[#This Row],[ADMISSION DATE]])</f>
        <v>2025</v>
      </c>
      <c r="V276" s="60" t="str">
        <f>TEXT(DATA[[#This Row],[ADMISSION DATE]],"mmm")</f>
        <v>Dec</v>
      </c>
      <c r="W276" s="59">
        <f>YEAR(DATA[[#This Row],[DISCHARGE DATE]])</f>
        <v>2026</v>
      </c>
      <c r="X276" s="60" t="str">
        <f>TEXT(DATA[[#This Row],[DISCHARGE DATE]],"mmm")</f>
        <v>Jan</v>
      </c>
    </row>
    <row r="277" spans="1:24" s="27" customFormat="1" ht="16.5" hidden="1" customHeight="1">
      <c r="A277" s="150" t="s">
        <v>1250</v>
      </c>
      <c r="B277" s="151" t="s">
        <v>1251</v>
      </c>
      <c r="C277" s="151">
        <v>64</v>
      </c>
      <c r="D277" s="152" t="s">
        <v>11</v>
      </c>
      <c r="E277" s="152" t="s">
        <v>1252</v>
      </c>
      <c r="F277" s="153">
        <v>241079234</v>
      </c>
      <c r="G277" s="152" t="s">
        <v>15</v>
      </c>
      <c r="H277" s="154">
        <v>0.85416666666666663</v>
      </c>
      <c r="I277" s="152" t="s">
        <v>18</v>
      </c>
      <c r="J277" s="155">
        <v>46024</v>
      </c>
      <c r="K277" s="155">
        <v>46143</v>
      </c>
      <c r="L277" s="151">
        <f>IF(ISBLANK(DATA[[#This Row],[DISCHARGE DATE]]),"NO DATE", DATA[[#This Row],[DISCHARGE DATE]]-DATA[[#This Row],[ADMISSION DATE]]+1)</f>
        <v>120</v>
      </c>
      <c r="M277" s="156">
        <v>350</v>
      </c>
      <c r="N277" s="156">
        <v>1560</v>
      </c>
      <c r="O277" s="157">
        <v>281</v>
      </c>
      <c r="P277" s="157">
        <v>283</v>
      </c>
      <c r="Q277" s="158">
        <f>IF(DATA[[#This Row],[STORAGE FEE]]=0,"NULL",DATA[[#This Row],[COLDROOM FEE]])-DATA[[#This Row],[STORAGE FEE]]</f>
        <v>0</v>
      </c>
      <c r="R277" s="158">
        <f>IF(ISBLANK(DATA[[#This Row],[DISCHARGE DATE]]),0,IF(DATA[[#This Row],[TYPE]]="VIP",20*DATA[[#This Row],[STORAGE DAYS]],13*DATA[[#This Row],[STORAGE DAYS]]))</f>
        <v>1560</v>
      </c>
      <c r="S277" s="71" t="str">
        <f>IF(ISBLANK(DATA[[#This Row],[COLDROOM RECEIPT]]), "IN CUSTODY", "DISCHARGED")</f>
        <v>DISCHARGED</v>
      </c>
      <c r="T277" s="58">
        <f>COUNTA(A:A)-2</f>
        <v>419</v>
      </c>
      <c r="U277" s="59">
        <f>YEAR(DATA[[#This Row],[ADMISSION DATE]])</f>
        <v>2026</v>
      </c>
      <c r="V277" s="60" t="str">
        <f>TEXT(DATA[[#This Row],[ADMISSION DATE]],"mmm")</f>
        <v>Jan</v>
      </c>
      <c r="W277" s="59">
        <f>YEAR(DATA[[#This Row],[DISCHARGE DATE]])</f>
        <v>2026</v>
      </c>
      <c r="X277" s="60" t="str">
        <f>TEXT(DATA[[#This Row],[DISCHARGE DATE]],"mmm")</f>
        <v>May</v>
      </c>
    </row>
    <row r="278" spans="1:24" s="27" customFormat="1" ht="16.5" hidden="1" customHeight="1">
      <c r="A278" s="150" t="s">
        <v>1253</v>
      </c>
      <c r="B278" s="151" t="s">
        <v>1254</v>
      </c>
      <c r="C278" s="151">
        <v>70</v>
      </c>
      <c r="D278" s="152" t="s">
        <v>12</v>
      </c>
      <c r="E278" s="152" t="s">
        <v>1255</v>
      </c>
      <c r="F278" s="153">
        <v>247279683</v>
      </c>
      <c r="G278" s="152" t="s">
        <v>13</v>
      </c>
      <c r="H278" s="154">
        <v>0.72916666666666663</v>
      </c>
      <c r="I278" s="152" t="s">
        <v>18</v>
      </c>
      <c r="J278" s="155">
        <v>46025</v>
      </c>
      <c r="K278" s="155">
        <v>46143</v>
      </c>
      <c r="L278" s="151">
        <f>IF(ISBLANK(DATA[[#This Row],[DISCHARGE DATE]]),"NO DATE", DATA[[#This Row],[DISCHARGE DATE]]-DATA[[#This Row],[ADMISSION DATE]]+1)</f>
        <v>119</v>
      </c>
      <c r="M278" s="156">
        <v>350</v>
      </c>
      <c r="N278" s="156">
        <v>1547</v>
      </c>
      <c r="O278" s="157">
        <v>282</v>
      </c>
      <c r="P278" s="157">
        <v>287</v>
      </c>
      <c r="Q278" s="158">
        <f>IF(DATA[[#This Row],[STORAGE FEE]]=0,"NULL",DATA[[#This Row],[COLDROOM FEE]])-DATA[[#This Row],[STORAGE FEE]]</f>
        <v>0</v>
      </c>
      <c r="R278" s="158">
        <f>IF(ISBLANK(DATA[[#This Row],[DISCHARGE DATE]]),0,IF(DATA[[#This Row],[TYPE]]="VIP",20*DATA[[#This Row],[STORAGE DAYS]],13*DATA[[#This Row],[STORAGE DAYS]]))</f>
        <v>1547</v>
      </c>
      <c r="S278" s="71" t="str">
        <f>IF(ISBLANK(DATA[[#This Row],[COLDROOM RECEIPT]]), "IN CUSTODY", "DISCHARGED")</f>
        <v>DISCHARGED</v>
      </c>
      <c r="T278" s="58">
        <f>COUNTA(A:A)-2</f>
        <v>419</v>
      </c>
      <c r="U278" s="59">
        <f>YEAR(DATA[[#This Row],[ADMISSION DATE]])</f>
        <v>2026</v>
      </c>
      <c r="V278" s="60" t="str">
        <f>TEXT(DATA[[#This Row],[ADMISSION DATE]],"mmm")</f>
        <v>Jan</v>
      </c>
      <c r="W278" s="59">
        <f>YEAR(DATA[[#This Row],[DISCHARGE DATE]])</f>
        <v>2026</v>
      </c>
      <c r="X278" s="60" t="str">
        <f>TEXT(DATA[[#This Row],[DISCHARGE DATE]],"mmm")</f>
        <v>May</v>
      </c>
    </row>
    <row r="279" spans="1:24" s="27" customFormat="1" ht="16.5" hidden="1" customHeight="1">
      <c r="A279" s="150" t="s">
        <v>1256</v>
      </c>
      <c r="B279" s="151" t="s">
        <v>1257</v>
      </c>
      <c r="C279" s="151">
        <v>37</v>
      </c>
      <c r="D279" s="152" t="s">
        <v>12</v>
      </c>
      <c r="E279" s="152" t="s">
        <v>1258</v>
      </c>
      <c r="F279" s="153">
        <v>545886212</v>
      </c>
      <c r="G279" s="152" t="s">
        <v>13</v>
      </c>
      <c r="H279" s="154">
        <v>0.52083333333333337</v>
      </c>
      <c r="I279" s="152" t="s">
        <v>18</v>
      </c>
      <c r="J279" s="155">
        <v>46025</v>
      </c>
      <c r="K279" s="155">
        <v>46108</v>
      </c>
      <c r="L279" s="151">
        <f>IF(ISBLANK(DATA[[#This Row],[DISCHARGE DATE]]),"NO DATE", DATA[[#This Row],[DISCHARGE DATE]]-DATA[[#This Row],[ADMISSION DATE]]+1)</f>
        <v>84</v>
      </c>
      <c r="M279" s="156">
        <v>350</v>
      </c>
      <c r="N279" s="156">
        <v>1092</v>
      </c>
      <c r="O279" s="157">
        <v>283</v>
      </c>
      <c r="P279" s="157">
        <v>261</v>
      </c>
      <c r="Q279" s="158">
        <f>IF(DATA[[#This Row],[STORAGE FEE]]=0,"NULL",DATA[[#This Row],[COLDROOM FEE]])-DATA[[#This Row],[STORAGE FEE]]</f>
        <v>0</v>
      </c>
      <c r="R279" s="158">
        <f>IF(ISBLANK(DATA[[#This Row],[DISCHARGE DATE]]),0,IF(DATA[[#This Row],[TYPE]]="VIP",20*DATA[[#This Row],[STORAGE DAYS]],13*DATA[[#This Row],[STORAGE DAYS]]))</f>
        <v>1092</v>
      </c>
      <c r="S279" s="71" t="str">
        <f>IF(ISBLANK(DATA[[#This Row],[COLDROOM RECEIPT]]), "IN CUSTODY", "DISCHARGED")</f>
        <v>DISCHARGED</v>
      </c>
      <c r="T279" s="58">
        <f>COUNTA(A:A)-2</f>
        <v>419</v>
      </c>
      <c r="U279" s="59">
        <f>YEAR(DATA[[#This Row],[ADMISSION DATE]])</f>
        <v>2026</v>
      </c>
      <c r="V279" s="60" t="str">
        <f>TEXT(DATA[[#This Row],[ADMISSION DATE]],"mmm")</f>
        <v>Jan</v>
      </c>
      <c r="W279" s="59">
        <f>YEAR(DATA[[#This Row],[DISCHARGE DATE]])</f>
        <v>2026</v>
      </c>
      <c r="X279" s="60" t="str">
        <f>TEXT(DATA[[#This Row],[DISCHARGE DATE]],"mmm")</f>
        <v>Mar</v>
      </c>
    </row>
    <row r="280" spans="1:24" s="27" customFormat="1" ht="16.5" hidden="1" customHeight="1">
      <c r="A280" s="150" t="s">
        <v>1259</v>
      </c>
      <c r="B280" s="151" t="s">
        <v>1260</v>
      </c>
      <c r="C280" s="151">
        <v>32</v>
      </c>
      <c r="D280" s="152" t="s">
        <v>12</v>
      </c>
      <c r="E280" s="152" t="s">
        <v>1126</v>
      </c>
      <c r="F280" s="153">
        <v>594014353</v>
      </c>
      <c r="G280" s="152" t="s">
        <v>15</v>
      </c>
      <c r="H280" s="154">
        <v>0.60833333333333328</v>
      </c>
      <c r="I280" s="152" t="s">
        <v>18</v>
      </c>
      <c r="J280" s="155">
        <v>46027</v>
      </c>
      <c r="K280" s="155">
        <v>46171</v>
      </c>
      <c r="L280" s="151">
        <f>IF(ISBLANK(DATA[[#This Row],[DISCHARGE DATE]]),"NO DATE", DATA[[#This Row],[DISCHARGE DATE]]-DATA[[#This Row],[ADMISSION DATE]]+1)</f>
        <v>145</v>
      </c>
      <c r="M280" s="156">
        <v>350</v>
      </c>
      <c r="N280" s="156">
        <v>1885</v>
      </c>
      <c r="O280" s="157">
        <v>284</v>
      </c>
      <c r="P280" s="157">
        <v>311</v>
      </c>
      <c r="Q280" s="158">
        <f>IF(DATA[[#This Row],[STORAGE FEE]]=0,"NULL",DATA[[#This Row],[COLDROOM FEE]])-DATA[[#This Row],[STORAGE FEE]]</f>
        <v>0</v>
      </c>
      <c r="R280" s="158">
        <f>IF(ISBLANK(DATA[[#This Row],[DISCHARGE DATE]]),0,IF(DATA[[#This Row],[TYPE]]="VIP",20*DATA[[#This Row],[STORAGE DAYS]],13*DATA[[#This Row],[STORAGE DAYS]]))</f>
        <v>1885</v>
      </c>
      <c r="S280" s="71" t="str">
        <f>IF(ISBLANK(DATA[[#This Row],[COLDROOM RECEIPT]]), "IN CUSTODY", "DISCHARGED")</f>
        <v>DISCHARGED</v>
      </c>
      <c r="T280" s="58">
        <f>COUNTA(A:A)-2</f>
        <v>419</v>
      </c>
      <c r="U280" s="59">
        <f>YEAR(DATA[[#This Row],[ADMISSION DATE]])</f>
        <v>2026</v>
      </c>
      <c r="V280" s="60" t="str">
        <f>TEXT(DATA[[#This Row],[ADMISSION DATE]],"mmm")</f>
        <v>Jan</v>
      </c>
      <c r="W280" s="59">
        <f>YEAR(DATA[[#This Row],[DISCHARGE DATE]])</f>
        <v>2026</v>
      </c>
      <c r="X280" s="60" t="str">
        <f>TEXT(DATA[[#This Row],[DISCHARGE DATE]],"mmm")</f>
        <v>May</v>
      </c>
    </row>
    <row r="281" spans="1:24" s="27" customFormat="1" ht="16.5" hidden="1" customHeight="1">
      <c r="A281" s="150" t="s">
        <v>1261</v>
      </c>
      <c r="B281" s="151" t="s">
        <v>1262</v>
      </c>
      <c r="C281" s="151">
        <v>45</v>
      </c>
      <c r="D281" s="152" t="s">
        <v>11</v>
      </c>
      <c r="E281" s="152" t="s">
        <v>1263</v>
      </c>
      <c r="F281" s="153">
        <v>556562905</v>
      </c>
      <c r="G281" s="152" t="s">
        <v>32</v>
      </c>
      <c r="H281" s="154">
        <v>0.59166666666666667</v>
      </c>
      <c r="I281" s="152" t="s">
        <v>20</v>
      </c>
      <c r="J281" s="155">
        <v>46030</v>
      </c>
      <c r="K281" s="155">
        <v>46073</v>
      </c>
      <c r="L281" s="151">
        <f>IF(ISBLANK(DATA[[#This Row],[DISCHARGE DATE]]),"NO DATE", DATA[[#This Row],[DISCHARGE DATE]]-DATA[[#This Row],[ADMISSION DATE]]+1)</f>
        <v>44</v>
      </c>
      <c r="M281" s="156">
        <v>350</v>
      </c>
      <c r="N281" s="156">
        <v>880</v>
      </c>
      <c r="O281" s="157">
        <v>285</v>
      </c>
      <c r="P281" s="157">
        <v>137</v>
      </c>
      <c r="Q281" s="158">
        <f>IF(DATA[[#This Row],[STORAGE FEE]]=0,"NULL",DATA[[#This Row],[COLDROOM FEE]])-DATA[[#This Row],[STORAGE FEE]]</f>
        <v>0</v>
      </c>
      <c r="R281" s="158">
        <f>IF(ISBLANK(DATA[[#This Row],[DISCHARGE DATE]]),0,IF(DATA[[#This Row],[TYPE]]="VIP",20*DATA[[#This Row],[STORAGE DAYS]],13*DATA[[#This Row],[STORAGE DAYS]]))</f>
        <v>880</v>
      </c>
      <c r="S281" s="71" t="str">
        <f>IF(ISBLANK(DATA[[#This Row],[COLDROOM RECEIPT]]), "IN CUSTODY", "DISCHARGED")</f>
        <v>DISCHARGED</v>
      </c>
      <c r="T281" s="58">
        <f>COUNTA(A:A)-2</f>
        <v>419</v>
      </c>
      <c r="U281" s="59">
        <f>YEAR(DATA[[#This Row],[ADMISSION DATE]])</f>
        <v>2026</v>
      </c>
      <c r="V281" s="60" t="str">
        <f>TEXT(DATA[[#This Row],[ADMISSION DATE]],"mmm")</f>
        <v>Jan</v>
      </c>
      <c r="W281" s="59">
        <f>YEAR(DATA[[#This Row],[DISCHARGE DATE]])</f>
        <v>2026</v>
      </c>
      <c r="X281" s="60" t="str">
        <f>TEXT(DATA[[#This Row],[DISCHARGE DATE]],"mmm")</f>
        <v>Feb</v>
      </c>
    </row>
    <row r="282" spans="1:24" s="27" customFormat="1" ht="16.5" hidden="1" customHeight="1">
      <c r="A282" s="150" t="s">
        <v>1264</v>
      </c>
      <c r="B282" s="151" t="s">
        <v>1265</v>
      </c>
      <c r="C282" s="151">
        <v>75</v>
      </c>
      <c r="D282" s="152" t="s">
        <v>12</v>
      </c>
      <c r="E282" s="152" t="s">
        <v>1266</v>
      </c>
      <c r="F282" s="153">
        <v>592488768</v>
      </c>
      <c r="G282" s="152" t="s">
        <v>15</v>
      </c>
      <c r="H282" s="154">
        <v>0.6069444444444444</v>
      </c>
      <c r="I282" s="152" t="s">
        <v>18</v>
      </c>
      <c r="J282" s="155">
        <v>46031</v>
      </c>
      <c r="K282" s="155">
        <v>46108</v>
      </c>
      <c r="L282" s="151">
        <f>IF(ISBLANK(DATA[[#This Row],[DISCHARGE DATE]]),"NO DATE", DATA[[#This Row],[DISCHARGE DATE]]-DATA[[#This Row],[ADMISSION DATE]]+1)</f>
        <v>78</v>
      </c>
      <c r="M282" s="156">
        <v>350</v>
      </c>
      <c r="N282" s="156">
        <v>1014</v>
      </c>
      <c r="O282" s="157">
        <v>286</v>
      </c>
      <c r="P282" s="157">
        <v>258</v>
      </c>
      <c r="Q282" s="158">
        <f>IF(DATA[[#This Row],[STORAGE FEE]]=0,"NULL",DATA[[#This Row],[COLDROOM FEE]])-DATA[[#This Row],[STORAGE FEE]]</f>
        <v>0</v>
      </c>
      <c r="R282" s="158">
        <f>IF(ISBLANK(DATA[[#This Row],[DISCHARGE DATE]]),0,IF(DATA[[#This Row],[TYPE]]="VIP",20*DATA[[#This Row],[STORAGE DAYS]],13*DATA[[#This Row],[STORAGE DAYS]]))</f>
        <v>1014</v>
      </c>
      <c r="S282" s="71" t="str">
        <f>IF(ISBLANK(DATA[[#This Row],[COLDROOM RECEIPT]]), "IN CUSTODY", "DISCHARGED")</f>
        <v>DISCHARGED</v>
      </c>
      <c r="T282" s="58">
        <f>COUNTA(A:A)-2</f>
        <v>419</v>
      </c>
      <c r="U282" s="59">
        <f>YEAR(DATA[[#This Row],[ADMISSION DATE]])</f>
        <v>2026</v>
      </c>
      <c r="V282" s="60" t="str">
        <f>TEXT(DATA[[#This Row],[ADMISSION DATE]],"mmm")</f>
        <v>Jan</v>
      </c>
      <c r="W282" s="59">
        <f>YEAR(DATA[[#This Row],[DISCHARGE DATE]])</f>
        <v>2026</v>
      </c>
      <c r="X282" s="60" t="str">
        <f>TEXT(DATA[[#This Row],[DISCHARGE DATE]],"mmm")</f>
        <v>Mar</v>
      </c>
    </row>
    <row r="283" spans="1:24" s="27" customFormat="1" ht="16.5" hidden="1" customHeight="1">
      <c r="A283" s="150" t="s">
        <v>1267</v>
      </c>
      <c r="B283" s="151" t="s">
        <v>831</v>
      </c>
      <c r="C283" s="151">
        <v>30</v>
      </c>
      <c r="D283" s="152" t="s">
        <v>12</v>
      </c>
      <c r="E283" s="152" t="s">
        <v>1268</v>
      </c>
      <c r="F283" s="153">
        <v>242812495</v>
      </c>
      <c r="G283" s="152" t="s">
        <v>13</v>
      </c>
      <c r="H283" s="154">
        <v>0.3125</v>
      </c>
      <c r="I283" s="152" t="s">
        <v>18</v>
      </c>
      <c r="J283" s="155">
        <v>46031</v>
      </c>
      <c r="K283" s="155">
        <v>46045</v>
      </c>
      <c r="L283" s="151">
        <f>IF(ISBLANK(DATA[[#This Row],[DISCHARGE DATE]]),"NO DATE", DATA[[#This Row],[DISCHARGE DATE]]-DATA[[#This Row],[ADMISSION DATE]]+1)</f>
        <v>15</v>
      </c>
      <c r="M283" s="156">
        <v>350</v>
      </c>
      <c r="N283" s="156">
        <v>195</v>
      </c>
      <c r="O283" s="157">
        <v>287</v>
      </c>
      <c r="P283" s="157">
        <v>126</v>
      </c>
      <c r="Q283" s="158">
        <f>IF(DATA[[#This Row],[STORAGE FEE]]=0,"NULL",DATA[[#This Row],[COLDROOM FEE]])-DATA[[#This Row],[STORAGE FEE]]</f>
        <v>0</v>
      </c>
      <c r="R283" s="158">
        <f>IF(ISBLANK(DATA[[#This Row],[DISCHARGE DATE]]),0,IF(DATA[[#This Row],[TYPE]]="VIP",20*DATA[[#This Row],[STORAGE DAYS]],13*DATA[[#This Row],[STORAGE DAYS]]))</f>
        <v>195</v>
      </c>
      <c r="S283" s="71" t="str">
        <f>IF(ISBLANK(DATA[[#This Row],[COLDROOM RECEIPT]]), "IN CUSTODY", "DISCHARGED")</f>
        <v>DISCHARGED</v>
      </c>
      <c r="T283" s="58">
        <f>COUNTA(A:A)-2</f>
        <v>419</v>
      </c>
      <c r="U283" s="59">
        <f>YEAR(DATA[[#This Row],[ADMISSION DATE]])</f>
        <v>2026</v>
      </c>
      <c r="V283" s="60" t="str">
        <f>TEXT(DATA[[#This Row],[ADMISSION DATE]],"mmm")</f>
        <v>Jan</v>
      </c>
      <c r="W283" s="59">
        <f>YEAR(DATA[[#This Row],[DISCHARGE DATE]])</f>
        <v>2026</v>
      </c>
      <c r="X283" s="60" t="str">
        <f>TEXT(DATA[[#This Row],[DISCHARGE DATE]],"mmm")</f>
        <v>Jan</v>
      </c>
    </row>
    <row r="284" spans="1:24" s="27" customFormat="1" ht="16.5" hidden="1" customHeight="1">
      <c r="A284" s="150" t="s">
        <v>1269</v>
      </c>
      <c r="B284" s="151" t="s">
        <v>1270</v>
      </c>
      <c r="C284" s="151">
        <v>106</v>
      </c>
      <c r="D284" s="152" t="s">
        <v>12</v>
      </c>
      <c r="E284" s="152" t="s">
        <v>1271</v>
      </c>
      <c r="F284" s="153">
        <v>545722954</v>
      </c>
      <c r="G284" s="152" t="s">
        <v>17</v>
      </c>
      <c r="H284" s="154">
        <v>0.41666666666666669</v>
      </c>
      <c r="I284" s="152" t="s">
        <v>18</v>
      </c>
      <c r="J284" s="155">
        <v>46032</v>
      </c>
      <c r="K284" s="155">
        <v>46129</v>
      </c>
      <c r="L284" s="151">
        <f>IF(ISBLANK(DATA[[#This Row],[DISCHARGE DATE]]),"NO DATE", DATA[[#This Row],[DISCHARGE DATE]]-DATA[[#This Row],[ADMISSION DATE]]+1)</f>
        <v>98</v>
      </c>
      <c r="M284" s="156">
        <v>350</v>
      </c>
      <c r="N284" s="156">
        <v>1274</v>
      </c>
      <c r="O284" s="157">
        <v>288</v>
      </c>
      <c r="P284" s="157">
        <v>274</v>
      </c>
      <c r="Q284" s="158">
        <f>IF(DATA[[#This Row],[STORAGE FEE]]=0,"NULL",DATA[[#This Row],[COLDROOM FEE]])-DATA[[#This Row],[STORAGE FEE]]</f>
        <v>0</v>
      </c>
      <c r="R284" s="158">
        <f>IF(ISBLANK(DATA[[#This Row],[DISCHARGE DATE]]),0,IF(DATA[[#This Row],[TYPE]]="VIP",20*DATA[[#This Row],[STORAGE DAYS]],13*DATA[[#This Row],[STORAGE DAYS]]))</f>
        <v>1274</v>
      </c>
      <c r="S284" s="71" t="str">
        <f>IF(ISBLANK(DATA[[#This Row],[COLDROOM RECEIPT]]), "IN CUSTODY", "DISCHARGED")</f>
        <v>DISCHARGED</v>
      </c>
      <c r="T284" s="58">
        <f>COUNTA(A:A)-2</f>
        <v>419</v>
      </c>
      <c r="U284" s="59">
        <f>YEAR(DATA[[#This Row],[ADMISSION DATE]])</f>
        <v>2026</v>
      </c>
      <c r="V284" s="60" t="str">
        <f>TEXT(DATA[[#This Row],[ADMISSION DATE]],"mmm")</f>
        <v>Jan</v>
      </c>
      <c r="W284" s="59">
        <f>YEAR(DATA[[#This Row],[DISCHARGE DATE]])</f>
        <v>2026</v>
      </c>
      <c r="X284" s="60" t="str">
        <f>TEXT(DATA[[#This Row],[DISCHARGE DATE]],"mmm")</f>
        <v>Apr</v>
      </c>
    </row>
    <row r="285" spans="1:24" s="27" customFormat="1" ht="16.5" hidden="1" customHeight="1">
      <c r="A285" s="150" t="s">
        <v>1272</v>
      </c>
      <c r="B285" s="151" t="s">
        <v>1273</v>
      </c>
      <c r="C285" s="151">
        <v>70</v>
      </c>
      <c r="D285" s="152" t="s">
        <v>11</v>
      </c>
      <c r="E285" s="152" t="s">
        <v>1274</v>
      </c>
      <c r="F285" s="153">
        <v>552602456</v>
      </c>
      <c r="G285" s="152" t="s">
        <v>39</v>
      </c>
      <c r="H285" s="154">
        <v>0.13055555555555556</v>
      </c>
      <c r="I285" s="152" t="s">
        <v>18</v>
      </c>
      <c r="J285" s="155">
        <v>46035</v>
      </c>
      <c r="K285" s="155">
        <v>46122</v>
      </c>
      <c r="L285" s="151">
        <f>IF(ISBLANK(DATA[[#This Row],[DISCHARGE DATE]]),"NO DATE", DATA[[#This Row],[DISCHARGE DATE]]-DATA[[#This Row],[ADMISSION DATE]]+1)</f>
        <v>88</v>
      </c>
      <c r="M285" s="156">
        <v>350</v>
      </c>
      <c r="N285" s="156">
        <v>1144</v>
      </c>
      <c r="O285" s="157">
        <v>289</v>
      </c>
      <c r="P285" s="157">
        <v>268</v>
      </c>
      <c r="Q285" s="158">
        <f>IF(DATA[[#This Row],[STORAGE FEE]]=0,"NULL",DATA[[#This Row],[COLDROOM FEE]])-DATA[[#This Row],[STORAGE FEE]]</f>
        <v>0</v>
      </c>
      <c r="R285" s="158">
        <f>IF(ISBLANK(DATA[[#This Row],[DISCHARGE DATE]]),0,IF(DATA[[#This Row],[TYPE]]="VIP",20*DATA[[#This Row],[STORAGE DAYS]],13*DATA[[#This Row],[STORAGE DAYS]]))</f>
        <v>1144</v>
      </c>
      <c r="S285" s="71" t="str">
        <f>IF(ISBLANK(DATA[[#This Row],[COLDROOM RECEIPT]]), "IN CUSTODY", "DISCHARGED")</f>
        <v>DISCHARGED</v>
      </c>
      <c r="T285" s="58">
        <f>COUNTA(A:A)-2</f>
        <v>419</v>
      </c>
      <c r="U285" s="59">
        <f>YEAR(DATA[[#This Row],[ADMISSION DATE]])</f>
        <v>2026</v>
      </c>
      <c r="V285" s="60" t="str">
        <f>TEXT(DATA[[#This Row],[ADMISSION DATE]],"mmm")</f>
        <v>Jan</v>
      </c>
      <c r="W285" s="59">
        <f>YEAR(DATA[[#This Row],[DISCHARGE DATE]])</f>
        <v>2026</v>
      </c>
      <c r="X285" s="60" t="str">
        <f>TEXT(DATA[[#This Row],[DISCHARGE DATE]],"mmm")</f>
        <v>Apr</v>
      </c>
    </row>
    <row r="286" spans="1:24" s="27" customFormat="1" ht="16.5" hidden="1" customHeight="1">
      <c r="A286" s="150" t="s">
        <v>1275</v>
      </c>
      <c r="B286" s="151" t="s">
        <v>1276</v>
      </c>
      <c r="C286" s="151">
        <v>53</v>
      </c>
      <c r="D286" s="152" t="s">
        <v>12</v>
      </c>
      <c r="E286" s="152" t="s">
        <v>1266</v>
      </c>
      <c r="F286" s="153">
        <v>547971924</v>
      </c>
      <c r="G286" s="152" t="s">
        <v>13</v>
      </c>
      <c r="H286" s="154">
        <v>0.4375</v>
      </c>
      <c r="I286" s="152" t="s">
        <v>20</v>
      </c>
      <c r="J286" s="155">
        <v>46035</v>
      </c>
      <c r="K286" s="155">
        <v>46059</v>
      </c>
      <c r="L286" s="151">
        <f>IF(ISBLANK(DATA[[#This Row],[DISCHARGE DATE]]),"NO DATE", DATA[[#This Row],[DISCHARGE DATE]]-DATA[[#This Row],[ADMISSION DATE]]+1)</f>
        <v>25</v>
      </c>
      <c r="M286" s="156">
        <v>350</v>
      </c>
      <c r="N286" s="156">
        <v>500</v>
      </c>
      <c r="O286" s="157">
        <v>290</v>
      </c>
      <c r="P286" s="157">
        <v>130</v>
      </c>
      <c r="Q286" s="158">
        <f>IF(DATA[[#This Row],[STORAGE FEE]]=0,"NULL",DATA[[#This Row],[COLDROOM FEE]])-DATA[[#This Row],[STORAGE FEE]]</f>
        <v>0</v>
      </c>
      <c r="R286" s="158">
        <f>IF(ISBLANK(DATA[[#This Row],[DISCHARGE DATE]]),0,IF(DATA[[#This Row],[TYPE]]="VIP",20*DATA[[#This Row],[STORAGE DAYS]],13*DATA[[#This Row],[STORAGE DAYS]]))</f>
        <v>500</v>
      </c>
      <c r="S286" s="71" t="str">
        <f>IF(ISBLANK(DATA[[#This Row],[COLDROOM RECEIPT]]), "IN CUSTODY", "DISCHARGED")</f>
        <v>DISCHARGED</v>
      </c>
      <c r="T286" s="58">
        <f>COUNTA(A:A)-2</f>
        <v>419</v>
      </c>
      <c r="U286" s="59">
        <f>YEAR(DATA[[#This Row],[ADMISSION DATE]])</f>
        <v>2026</v>
      </c>
      <c r="V286" s="60" t="str">
        <f>TEXT(DATA[[#This Row],[ADMISSION DATE]],"mmm")</f>
        <v>Jan</v>
      </c>
      <c r="W286" s="59">
        <f>YEAR(DATA[[#This Row],[DISCHARGE DATE]])</f>
        <v>2026</v>
      </c>
      <c r="X286" s="60" t="str">
        <f>TEXT(DATA[[#This Row],[DISCHARGE DATE]],"mmm")</f>
        <v>Feb</v>
      </c>
    </row>
    <row r="287" spans="1:24" s="27" customFormat="1" ht="16.5" hidden="1" customHeight="1">
      <c r="A287" s="150" t="s">
        <v>1277</v>
      </c>
      <c r="B287" s="151" t="s">
        <v>1278</v>
      </c>
      <c r="C287" s="151">
        <v>46</v>
      </c>
      <c r="D287" s="152" t="s">
        <v>12</v>
      </c>
      <c r="E287" s="152" t="s">
        <v>1279</v>
      </c>
      <c r="F287" s="153">
        <v>240492615</v>
      </c>
      <c r="G287" s="152" t="s">
        <v>13</v>
      </c>
      <c r="H287" s="154">
        <v>0.68402777777777779</v>
      </c>
      <c r="I287" s="152" t="s">
        <v>18</v>
      </c>
      <c r="J287" s="155">
        <v>46036</v>
      </c>
      <c r="K287" s="155">
        <v>46143</v>
      </c>
      <c r="L287" s="151">
        <f>IF(ISBLANK(DATA[[#This Row],[DISCHARGE DATE]]),"NO DATE", DATA[[#This Row],[DISCHARGE DATE]]-DATA[[#This Row],[ADMISSION DATE]]+1)</f>
        <v>108</v>
      </c>
      <c r="M287" s="156">
        <v>350</v>
      </c>
      <c r="N287" s="156">
        <v>1404</v>
      </c>
      <c r="O287" s="157">
        <v>291</v>
      </c>
      <c r="P287" s="157">
        <v>284</v>
      </c>
      <c r="Q287" s="158">
        <f>IF(DATA[[#This Row],[STORAGE FEE]]=0,"NULL",DATA[[#This Row],[COLDROOM FEE]])-DATA[[#This Row],[STORAGE FEE]]</f>
        <v>0</v>
      </c>
      <c r="R287" s="158">
        <f>IF(ISBLANK(DATA[[#This Row],[DISCHARGE DATE]]),0,IF(DATA[[#This Row],[TYPE]]="VIP",20*DATA[[#This Row],[STORAGE DAYS]],13*DATA[[#This Row],[STORAGE DAYS]]))</f>
        <v>1404</v>
      </c>
      <c r="S287" s="71" t="str">
        <f>IF(ISBLANK(DATA[[#This Row],[COLDROOM RECEIPT]]), "IN CUSTODY", "DISCHARGED")</f>
        <v>DISCHARGED</v>
      </c>
      <c r="T287" s="58">
        <f>COUNTA(A:A)-2</f>
        <v>419</v>
      </c>
      <c r="U287" s="59">
        <f>YEAR(DATA[[#This Row],[ADMISSION DATE]])</f>
        <v>2026</v>
      </c>
      <c r="V287" s="60" t="str">
        <f>TEXT(DATA[[#This Row],[ADMISSION DATE]],"mmm")</f>
        <v>Jan</v>
      </c>
      <c r="W287" s="59">
        <f>YEAR(DATA[[#This Row],[DISCHARGE DATE]])</f>
        <v>2026</v>
      </c>
      <c r="X287" s="60" t="str">
        <f>TEXT(DATA[[#This Row],[DISCHARGE DATE]],"mmm")</f>
        <v>May</v>
      </c>
    </row>
    <row r="288" spans="1:24" s="119" customFormat="1" ht="16.5" hidden="1" customHeight="1">
      <c r="A288" s="150" t="s">
        <v>1280</v>
      </c>
      <c r="B288" s="151" t="s">
        <v>1281</v>
      </c>
      <c r="C288" s="151">
        <v>69</v>
      </c>
      <c r="D288" s="152" t="s">
        <v>11</v>
      </c>
      <c r="E288" s="152" t="s">
        <v>1282</v>
      </c>
      <c r="F288" s="153">
        <v>243303777</v>
      </c>
      <c r="G288" s="152" t="s">
        <v>13</v>
      </c>
      <c r="H288" s="154">
        <v>0.6</v>
      </c>
      <c r="I288" s="152" t="s">
        <v>18</v>
      </c>
      <c r="J288" s="155">
        <v>46036</v>
      </c>
      <c r="K288" s="155">
        <v>46171</v>
      </c>
      <c r="L288" s="151">
        <f>IF(ISBLANK(DATA[[#This Row],[DISCHARGE DATE]]),"NO DATE", DATA[[#This Row],[DISCHARGE DATE]]-DATA[[#This Row],[ADMISSION DATE]]+1)</f>
        <v>136</v>
      </c>
      <c r="M288" s="156">
        <v>350</v>
      </c>
      <c r="N288" s="156">
        <v>1768</v>
      </c>
      <c r="O288" s="157">
        <v>292</v>
      </c>
      <c r="P288" s="157">
        <v>302</v>
      </c>
      <c r="Q288" s="158">
        <f>IF(DATA[[#This Row],[STORAGE FEE]]=0,"NULL",DATA[[#This Row],[COLDROOM FEE]])-DATA[[#This Row],[STORAGE FEE]]</f>
        <v>0</v>
      </c>
      <c r="R288" s="158">
        <f>IF(ISBLANK(DATA[[#This Row],[DISCHARGE DATE]]),0,IF(DATA[[#This Row],[TYPE]]="VIP",20*DATA[[#This Row],[STORAGE DAYS]],13*DATA[[#This Row],[STORAGE DAYS]]))</f>
        <v>1768</v>
      </c>
      <c r="S288" s="71" t="str">
        <f>IF(ISBLANK(DATA[[#This Row],[COLDROOM RECEIPT]]), "IN CUSTODY", "DISCHARGED")</f>
        <v>DISCHARGED</v>
      </c>
      <c r="T288" s="58">
        <f>COUNTA(A:A)-2</f>
        <v>419</v>
      </c>
      <c r="U288" s="59">
        <f>YEAR(DATA[[#This Row],[ADMISSION DATE]])</f>
        <v>2026</v>
      </c>
      <c r="V288" s="60" t="str">
        <f>TEXT(DATA[[#This Row],[ADMISSION DATE]],"mmm")</f>
        <v>Jan</v>
      </c>
      <c r="W288" s="59">
        <f>YEAR(DATA[[#This Row],[DISCHARGE DATE]])</f>
        <v>2026</v>
      </c>
      <c r="X288" s="60" t="str">
        <f>TEXT(DATA[[#This Row],[DISCHARGE DATE]],"mmm")</f>
        <v>May</v>
      </c>
    </row>
    <row r="289" spans="1:24" s="27" customFormat="1" ht="16.5" hidden="1" customHeight="1">
      <c r="A289" s="150" t="s">
        <v>1283</v>
      </c>
      <c r="B289" s="151" t="s">
        <v>1284</v>
      </c>
      <c r="C289" s="151">
        <v>63</v>
      </c>
      <c r="D289" s="152" t="s">
        <v>12</v>
      </c>
      <c r="E289" s="152" t="s">
        <v>1285</v>
      </c>
      <c r="F289" s="153">
        <v>248448815</v>
      </c>
      <c r="G289" s="152" t="s">
        <v>13</v>
      </c>
      <c r="H289" s="154">
        <v>0.52083333333333337</v>
      </c>
      <c r="I289" s="152" t="s">
        <v>18</v>
      </c>
      <c r="J289" s="155">
        <v>46040</v>
      </c>
      <c r="K289" s="155">
        <v>46171</v>
      </c>
      <c r="L289" s="151">
        <f>IF(ISBLANK(DATA[[#This Row],[DISCHARGE DATE]]),"NO DATE", DATA[[#This Row],[DISCHARGE DATE]]-DATA[[#This Row],[ADMISSION DATE]]+1)</f>
        <v>132</v>
      </c>
      <c r="M289" s="156">
        <v>350</v>
      </c>
      <c r="N289" s="156">
        <v>1716</v>
      </c>
      <c r="O289" s="157">
        <v>293</v>
      </c>
      <c r="P289" s="157">
        <v>307</v>
      </c>
      <c r="Q289" s="158">
        <f>IF(DATA[[#This Row],[STORAGE FEE]]=0,"NULL",DATA[[#This Row],[COLDROOM FEE]])-DATA[[#This Row],[STORAGE FEE]]</f>
        <v>0</v>
      </c>
      <c r="R289" s="158">
        <f>IF(ISBLANK(DATA[[#This Row],[DISCHARGE DATE]]),0,IF(DATA[[#This Row],[TYPE]]="VIP",20*DATA[[#This Row],[STORAGE DAYS]],13*DATA[[#This Row],[STORAGE DAYS]]))</f>
        <v>1716</v>
      </c>
      <c r="S289" s="71" t="str">
        <f>IF(ISBLANK(DATA[[#This Row],[COLDROOM RECEIPT]]), "IN CUSTODY", "DISCHARGED")</f>
        <v>DISCHARGED</v>
      </c>
      <c r="T289" s="58">
        <f>COUNTA(A:A)-2</f>
        <v>419</v>
      </c>
      <c r="U289" s="59">
        <f>YEAR(DATA[[#This Row],[ADMISSION DATE]])</f>
        <v>2026</v>
      </c>
      <c r="V289" s="60" t="str">
        <f>TEXT(DATA[[#This Row],[ADMISSION DATE]],"mmm")</f>
        <v>Jan</v>
      </c>
      <c r="W289" s="59">
        <f>YEAR(DATA[[#This Row],[DISCHARGE DATE]])</f>
        <v>2026</v>
      </c>
      <c r="X289" s="60" t="str">
        <f>TEXT(DATA[[#This Row],[DISCHARGE DATE]],"mmm")</f>
        <v>May</v>
      </c>
    </row>
    <row r="290" spans="1:24" s="27" customFormat="1" ht="16.5" hidden="1" customHeight="1">
      <c r="A290" s="150" t="s">
        <v>1286</v>
      </c>
      <c r="B290" s="151" t="s">
        <v>1287</v>
      </c>
      <c r="C290" s="151">
        <v>70</v>
      </c>
      <c r="D290" s="152" t="s">
        <v>11</v>
      </c>
      <c r="E290" s="152" t="s">
        <v>1288</v>
      </c>
      <c r="F290" s="153">
        <v>546560809</v>
      </c>
      <c r="G290" s="152" t="s">
        <v>13</v>
      </c>
      <c r="H290" s="154">
        <v>0.56527777777777777</v>
      </c>
      <c r="I290" s="152" t="s">
        <v>18</v>
      </c>
      <c r="J290" s="155">
        <v>46041</v>
      </c>
      <c r="K290" s="155">
        <v>46171</v>
      </c>
      <c r="L290" s="151">
        <f>IF(ISBLANK(DATA[[#This Row],[DISCHARGE DATE]]),"NO DATE", DATA[[#This Row],[DISCHARGE DATE]]-DATA[[#This Row],[ADMISSION DATE]]+1)</f>
        <v>131</v>
      </c>
      <c r="M290" s="156">
        <v>350</v>
      </c>
      <c r="N290" s="156">
        <v>1703</v>
      </c>
      <c r="O290" s="157">
        <v>294</v>
      </c>
      <c r="P290" s="157">
        <v>314</v>
      </c>
      <c r="Q290" s="158">
        <f>IF(DATA[[#This Row],[STORAGE FEE]]=0,"NULL",DATA[[#This Row],[COLDROOM FEE]])-DATA[[#This Row],[STORAGE FEE]]</f>
        <v>0</v>
      </c>
      <c r="R290" s="158">
        <f>IF(ISBLANK(DATA[[#This Row],[DISCHARGE DATE]]),0,IF(DATA[[#This Row],[TYPE]]="VIP",20*DATA[[#This Row],[STORAGE DAYS]],13*DATA[[#This Row],[STORAGE DAYS]]))</f>
        <v>1703</v>
      </c>
      <c r="S290" s="71" t="str">
        <f>IF(ISBLANK(DATA[[#This Row],[COLDROOM RECEIPT]]), "IN CUSTODY", "DISCHARGED")</f>
        <v>DISCHARGED</v>
      </c>
      <c r="T290" s="58">
        <f>COUNTA(A:A)-2</f>
        <v>419</v>
      </c>
      <c r="U290" s="59">
        <f>YEAR(DATA[[#This Row],[ADMISSION DATE]])</f>
        <v>2026</v>
      </c>
      <c r="V290" s="60" t="str">
        <f>TEXT(DATA[[#This Row],[ADMISSION DATE]],"mmm")</f>
        <v>Jan</v>
      </c>
      <c r="W290" s="59">
        <f>YEAR(DATA[[#This Row],[DISCHARGE DATE]])</f>
        <v>2026</v>
      </c>
      <c r="X290" s="60" t="str">
        <f>TEXT(DATA[[#This Row],[DISCHARGE DATE]],"mmm")</f>
        <v>May</v>
      </c>
    </row>
    <row r="291" spans="1:24" s="27" customFormat="1" ht="16.5" hidden="1" customHeight="1">
      <c r="A291" s="150" t="s">
        <v>1289</v>
      </c>
      <c r="B291" s="151" t="s">
        <v>1290</v>
      </c>
      <c r="C291" s="151">
        <v>75</v>
      </c>
      <c r="D291" s="152" t="s">
        <v>12</v>
      </c>
      <c r="E291" s="152" t="s">
        <v>1291</v>
      </c>
      <c r="F291" s="153">
        <v>533448743</v>
      </c>
      <c r="G291" s="152" t="s">
        <v>23</v>
      </c>
      <c r="H291" s="154">
        <v>0.76666666666666672</v>
      </c>
      <c r="I291" s="152" t="s">
        <v>20</v>
      </c>
      <c r="J291" s="155">
        <v>46043</v>
      </c>
      <c r="K291" s="155">
        <v>46171</v>
      </c>
      <c r="L291" s="151">
        <f>IF(ISBLANK(DATA[[#This Row],[DISCHARGE DATE]]),"NO DATE", DATA[[#This Row],[DISCHARGE DATE]]-DATA[[#This Row],[ADMISSION DATE]]+1)</f>
        <v>129</v>
      </c>
      <c r="M291" s="156">
        <v>350</v>
      </c>
      <c r="N291" s="156">
        <v>2580</v>
      </c>
      <c r="O291" s="157">
        <v>295</v>
      </c>
      <c r="P291" s="157">
        <v>318</v>
      </c>
      <c r="Q291" s="158">
        <f>IF(DATA[[#This Row],[STORAGE FEE]]=0,"NULL",DATA[[#This Row],[COLDROOM FEE]])-DATA[[#This Row],[STORAGE FEE]]</f>
        <v>0</v>
      </c>
      <c r="R291" s="158">
        <f>IF(ISBLANK(DATA[[#This Row],[DISCHARGE DATE]]),0,IF(DATA[[#This Row],[TYPE]]="VIP",20*DATA[[#This Row],[STORAGE DAYS]],13*DATA[[#This Row],[STORAGE DAYS]]))</f>
        <v>2580</v>
      </c>
      <c r="S291" s="71" t="str">
        <f>IF(ISBLANK(DATA[[#This Row],[COLDROOM RECEIPT]]), "IN CUSTODY", "DISCHARGED")</f>
        <v>DISCHARGED</v>
      </c>
      <c r="T291" s="58">
        <f>COUNTA(A:A)-2</f>
        <v>419</v>
      </c>
      <c r="U291" s="59">
        <f>YEAR(DATA[[#This Row],[ADMISSION DATE]])</f>
        <v>2026</v>
      </c>
      <c r="V291" s="60" t="str">
        <f>TEXT(DATA[[#This Row],[ADMISSION DATE]],"mmm")</f>
        <v>Jan</v>
      </c>
      <c r="W291" s="59">
        <f>YEAR(DATA[[#This Row],[DISCHARGE DATE]])</f>
        <v>2026</v>
      </c>
      <c r="X291" s="60" t="str">
        <f>TEXT(DATA[[#This Row],[DISCHARGE DATE]],"mmm")</f>
        <v>May</v>
      </c>
    </row>
    <row r="292" spans="1:24" s="27" customFormat="1" ht="16.5" hidden="1" customHeight="1">
      <c r="A292" s="150" t="s">
        <v>1292</v>
      </c>
      <c r="B292" s="151" t="s">
        <v>1293</v>
      </c>
      <c r="C292" s="151">
        <v>45</v>
      </c>
      <c r="D292" s="152" t="s">
        <v>12</v>
      </c>
      <c r="E292" s="152" t="s">
        <v>1294</v>
      </c>
      <c r="F292" s="153">
        <v>249129535</v>
      </c>
      <c r="G292" s="152" t="s">
        <v>13</v>
      </c>
      <c r="H292" s="154">
        <v>0.77083333333333337</v>
      </c>
      <c r="I292" s="152" t="s">
        <v>18</v>
      </c>
      <c r="J292" s="155">
        <v>46047</v>
      </c>
      <c r="K292" s="155">
        <v>46108</v>
      </c>
      <c r="L292" s="151">
        <f>IF(ISBLANK(DATA[[#This Row],[DISCHARGE DATE]]),"NO DATE", DATA[[#This Row],[DISCHARGE DATE]]-DATA[[#This Row],[ADMISSION DATE]]+1)</f>
        <v>62</v>
      </c>
      <c r="M292" s="156">
        <v>350</v>
      </c>
      <c r="N292" s="156">
        <v>806</v>
      </c>
      <c r="O292" s="157">
        <v>296</v>
      </c>
      <c r="P292" s="157">
        <v>263</v>
      </c>
      <c r="Q292" s="158">
        <f>IF(DATA[[#This Row],[STORAGE FEE]]=0,"NULL",DATA[[#This Row],[COLDROOM FEE]])-DATA[[#This Row],[STORAGE FEE]]</f>
        <v>0</v>
      </c>
      <c r="R292" s="158">
        <f>IF(ISBLANK(DATA[[#This Row],[DISCHARGE DATE]]),0,IF(DATA[[#This Row],[TYPE]]="VIP",20*DATA[[#This Row],[STORAGE DAYS]],13*DATA[[#This Row],[STORAGE DAYS]]))</f>
        <v>806</v>
      </c>
      <c r="S292" s="71" t="str">
        <f>IF(ISBLANK(DATA[[#This Row],[COLDROOM RECEIPT]]), "IN CUSTODY", "DISCHARGED")</f>
        <v>DISCHARGED</v>
      </c>
      <c r="T292" s="58">
        <f>COUNTA(A:A)-2</f>
        <v>419</v>
      </c>
      <c r="U292" s="59">
        <f>YEAR(DATA[[#This Row],[ADMISSION DATE]])</f>
        <v>2026</v>
      </c>
      <c r="V292" s="60" t="str">
        <f>TEXT(DATA[[#This Row],[ADMISSION DATE]],"mmm")</f>
        <v>Jan</v>
      </c>
      <c r="W292" s="59">
        <f>YEAR(DATA[[#This Row],[DISCHARGE DATE]])</f>
        <v>2026</v>
      </c>
      <c r="X292" s="60" t="str">
        <f>TEXT(DATA[[#This Row],[DISCHARGE DATE]],"mmm")</f>
        <v>Mar</v>
      </c>
    </row>
    <row r="293" spans="1:24" s="27" customFormat="1" ht="16.5" hidden="1" customHeight="1">
      <c r="A293" s="150" t="s">
        <v>1295</v>
      </c>
      <c r="B293" s="151" t="s">
        <v>1296</v>
      </c>
      <c r="C293" s="151">
        <v>41</v>
      </c>
      <c r="D293" s="152" t="s">
        <v>12</v>
      </c>
      <c r="E293" s="152" t="s">
        <v>1297</v>
      </c>
      <c r="F293" s="153">
        <v>548164520</v>
      </c>
      <c r="G293" s="152" t="s">
        <v>16</v>
      </c>
      <c r="H293" s="154">
        <v>0.79166666666666663</v>
      </c>
      <c r="I293" s="152" t="s">
        <v>18</v>
      </c>
      <c r="J293" s="155">
        <v>46046</v>
      </c>
      <c r="K293" s="155">
        <v>46171</v>
      </c>
      <c r="L293" s="151">
        <f>IF(ISBLANK(DATA[[#This Row],[DISCHARGE DATE]]),"NO DATE", DATA[[#This Row],[DISCHARGE DATE]]-DATA[[#This Row],[ADMISSION DATE]]+1)</f>
        <v>126</v>
      </c>
      <c r="M293" s="156">
        <v>350</v>
      </c>
      <c r="N293" s="156">
        <v>1638</v>
      </c>
      <c r="O293" s="157">
        <v>297</v>
      </c>
      <c r="P293" s="157">
        <v>308</v>
      </c>
      <c r="Q293" s="158">
        <f>IF(DATA[[#This Row],[STORAGE FEE]]=0,"NULL",DATA[[#This Row],[COLDROOM FEE]])-DATA[[#This Row],[STORAGE FEE]]</f>
        <v>0</v>
      </c>
      <c r="R293" s="158">
        <f>IF(ISBLANK(DATA[[#This Row],[DISCHARGE DATE]]),0,IF(DATA[[#This Row],[TYPE]]="VIP",20*DATA[[#This Row],[STORAGE DAYS]],13*DATA[[#This Row],[STORAGE DAYS]]))</f>
        <v>1638</v>
      </c>
      <c r="S293" s="71" t="str">
        <f>IF(ISBLANK(DATA[[#This Row],[COLDROOM RECEIPT]]), "IN CUSTODY", "DISCHARGED")</f>
        <v>DISCHARGED</v>
      </c>
      <c r="T293" s="58">
        <f>COUNTA(A:A)-2</f>
        <v>419</v>
      </c>
      <c r="U293" s="59">
        <f>YEAR(DATA[[#This Row],[ADMISSION DATE]])</f>
        <v>2026</v>
      </c>
      <c r="V293" s="60" t="str">
        <f>TEXT(DATA[[#This Row],[ADMISSION DATE]],"mmm")</f>
        <v>Jan</v>
      </c>
      <c r="W293" s="59">
        <f>YEAR(DATA[[#This Row],[DISCHARGE DATE]])</f>
        <v>2026</v>
      </c>
      <c r="X293" s="60" t="str">
        <f>TEXT(DATA[[#This Row],[DISCHARGE DATE]],"mmm")</f>
        <v>May</v>
      </c>
    </row>
    <row r="294" spans="1:24" s="27" customFormat="1" ht="16.5" hidden="1" customHeight="1">
      <c r="A294" s="150" t="s">
        <v>1298</v>
      </c>
      <c r="B294" s="151" t="s">
        <v>1299</v>
      </c>
      <c r="C294" s="151">
        <v>56</v>
      </c>
      <c r="D294" s="152" t="s">
        <v>11</v>
      </c>
      <c r="E294" s="152" t="s">
        <v>1300</v>
      </c>
      <c r="F294" s="153">
        <v>248450518</v>
      </c>
      <c r="G294" s="152" t="s">
        <v>16</v>
      </c>
      <c r="H294" s="154">
        <v>0.3125</v>
      </c>
      <c r="I294" s="152" t="s">
        <v>18</v>
      </c>
      <c r="J294" s="155">
        <v>46049</v>
      </c>
      <c r="K294" s="155">
        <v>46171</v>
      </c>
      <c r="L294" s="151">
        <f>IF(ISBLANK(DATA[[#This Row],[DISCHARGE DATE]]),"NO DATE", DATA[[#This Row],[DISCHARGE DATE]]-DATA[[#This Row],[ADMISSION DATE]]+1)</f>
        <v>123</v>
      </c>
      <c r="M294" s="156">
        <v>350</v>
      </c>
      <c r="N294" s="156">
        <v>1599</v>
      </c>
      <c r="O294" s="157">
        <v>298</v>
      </c>
      <c r="P294" s="157">
        <v>315</v>
      </c>
      <c r="Q294" s="158">
        <f>IF(DATA[[#This Row],[STORAGE FEE]]=0,"NULL",DATA[[#This Row],[COLDROOM FEE]])-DATA[[#This Row],[STORAGE FEE]]</f>
        <v>0</v>
      </c>
      <c r="R294" s="158">
        <f>IF(ISBLANK(DATA[[#This Row],[DISCHARGE DATE]]),0,IF(DATA[[#This Row],[TYPE]]="VIP",20*DATA[[#This Row],[STORAGE DAYS]],13*DATA[[#This Row],[STORAGE DAYS]]))</f>
        <v>1599</v>
      </c>
      <c r="S294" s="71" t="str">
        <f>IF(ISBLANK(DATA[[#This Row],[COLDROOM RECEIPT]]), "IN CUSTODY", "DISCHARGED")</f>
        <v>DISCHARGED</v>
      </c>
      <c r="T294" s="58">
        <f>COUNTA(A:A)-2</f>
        <v>419</v>
      </c>
      <c r="U294" s="59">
        <f>YEAR(DATA[[#This Row],[ADMISSION DATE]])</f>
        <v>2026</v>
      </c>
      <c r="V294" s="60" t="str">
        <f>TEXT(DATA[[#This Row],[ADMISSION DATE]],"mmm")</f>
        <v>Jan</v>
      </c>
      <c r="W294" s="59">
        <f>YEAR(DATA[[#This Row],[DISCHARGE DATE]])</f>
        <v>2026</v>
      </c>
      <c r="X294" s="60" t="str">
        <f>TEXT(DATA[[#This Row],[DISCHARGE DATE]],"mmm")</f>
        <v>May</v>
      </c>
    </row>
    <row r="295" spans="1:24" s="27" customFormat="1" ht="16.5" hidden="1" customHeight="1">
      <c r="A295" s="150" t="s">
        <v>1301</v>
      </c>
      <c r="B295" s="151" t="s">
        <v>1302</v>
      </c>
      <c r="C295" s="151">
        <v>69</v>
      </c>
      <c r="D295" s="152" t="s">
        <v>12</v>
      </c>
      <c r="E295" s="152" t="s">
        <v>1303</v>
      </c>
      <c r="F295" s="153">
        <v>240655787</v>
      </c>
      <c r="G295" s="152" t="s">
        <v>15</v>
      </c>
      <c r="H295" s="154">
        <v>0.90625</v>
      </c>
      <c r="I295" s="152" t="s">
        <v>18</v>
      </c>
      <c r="J295" s="155">
        <v>46048</v>
      </c>
      <c r="K295" s="155">
        <v>46171</v>
      </c>
      <c r="L295" s="151">
        <f>IF(ISBLANK(DATA[[#This Row],[DISCHARGE DATE]]),"NO DATE", DATA[[#This Row],[DISCHARGE DATE]]-DATA[[#This Row],[ADMISSION DATE]]+1)</f>
        <v>124</v>
      </c>
      <c r="M295" s="156">
        <v>350</v>
      </c>
      <c r="N295" s="156">
        <v>1612</v>
      </c>
      <c r="O295" s="157">
        <v>299</v>
      </c>
      <c r="P295" s="157">
        <v>310</v>
      </c>
      <c r="Q295" s="158">
        <f>IF(DATA[[#This Row],[STORAGE FEE]]=0,"NULL",DATA[[#This Row],[COLDROOM FEE]])-DATA[[#This Row],[STORAGE FEE]]</f>
        <v>0</v>
      </c>
      <c r="R295" s="158">
        <f>IF(ISBLANK(DATA[[#This Row],[DISCHARGE DATE]]),0,IF(DATA[[#This Row],[TYPE]]="VIP",20*DATA[[#This Row],[STORAGE DAYS]],13*DATA[[#This Row],[STORAGE DAYS]]))</f>
        <v>1612</v>
      </c>
      <c r="S295" s="71" t="str">
        <f>IF(ISBLANK(DATA[[#This Row],[COLDROOM RECEIPT]]), "IN CUSTODY", "DISCHARGED")</f>
        <v>DISCHARGED</v>
      </c>
      <c r="T295" s="58">
        <f>COUNTA(A:A)-2</f>
        <v>419</v>
      </c>
      <c r="U295" s="59">
        <f>YEAR(DATA[[#This Row],[ADMISSION DATE]])</f>
        <v>2026</v>
      </c>
      <c r="V295" s="60" t="str">
        <f>TEXT(DATA[[#This Row],[ADMISSION DATE]],"mmm")</f>
        <v>Jan</v>
      </c>
      <c r="W295" s="59">
        <f>YEAR(DATA[[#This Row],[DISCHARGE DATE]])</f>
        <v>2026</v>
      </c>
      <c r="X295" s="60" t="str">
        <f>TEXT(DATA[[#This Row],[DISCHARGE DATE]],"mmm")</f>
        <v>May</v>
      </c>
    </row>
    <row r="296" spans="1:24" s="27" customFormat="1" ht="16.5" hidden="1" customHeight="1">
      <c r="A296" s="150" t="s">
        <v>1304</v>
      </c>
      <c r="B296" s="151" t="s">
        <v>1305</v>
      </c>
      <c r="C296" s="151">
        <v>98</v>
      </c>
      <c r="D296" s="152" t="s">
        <v>11</v>
      </c>
      <c r="E296" s="152" t="s">
        <v>1306</v>
      </c>
      <c r="F296" s="153">
        <v>553517127</v>
      </c>
      <c r="G296" s="152" t="s">
        <v>19</v>
      </c>
      <c r="H296" s="154">
        <v>0.39166666666666666</v>
      </c>
      <c r="I296" s="152" t="s">
        <v>18</v>
      </c>
      <c r="J296" s="155">
        <v>46051</v>
      </c>
      <c r="K296" s="155">
        <v>46108</v>
      </c>
      <c r="L296" s="151">
        <f>IF(ISBLANK(DATA[[#This Row],[DISCHARGE DATE]]),"NO DATE", DATA[[#This Row],[DISCHARGE DATE]]-DATA[[#This Row],[ADMISSION DATE]]+1)</f>
        <v>58</v>
      </c>
      <c r="M296" s="156">
        <v>350</v>
      </c>
      <c r="N296" s="156">
        <v>754</v>
      </c>
      <c r="O296" s="157">
        <v>300</v>
      </c>
      <c r="P296" s="157">
        <v>255</v>
      </c>
      <c r="Q296" s="158">
        <f>IF(DATA[[#This Row],[STORAGE FEE]]=0,"NULL",DATA[[#This Row],[COLDROOM FEE]])-DATA[[#This Row],[STORAGE FEE]]</f>
        <v>0</v>
      </c>
      <c r="R296" s="158">
        <f>IF(ISBLANK(DATA[[#This Row],[DISCHARGE DATE]]),0,IF(DATA[[#This Row],[TYPE]]="VIP",20*DATA[[#This Row],[STORAGE DAYS]],13*DATA[[#This Row],[STORAGE DAYS]]))</f>
        <v>754</v>
      </c>
      <c r="S296" s="71" t="str">
        <f>IF(ISBLANK(DATA[[#This Row],[COLDROOM RECEIPT]]), "IN CUSTODY", "DISCHARGED")</f>
        <v>DISCHARGED</v>
      </c>
      <c r="T296" s="58">
        <f>COUNTA(A:A)-2</f>
        <v>419</v>
      </c>
      <c r="U296" s="59">
        <f>YEAR(DATA[[#This Row],[ADMISSION DATE]])</f>
        <v>2026</v>
      </c>
      <c r="V296" s="60" t="str">
        <f>TEXT(DATA[[#This Row],[ADMISSION DATE]],"mmm")</f>
        <v>Jan</v>
      </c>
      <c r="W296" s="59">
        <f>YEAR(DATA[[#This Row],[DISCHARGE DATE]])</f>
        <v>2026</v>
      </c>
      <c r="X296" s="60" t="str">
        <f>TEXT(DATA[[#This Row],[DISCHARGE DATE]],"mmm")</f>
        <v>Mar</v>
      </c>
    </row>
    <row r="297" spans="1:24" s="27" customFormat="1" ht="16.5" hidden="1" customHeight="1">
      <c r="A297" s="150" t="s">
        <v>1307</v>
      </c>
      <c r="B297" s="151" t="s">
        <v>1308</v>
      </c>
      <c r="C297" s="151">
        <v>100</v>
      </c>
      <c r="D297" s="152" t="s">
        <v>11</v>
      </c>
      <c r="E297" s="152" t="s">
        <v>1309</v>
      </c>
      <c r="F297" s="153">
        <v>540398878</v>
      </c>
      <c r="G297" s="152" t="s">
        <v>23</v>
      </c>
      <c r="H297" s="154">
        <v>0.36388888888888887</v>
      </c>
      <c r="I297" s="152" t="s">
        <v>18</v>
      </c>
      <c r="J297" s="155">
        <v>46055</v>
      </c>
      <c r="K297" s="155">
        <v>46165</v>
      </c>
      <c r="L297" s="151">
        <f>IF(ISBLANK(DATA[[#This Row],[DISCHARGE DATE]]),"NO DATE", DATA[[#This Row],[DISCHARGE DATE]]-DATA[[#This Row],[ADMISSION DATE]]+1)</f>
        <v>111</v>
      </c>
      <c r="M297" s="156">
        <v>350</v>
      </c>
      <c r="N297" s="156">
        <v>1443</v>
      </c>
      <c r="O297" s="157">
        <v>301</v>
      </c>
      <c r="P297" s="157">
        <v>305</v>
      </c>
      <c r="Q297" s="158">
        <f>IF(DATA[[#This Row],[STORAGE FEE]]=0,"NULL",DATA[[#This Row],[COLDROOM FEE]])-DATA[[#This Row],[STORAGE FEE]]</f>
        <v>0</v>
      </c>
      <c r="R297" s="158">
        <f>IF(ISBLANK(DATA[[#This Row],[DISCHARGE DATE]]),0,IF(DATA[[#This Row],[TYPE]]="VIP",20*DATA[[#This Row],[STORAGE DAYS]],13*DATA[[#This Row],[STORAGE DAYS]]))</f>
        <v>1443</v>
      </c>
      <c r="S297" s="71" t="str">
        <f>IF(ISBLANK(DATA[[#This Row],[COLDROOM RECEIPT]]), "IN CUSTODY", "DISCHARGED")</f>
        <v>DISCHARGED</v>
      </c>
      <c r="T297" s="58">
        <f>COUNTA(A:A)-2</f>
        <v>419</v>
      </c>
      <c r="U297" s="59">
        <f>YEAR(DATA[[#This Row],[ADMISSION DATE]])</f>
        <v>2026</v>
      </c>
      <c r="V297" s="60" t="str">
        <f>TEXT(DATA[[#This Row],[ADMISSION DATE]],"mmm")</f>
        <v>Feb</v>
      </c>
      <c r="W297" s="59">
        <f>YEAR(DATA[[#This Row],[DISCHARGE DATE]])</f>
        <v>2026</v>
      </c>
      <c r="X297" s="60" t="str">
        <f>TEXT(DATA[[#This Row],[DISCHARGE DATE]],"mmm")</f>
        <v>May</v>
      </c>
    </row>
    <row r="298" spans="1:24" s="27" customFormat="1" ht="16.5" hidden="1" customHeight="1">
      <c r="A298" s="150" t="s">
        <v>1310</v>
      </c>
      <c r="B298" s="151" t="s">
        <v>1311</v>
      </c>
      <c r="C298" s="151">
        <v>70</v>
      </c>
      <c r="D298" s="152" t="s">
        <v>12</v>
      </c>
      <c r="E298" s="152" t="s">
        <v>1312</v>
      </c>
      <c r="F298" s="153">
        <v>241197807</v>
      </c>
      <c r="G298" s="152" t="s">
        <v>21</v>
      </c>
      <c r="H298" s="154">
        <v>0.625</v>
      </c>
      <c r="I298" s="152" t="s">
        <v>18</v>
      </c>
      <c r="J298" s="155">
        <v>46055</v>
      </c>
      <c r="K298" s="155">
        <v>46171</v>
      </c>
      <c r="L298" s="151">
        <f>IF(ISBLANK(DATA[[#This Row],[DISCHARGE DATE]]),"NO DATE", DATA[[#This Row],[DISCHARGE DATE]]-DATA[[#This Row],[ADMISSION DATE]]+1)</f>
        <v>117</v>
      </c>
      <c r="M298" s="156">
        <v>350</v>
      </c>
      <c r="N298" s="156">
        <v>1521</v>
      </c>
      <c r="O298" s="157">
        <v>302</v>
      </c>
      <c r="P298" s="157">
        <v>312</v>
      </c>
      <c r="Q298" s="158">
        <f>IF(DATA[[#This Row],[STORAGE FEE]]=0,"NULL",DATA[[#This Row],[COLDROOM FEE]])-DATA[[#This Row],[STORAGE FEE]]</f>
        <v>0</v>
      </c>
      <c r="R298" s="158">
        <f>IF(ISBLANK(DATA[[#This Row],[DISCHARGE DATE]]),0,IF(DATA[[#This Row],[TYPE]]="VIP",20*DATA[[#This Row],[STORAGE DAYS]],13*DATA[[#This Row],[STORAGE DAYS]]))</f>
        <v>1521</v>
      </c>
      <c r="S298" s="71" t="str">
        <f>IF(ISBLANK(DATA[[#This Row],[COLDROOM RECEIPT]]), "IN CUSTODY", "DISCHARGED")</f>
        <v>DISCHARGED</v>
      </c>
      <c r="T298" s="58">
        <f>COUNTA(A:A)-2</f>
        <v>419</v>
      </c>
      <c r="U298" s="59">
        <f>YEAR(DATA[[#This Row],[ADMISSION DATE]])</f>
        <v>2026</v>
      </c>
      <c r="V298" s="60" t="str">
        <f>TEXT(DATA[[#This Row],[ADMISSION DATE]],"mmm")</f>
        <v>Feb</v>
      </c>
      <c r="W298" s="59">
        <f>YEAR(DATA[[#This Row],[DISCHARGE DATE]])</f>
        <v>2026</v>
      </c>
      <c r="X298" s="60" t="str">
        <f>TEXT(DATA[[#This Row],[DISCHARGE DATE]],"mmm")</f>
        <v>May</v>
      </c>
    </row>
    <row r="299" spans="1:24" s="27" customFormat="1" ht="16.5" hidden="1" customHeight="1">
      <c r="A299" s="150" t="s">
        <v>1313</v>
      </c>
      <c r="B299" s="151" t="s">
        <v>1314</v>
      </c>
      <c r="C299" s="151">
        <v>73</v>
      </c>
      <c r="D299" s="152" t="s">
        <v>12</v>
      </c>
      <c r="E299" s="152" t="s">
        <v>1312</v>
      </c>
      <c r="F299" s="153" t="s">
        <v>1315</v>
      </c>
      <c r="G299" s="152" t="s">
        <v>16</v>
      </c>
      <c r="H299" s="154">
        <v>0.35555555555555557</v>
      </c>
      <c r="I299" s="152" t="s">
        <v>20</v>
      </c>
      <c r="J299" s="155">
        <v>46068</v>
      </c>
      <c r="K299" s="155">
        <v>46171</v>
      </c>
      <c r="L299" s="151">
        <f>IF(ISBLANK(DATA[[#This Row],[DISCHARGE DATE]]),"NO DATE", DATA[[#This Row],[DISCHARGE DATE]]-DATA[[#This Row],[ADMISSION DATE]]+1)</f>
        <v>104</v>
      </c>
      <c r="M299" s="156">
        <v>350</v>
      </c>
      <c r="N299" s="156">
        <v>2080</v>
      </c>
      <c r="O299" s="157">
        <v>303</v>
      </c>
      <c r="P299" s="157">
        <v>303</v>
      </c>
      <c r="Q299" s="158">
        <f>IF(DATA[[#This Row],[STORAGE FEE]]=0,"NULL",DATA[[#This Row],[COLDROOM FEE]])-DATA[[#This Row],[STORAGE FEE]]</f>
        <v>0</v>
      </c>
      <c r="R299" s="158">
        <f>IF(ISBLANK(DATA[[#This Row],[DISCHARGE DATE]]),0,IF(DATA[[#This Row],[TYPE]]="VIP",20*DATA[[#This Row],[STORAGE DAYS]],13*DATA[[#This Row],[STORAGE DAYS]]))</f>
        <v>2080</v>
      </c>
      <c r="S299" s="71" t="str">
        <f>IF(ISBLANK(DATA[[#This Row],[COLDROOM RECEIPT]]), "IN CUSTODY", "DISCHARGED")</f>
        <v>DISCHARGED</v>
      </c>
      <c r="T299" s="58">
        <f>COUNTA(A:A)-2</f>
        <v>419</v>
      </c>
      <c r="U299" s="59">
        <f>YEAR(DATA[[#This Row],[ADMISSION DATE]])</f>
        <v>2026</v>
      </c>
      <c r="V299" s="60" t="str">
        <f>TEXT(DATA[[#This Row],[ADMISSION DATE]],"mmm")</f>
        <v>Feb</v>
      </c>
      <c r="W299" s="59">
        <f>YEAR(DATA[[#This Row],[DISCHARGE DATE]])</f>
        <v>2026</v>
      </c>
      <c r="X299" s="60" t="str">
        <f>TEXT(DATA[[#This Row],[DISCHARGE DATE]],"mmm")</f>
        <v>May</v>
      </c>
    </row>
    <row r="300" spans="1:24" s="27" customFormat="1" ht="16.5" hidden="1" customHeight="1">
      <c r="A300" s="150" t="s">
        <v>1316</v>
      </c>
      <c r="B300" s="151" t="s">
        <v>1317</v>
      </c>
      <c r="C300" s="151">
        <v>62</v>
      </c>
      <c r="D300" s="152" t="s">
        <v>12</v>
      </c>
      <c r="E300" s="152" t="s">
        <v>1318</v>
      </c>
      <c r="F300" s="153">
        <v>559625830</v>
      </c>
      <c r="G300" s="152" t="s">
        <v>13</v>
      </c>
      <c r="H300" s="154">
        <v>0.3923611111111111</v>
      </c>
      <c r="I300" s="152" t="s">
        <v>18</v>
      </c>
      <c r="J300" s="155">
        <v>46076</v>
      </c>
      <c r="K300" s="155">
        <v>46143</v>
      </c>
      <c r="L300" s="151">
        <f>IF(ISBLANK(DATA[[#This Row],[DISCHARGE DATE]]),"NO DATE", DATA[[#This Row],[DISCHARGE DATE]]-DATA[[#This Row],[ADMISSION DATE]]+1)</f>
        <v>68</v>
      </c>
      <c r="M300" s="156">
        <v>350</v>
      </c>
      <c r="N300" s="156">
        <v>884</v>
      </c>
      <c r="O300" s="157">
        <v>304</v>
      </c>
      <c r="P300" s="157">
        <v>295</v>
      </c>
      <c r="Q300" s="158">
        <f>IF(DATA[[#This Row],[STORAGE FEE]]=0,"NULL",DATA[[#This Row],[COLDROOM FEE]])-DATA[[#This Row],[STORAGE FEE]]</f>
        <v>0</v>
      </c>
      <c r="R300" s="158">
        <f>IF(ISBLANK(DATA[[#This Row],[DISCHARGE DATE]]),0,IF(DATA[[#This Row],[TYPE]]="VIP",20*DATA[[#This Row],[STORAGE DAYS]],13*DATA[[#This Row],[STORAGE DAYS]]))</f>
        <v>884</v>
      </c>
      <c r="S300" s="71" t="str">
        <f>IF(ISBLANK(DATA[[#This Row],[COLDROOM RECEIPT]]), "IN CUSTODY", "DISCHARGED")</f>
        <v>DISCHARGED</v>
      </c>
      <c r="T300" s="58">
        <f>COUNTA(A:A)-2</f>
        <v>419</v>
      </c>
      <c r="U300" s="59">
        <f>YEAR(DATA[[#This Row],[ADMISSION DATE]])</f>
        <v>2026</v>
      </c>
      <c r="V300" s="60" t="str">
        <f>TEXT(DATA[[#This Row],[ADMISSION DATE]],"mmm")</f>
        <v>Feb</v>
      </c>
      <c r="W300" s="59">
        <f>YEAR(DATA[[#This Row],[DISCHARGE DATE]])</f>
        <v>2026</v>
      </c>
      <c r="X300" s="60" t="str">
        <f>TEXT(DATA[[#This Row],[DISCHARGE DATE]],"mmm")</f>
        <v>May</v>
      </c>
    </row>
    <row r="301" spans="1:24" s="27" customFormat="1" ht="16.5" hidden="1" customHeight="1">
      <c r="A301" s="150" t="s">
        <v>1319</v>
      </c>
      <c r="B301" s="151" t="s">
        <v>53</v>
      </c>
      <c r="C301" s="151">
        <v>49</v>
      </c>
      <c r="D301" s="152" t="s">
        <v>11</v>
      </c>
      <c r="E301" s="152" t="s">
        <v>60</v>
      </c>
      <c r="F301" s="153">
        <v>532054258</v>
      </c>
      <c r="G301" s="152" t="s">
        <v>15</v>
      </c>
      <c r="H301" s="154">
        <v>0.37708333333333333</v>
      </c>
      <c r="I301" s="152" t="s">
        <v>18</v>
      </c>
      <c r="J301" s="155">
        <v>46074</v>
      </c>
      <c r="K301" s="155">
        <v>46269</v>
      </c>
      <c r="L301" s="151">
        <f>IF(ISBLANK(DATA[[#This Row],[DISCHARGE DATE]]),"NO DATE", DATA[[#This Row],[DISCHARGE DATE]]-DATA[[#This Row],[ADMISSION DATE]]+1)</f>
        <v>196</v>
      </c>
      <c r="M301" s="156">
        <v>350</v>
      </c>
      <c r="N301" s="156">
        <v>2548</v>
      </c>
      <c r="O301" s="157">
        <v>305</v>
      </c>
      <c r="P301" s="157">
        <v>344</v>
      </c>
      <c r="Q301" s="158">
        <f>IF(DATA[[#This Row],[STORAGE FEE]]=0,"NULL",DATA[[#This Row],[COLDROOM FEE]])-DATA[[#This Row],[STORAGE FEE]]</f>
        <v>0</v>
      </c>
      <c r="R301" s="158">
        <f>IF(ISBLANK(DATA[[#This Row],[DISCHARGE DATE]]),0,IF(DATA[[#This Row],[TYPE]]="VIP",20*DATA[[#This Row],[STORAGE DAYS]],13*DATA[[#This Row],[STORAGE DAYS]]))</f>
        <v>2548</v>
      </c>
      <c r="S301" s="71" t="str">
        <f>IF(ISBLANK(DATA[[#This Row],[COLDROOM RECEIPT]]), "IN CUSTODY", "DISCHARGED")</f>
        <v>DISCHARGED</v>
      </c>
      <c r="T301" s="58">
        <f>COUNTA(A:A)-2</f>
        <v>419</v>
      </c>
      <c r="U301" s="59">
        <f>YEAR(DATA[[#This Row],[ADMISSION DATE]])</f>
        <v>2026</v>
      </c>
      <c r="V301" s="60" t="str">
        <f>TEXT(DATA[[#This Row],[ADMISSION DATE]],"mmm")</f>
        <v>Feb</v>
      </c>
      <c r="W301" s="59">
        <f>YEAR(DATA[[#This Row],[DISCHARGE DATE]])</f>
        <v>2026</v>
      </c>
      <c r="X301" s="60" t="str">
        <f>TEXT(DATA[[#This Row],[DISCHARGE DATE]],"mmm")</f>
        <v>Sep</v>
      </c>
    </row>
    <row r="302" spans="1:24" s="27" customFormat="1" ht="16.5" hidden="1" customHeight="1">
      <c r="A302" s="150" t="s">
        <v>1320</v>
      </c>
      <c r="B302" s="151" t="s">
        <v>1321</v>
      </c>
      <c r="C302" s="151">
        <v>65</v>
      </c>
      <c r="D302" s="152" t="s">
        <v>11</v>
      </c>
      <c r="E302" s="152" t="s">
        <v>1322</v>
      </c>
      <c r="F302" s="153">
        <v>531879859</v>
      </c>
      <c r="G302" s="152" t="s">
        <v>16</v>
      </c>
      <c r="H302" s="154">
        <v>0.39583333333333331</v>
      </c>
      <c r="I302" s="152" t="s">
        <v>18</v>
      </c>
      <c r="J302" s="155">
        <v>46074</v>
      </c>
      <c r="K302" s="155">
        <v>46206</v>
      </c>
      <c r="L302" s="151">
        <f>IF(ISBLANK(DATA[[#This Row],[DISCHARGE DATE]]),"NO DATE", DATA[[#This Row],[DISCHARGE DATE]]-DATA[[#This Row],[ADMISSION DATE]]+1)</f>
        <v>133</v>
      </c>
      <c r="M302" s="156">
        <v>350</v>
      </c>
      <c r="N302" s="156">
        <v>1729</v>
      </c>
      <c r="O302" s="157">
        <v>306</v>
      </c>
      <c r="P302" s="157">
        <v>322</v>
      </c>
      <c r="Q302" s="158">
        <f>IF(DATA[[#This Row],[STORAGE FEE]]=0,"NULL",DATA[[#This Row],[COLDROOM FEE]])-DATA[[#This Row],[STORAGE FEE]]</f>
        <v>0</v>
      </c>
      <c r="R302" s="158">
        <f>IF(ISBLANK(DATA[[#This Row],[DISCHARGE DATE]]),0,IF(DATA[[#This Row],[TYPE]]="VIP",20*DATA[[#This Row],[STORAGE DAYS]],13*DATA[[#This Row],[STORAGE DAYS]]))</f>
        <v>1729</v>
      </c>
      <c r="S302" s="71" t="str">
        <f>IF(ISBLANK(DATA[[#This Row],[COLDROOM RECEIPT]]), "IN CUSTODY", "DISCHARGED")</f>
        <v>DISCHARGED</v>
      </c>
      <c r="T302" s="58">
        <f>COUNTA(A:A)-2</f>
        <v>419</v>
      </c>
      <c r="U302" s="59">
        <f>YEAR(DATA[[#This Row],[ADMISSION DATE]])</f>
        <v>2026</v>
      </c>
      <c r="V302" s="60" t="str">
        <f>TEXT(DATA[[#This Row],[ADMISSION DATE]],"mmm")</f>
        <v>Feb</v>
      </c>
      <c r="W302" s="59">
        <f>YEAR(DATA[[#This Row],[DISCHARGE DATE]])</f>
        <v>2026</v>
      </c>
      <c r="X302" s="60" t="str">
        <f>TEXT(DATA[[#This Row],[DISCHARGE DATE]],"mmm")</f>
        <v>Jul</v>
      </c>
    </row>
    <row r="303" spans="1:24" s="27" customFormat="1" ht="16.5" hidden="1" customHeight="1">
      <c r="A303" s="150" t="s">
        <v>1323</v>
      </c>
      <c r="B303" s="151" t="s">
        <v>1324</v>
      </c>
      <c r="C303" s="151">
        <v>64</v>
      </c>
      <c r="D303" s="152" t="s">
        <v>12</v>
      </c>
      <c r="E303" s="152" t="s">
        <v>1325</v>
      </c>
      <c r="F303" s="153">
        <v>544582627</v>
      </c>
      <c r="G303" s="152" t="s">
        <v>13</v>
      </c>
      <c r="H303" s="154">
        <v>0.38611111111111113</v>
      </c>
      <c r="I303" s="152" t="s">
        <v>20</v>
      </c>
      <c r="J303" s="155">
        <v>46074</v>
      </c>
      <c r="K303" s="155">
        <v>46108</v>
      </c>
      <c r="L303" s="151">
        <f>IF(ISBLANK(DATA[[#This Row],[DISCHARGE DATE]]),"NO DATE", DATA[[#This Row],[DISCHARGE DATE]]-DATA[[#This Row],[ADMISSION DATE]]+1)</f>
        <v>35</v>
      </c>
      <c r="M303" s="156">
        <v>350</v>
      </c>
      <c r="N303" s="156">
        <v>700</v>
      </c>
      <c r="O303" s="157">
        <v>307</v>
      </c>
      <c r="P303" s="157">
        <v>260</v>
      </c>
      <c r="Q303" s="158">
        <f>IF(DATA[[#This Row],[STORAGE FEE]]=0,"NULL",DATA[[#This Row],[COLDROOM FEE]])-DATA[[#This Row],[STORAGE FEE]]</f>
        <v>0</v>
      </c>
      <c r="R303" s="158">
        <f>IF(ISBLANK(DATA[[#This Row],[DISCHARGE DATE]]),0,IF(DATA[[#This Row],[TYPE]]="VIP",20*DATA[[#This Row],[STORAGE DAYS]],13*DATA[[#This Row],[STORAGE DAYS]]))</f>
        <v>700</v>
      </c>
      <c r="S303" s="71" t="str">
        <f>IF(ISBLANK(DATA[[#This Row],[COLDROOM RECEIPT]]), "IN CUSTODY", "DISCHARGED")</f>
        <v>DISCHARGED</v>
      </c>
      <c r="T303" s="58">
        <f>COUNTA(A:A)-2</f>
        <v>419</v>
      </c>
      <c r="U303" s="59">
        <f>YEAR(DATA[[#This Row],[ADMISSION DATE]])</f>
        <v>2026</v>
      </c>
      <c r="V303" s="60" t="str">
        <f>TEXT(DATA[[#This Row],[ADMISSION DATE]],"mmm")</f>
        <v>Feb</v>
      </c>
      <c r="W303" s="59">
        <f>YEAR(DATA[[#This Row],[DISCHARGE DATE]])</f>
        <v>2026</v>
      </c>
      <c r="X303" s="60" t="str">
        <f>TEXT(DATA[[#This Row],[DISCHARGE DATE]],"mmm")</f>
        <v>Mar</v>
      </c>
    </row>
    <row r="304" spans="1:24" s="27" customFormat="1" ht="16.5" hidden="1" customHeight="1">
      <c r="A304" s="150" t="s">
        <v>1326</v>
      </c>
      <c r="B304" s="151" t="s">
        <v>1327</v>
      </c>
      <c r="C304" s="151">
        <v>69</v>
      </c>
      <c r="D304" s="152" t="s">
        <v>11</v>
      </c>
      <c r="E304" s="152" t="s">
        <v>154</v>
      </c>
      <c r="F304" s="153">
        <v>542518512</v>
      </c>
      <c r="G304" s="152" t="s">
        <v>13</v>
      </c>
      <c r="H304" s="154">
        <v>0.62569444444444444</v>
      </c>
      <c r="I304" s="152" t="s">
        <v>18</v>
      </c>
      <c r="J304" s="155">
        <v>46076</v>
      </c>
      <c r="K304" s="155">
        <v>46234</v>
      </c>
      <c r="L304" s="151">
        <f>IF(ISBLANK(DATA[[#This Row],[DISCHARGE DATE]]),"NO DATE", DATA[[#This Row],[DISCHARGE DATE]]-DATA[[#This Row],[ADMISSION DATE]]+1)</f>
        <v>159</v>
      </c>
      <c r="M304" s="156">
        <v>350</v>
      </c>
      <c r="N304" s="156">
        <v>2067</v>
      </c>
      <c r="O304" s="157">
        <v>308</v>
      </c>
      <c r="P304" s="157">
        <v>339</v>
      </c>
      <c r="Q304" s="158">
        <f>IF(DATA[[#This Row],[STORAGE FEE]]=0,"NULL",DATA[[#This Row],[COLDROOM FEE]])-DATA[[#This Row],[STORAGE FEE]]</f>
        <v>0</v>
      </c>
      <c r="R304" s="158">
        <f>IF(ISBLANK(DATA[[#This Row],[DISCHARGE DATE]]),0,IF(DATA[[#This Row],[TYPE]]="VIP",20*DATA[[#This Row],[STORAGE DAYS]],13*DATA[[#This Row],[STORAGE DAYS]]))</f>
        <v>2067</v>
      </c>
      <c r="S304" s="71" t="str">
        <f>IF(ISBLANK(DATA[[#This Row],[COLDROOM RECEIPT]]), "IN CUSTODY", "DISCHARGED")</f>
        <v>DISCHARGED</v>
      </c>
      <c r="T304" s="58">
        <f>COUNTA(A:A)-2</f>
        <v>419</v>
      </c>
      <c r="U304" s="59">
        <f>YEAR(DATA[[#This Row],[ADMISSION DATE]])</f>
        <v>2026</v>
      </c>
      <c r="V304" s="60" t="str">
        <f>TEXT(DATA[[#This Row],[ADMISSION DATE]],"mmm")</f>
        <v>Feb</v>
      </c>
      <c r="W304" s="59">
        <f>YEAR(DATA[[#This Row],[DISCHARGE DATE]])</f>
        <v>2026</v>
      </c>
      <c r="X304" s="60" t="str">
        <f>TEXT(DATA[[#This Row],[DISCHARGE DATE]],"mmm")</f>
        <v>Jul</v>
      </c>
    </row>
    <row r="305" spans="1:24" s="27" customFormat="1" ht="16.5" hidden="1" customHeight="1">
      <c r="A305" s="150" t="s">
        <v>1328</v>
      </c>
      <c r="B305" s="151" t="s">
        <v>1329</v>
      </c>
      <c r="C305" s="151">
        <v>73</v>
      </c>
      <c r="D305" s="152" t="s">
        <v>11</v>
      </c>
      <c r="E305" s="152" t="s">
        <v>1330</v>
      </c>
      <c r="F305" s="153">
        <v>241893732</v>
      </c>
      <c r="G305" s="152" t="s">
        <v>15</v>
      </c>
      <c r="H305" s="154">
        <v>0.79166666666666663</v>
      </c>
      <c r="I305" s="152" t="s">
        <v>18</v>
      </c>
      <c r="J305" s="155">
        <v>46076</v>
      </c>
      <c r="K305" s="155">
        <v>46206</v>
      </c>
      <c r="L305" s="151">
        <f>IF(ISBLANK(DATA[[#This Row],[DISCHARGE DATE]]),"NO DATE", DATA[[#This Row],[DISCHARGE DATE]]-DATA[[#This Row],[ADMISSION DATE]]+1)</f>
        <v>131</v>
      </c>
      <c r="M305" s="156">
        <v>350</v>
      </c>
      <c r="N305" s="156">
        <v>1703</v>
      </c>
      <c r="O305" s="157">
        <v>309</v>
      </c>
      <c r="P305" s="157">
        <v>327</v>
      </c>
      <c r="Q305" s="158">
        <f>IF(DATA[[#This Row],[STORAGE FEE]]=0,"NULL",DATA[[#This Row],[COLDROOM FEE]])-DATA[[#This Row],[STORAGE FEE]]</f>
        <v>0</v>
      </c>
      <c r="R305" s="158">
        <f>IF(ISBLANK(DATA[[#This Row],[DISCHARGE DATE]]),0,IF(DATA[[#This Row],[TYPE]]="VIP",20*DATA[[#This Row],[STORAGE DAYS]],13*DATA[[#This Row],[STORAGE DAYS]]))</f>
        <v>1703</v>
      </c>
      <c r="S305" s="71" t="str">
        <f>IF(ISBLANK(DATA[[#This Row],[COLDROOM RECEIPT]]), "IN CUSTODY", "DISCHARGED")</f>
        <v>DISCHARGED</v>
      </c>
      <c r="T305" s="58">
        <f>COUNTA(A:A)-2</f>
        <v>419</v>
      </c>
      <c r="U305" s="59">
        <f>YEAR(DATA[[#This Row],[ADMISSION DATE]])</f>
        <v>2026</v>
      </c>
      <c r="V305" s="60" t="str">
        <f>TEXT(DATA[[#This Row],[ADMISSION DATE]],"mmm")</f>
        <v>Feb</v>
      </c>
      <c r="W305" s="59">
        <f>YEAR(DATA[[#This Row],[DISCHARGE DATE]])</f>
        <v>2026</v>
      </c>
      <c r="X305" s="60" t="str">
        <f>TEXT(DATA[[#This Row],[DISCHARGE DATE]],"mmm")</f>
        <v>Jul</v>
      </c>
    </row>
    <row r="306" spans="1:24" s="27" customFormat="1" ht="16.5" hidden="1" customHeight="1">
      <c r="A306" s="150" t="s">
        <v>1331</v>
      </c>
      <c r="B306" s="151" t="s">
        <v>1332</v>
      </c>
      <c r="C306" s="151">
        <v>62</v>
      </c>
      <c r="D306" s="152" t="s">
        <v>12</v>
      </c>
      <c r="E306" s="152" t="s">
        <v>1333</v>
      </c>
      <c r="F306" s="153">
        <v>243662920</v>
      </c>
      <c r="G306" s="152" t="s">
        <v>13</v>
      </c>
      <c r="H306" s="154">
        <v>0.5180555555555556</v>
      </c>
      <c r="I306" s="152" t="s">
        <v>18</v>
      </c>
      <c r="J306" s="155">
        <v>46077</v>
      </c>
      <c r="K306" s="155">
        <v>46171</v>
      </c>
      <c r="L306" s="151">
        <f>IF(ISBLANK(DATA[[#This Row],[DISCHARGE DATE]]),"NO DATE", DATA[[#This Row],[DISCHARGE DATE]]-DATA[[#This Row],[ADMISSION DATE]]+1)</f>
        <v>95</v>
      </c>
      <c r="M306" s="156">
        <v>350</v>
      </c>
      <c r="N306" s="156">
        <v>1235</v>
      </c>
      <c r="O306" s="157">
        <v>310</v>
      </c>
      <c r="P306" s="157">
        <v>317</v>
      </c>
      <c r="Q306" s="158">
        <f>IF(DATA[[#This Row],[STORAGE FEE]]=0,"NULL",DATA[[#This Row],[COLDROOM FEE]])-DATA[[#This Row],[STORAGE FEE]]</f>
        <v>0</v>
      </c>
      <c r="R306" s="158">
        <f>IF(ISBLANK(DATA[[#This Row],[DISCHARGE DATE]]),0,IF(DATA[[#This Row],[TYPE]]="VIP",20*DATA[[#This Row],[STORAGE DAYS]],13*DATA[[#This Row],[STORAGE DAYS]]))</f>
        <v>1235</v>
      </c>
      <c r="S306" s="71" t="str">
        <f>IF(ISBLANK(DATA[[#This Row],[COLDROOM RECEIPT]]), "IN CUSTODY", "DISCHARGED")</f>
        <v>DISCHARGED</v>
      </c>
      <c r="T306" s="58">
        <f>COUNTA(A:A)-2</f>
        <v>419</v>
      </c>
      <c r="U306" s="59">
        <f>YEAR(DATA[[#This Row],[ADMISSION DATE]])</f>
        <v>2026</v>
      </c>
      <c r="V306" s="60" t="str">
        <f>TEXT(DATA[[#This Row],[ADMISSION DATE]],"mmm")</f>
        <v>Feb</v>
      </c>
      <c r="W306" s="59">
        <f>YEAR(DATA[[#This Row],[DISCHARGE DATE]])</f>
        <v>2026</v>
      </c>
      <c r="X306" s="60" t="str">
        <f>TEXT(DATA[[#This Row],[DISCHARGE DATE]],"mmm")</f>
        <v>May</v>
      </c>
    </row>
    <row r="307" spans="1:24" s="27" customFormat="1" ht="16.5" hidden="1" customHeight="1">
      <c r="A307" s="150" t="s">
        <v>1334</v>
      </c>
      <c r="B307" s="151" t="s">
        <v>1335</v>
      </c>
      <c r="C307" s="151">
        <v>70</v>
      </c>
      <c r="D307" s="152" t="s">
        <v>11</v>
      </c>
      <c r="E307" s="152" t="s">
        <v>1336</v>
      </c>
      <c r="F307" s="153" t="s">
        <v>1337</v>
      </c>
      <c r="G307" s="152" t="s">
        <v>22</v>
      </c>
      <c r="H307" s="154">
        <v>0.77083333333333337</v>
      </c>
      <c r="I307" s="152" t="s">
        <v>18</v>
      </c>
      <c r="J307" s="155">
        <v>46077</v>
      </c>
      <c r="K307" s="155">
        <v>46269</v>
      </c>
      <c r="L307" s="151">
        <f>IF(ISBLANK(DATA[[#This Row],[DISCHARGE DATE]]),"NO DATE", DATA[[#This Row],[DISCHARGE DATE]]-DATA[[#This Row],[ADMISSION DATE]]+1)</f>
        <v>193</v>
      </c>
      <c r="M307" s="156">
        <v>350</v>
      </c>
      <c r="N307" s="156">
        <v>2509</v>
      </c>
      <c r="O307" s="157">
        <v>311</v>
      </c>
      <c r="P307" s="157">
        <v>351</v>
      </c>
      <c r="Q307" s="158">
        <f>IF(DATA[[#This Row],[STORAGE FEE]]=0,"NULL",DATA[[#This Row],[COLDROOM FEE]])-DATA[[#This Row],[STORAGE FEE]]</f>
        <v>0</v>
      </c>
      <c r="R307" s="158">
        <f>IF(ISBLANK(DATA[[#This Row],[DISCHARGE DATE]]),0,IF(DATA[[#This Row],[TYPE]]="VIP",20*DATA[[#This Row],[STORAGE DAYS]],13*DATA[[#This Row],[STORAGE DAYS]]))</f>
        <v>2509</v>
      </c>
      <c r="S307" s="71" t="str">
        <f>IF(ISBLANK(DATA[[#This Row],[COLDROOM RECEIPT]]), "IN CUSTODY", "DISCHARGED")</f>
        <v>DISCHARGED</v>
      </c>
      <c r="T307" s="58">
        <f>COUNTA(A:A)-2</f>
        <v>419</v>
      </c>
      <c r="U307" s="59">
        <f>YEAR(DATA[[#This Row],[ADMISSION DATE]])</f>
        <v>2026</v>
      </c>
      <c r="V307" s="60" t="str">
        <f>TEXT(DATA[[#This Row],[ADMISSION DATE]],"mmm")</f>
        <v>Feb</v>
      </c>
      <c r="W307" s="59">
        <f>YEAR(DATA[[#This Row],[DISCHARGE DATE]])</f>
        <v>2026</v>
      </c>
      <c r="X307" s="60" t="str">
        <f>TEXT(DATA[[#This Row],[DISCHARGE DATE]],"mmm")</f>
        <v>Sep</v>
      </c>
    </row>
    <row r="308" spans="1:24" s="27" customFormat="1" ht="16.5" hidden="1" customHeight="1">
      <c r="A308" s="150" t="s">
        <v>1338</v>
      </c>
      <c r="B308" s="151" t="s">
        <v>1339</v>
      </c>
      <c r="C308" s="151">
        <v>81</v>
      </c>
      <c r="D308" s="152" t="s">
        <v>11</v>
      </c>
      <c r="E308" s="152" t="s">
        <v>1340</v>
      </c>
      <c r="F308" s="153">
        <v>541712845</v>
      </c>
      <c r="G308" s="152" t="s">
        <v>21</v>
      </c>
      <c r="H308" s="154">
        <v>0.20833333333333334</v>
      </c>
      <c r="I308" s="152" t="s">
        <v>20</v>
      </c>
      <c r="J308" s="155">
        <v>46078</v>
      </c>
      <c r="K308" s="155">
        <v>46205</v>
      </c>
      <c r="L308" s="151">
        <f>IF(ISBLANK(DATA[[#This Row],[DISCHARGE DATE]]),"NO DATE", DATA[[#This Row],[DISCHARGE DATE]]-DATA[[#This Row],[ADMISSION DATE]]+1)</f>
        <v>128</v>
      </c>
      <c r="M308" s="156">
        <v>350</v>
      </c>
      <c r="N308" s="156">
        <v>2560</v>
      </c>
      <c r="O308" s="157">
        <v>312</v>
      </c>
      <c r="P308" s="157">
        <v>330</v>
      </c>
      <c r="Q308" s="158">
        <f>IF(DATA[[#This Row],[STORAGE FEE]]=0,"NULL",DATA[[#This Row],[COLDROOM FEE]])-DATA[[#This Row],[STORAGE FEE]]</f>
        <v>0</v>
      </c>
      <c r="R308" s="158">
        <f>IF(ISBLANK(DATA[[#This Row],[DISCHARGE DATE]]),0,IF(DATA[[#This Row],[TYPE]]="VIP",20*DATA[[#This Row],[STORAGE DAYS]],13*DATA[[#This Row],[STORAGE DAYS]]))</f>
        <v>2560</v>
      </c>
      <c r="S308" s="71" t="str">
        <f>IF(ISBLANK(DATA[[#This Row],[COLDROOM RECEIPT]]), "IN CUSTODY", "DISCHARGED")</f>
        <v>DISCHARGED</v>
      </c>
      <c r="T308" s="58">
        <f>COUNTA(A:A)-2</f>
        <v>419</v>
      </c>
      <c r="U308" s="59">
        <f>YEAR(DATA[[#This Row],[ADMISSION DATE]])</f>
        <v>2026</v>
      </c>
      <c r="V308" s="60" t="str">
        <f>TEXT(DATA[[#This Row],[ADMISSION DATE]],"mmm")</f>
        <v>Feb</v>
      </c>
      <c r="W308" s="59">
        <f>YEAR(DATA[[#This Row],[DISCHARGE DATE]])</f>
        <v>2026</v>
      </c>
      <c r="X308" s="60" t="str">
        <f>TEXT(DATA[[#This Row],[DISCHARGE DATE]],"mmm")</f>
        <v>Jul</v>
      </c>
    </row>
    <row r="309" spans="1:24" s="27" customFormat="1" ht="16.5" customHeight="1">
      <c r="A309" s="150" t="s">
        <v>1341</v>
      </c>
      <c r="B309" s="151" t="s">
        <v>1342</v>
      </c>
      <c r="C309" s="151">
        <v>74</v>
      </c>
      <c r="D309" s="152" t="s">
        <v>11</v>
      </c>
      <c r="E309" s="152" t="s">
        <v>1343</v>
      </c>
      <c r="F309" s="153">
        <v>599622119</v>
      </c>
      <c r="G309" s="152" t="s">
        <v>15</v>
      </c>
      <c r="H309" s="154">
        <v>0.3125</v>
      </c>
      <c r="I309" s="152" t="s">
        <v>18</v>
      </c>
      <c r="J309" s="155">
        <v>46077</v>
      </c>
      <c r="K309" s="155">
        <v>46353</v>
      </c>
      <c r="L309" s="151">
        <f>IF(ISBLANK(DATA[[#This Row],[DISCHARGE DATE]]),"NO DATE", DATA[[#This Row],[DISCHARGE DATE]]-DATA[[#This Row],[ADMISSION DATE]]+1)</f>
        <v>277</v>
      </c>
      <c r="M309" s="156">
        <v>350</v>
      </c>
      <c r="N309" s="156"/>
      <c r="O309" s="157">
        <v>313</v>
      </c>
      <c r="P309" s="157"/>
      <c r="Q309" s="158">
        <f>IF(DATA[[#This Row],[STORAGE FEE]]=0,"NULL",DATA[[#This Row],[COLDROOM FEE]])-DATA[[#This Row],[STORAGE FEE]]</f>
        <v>-3601</v>
      </c>
      <c r="R309" s="158">
        <f>IF(ISBLANK(DATA[[#This Row],[DISCHARGE DATE]]),0,IF(DATA[[#This Row],[TYPE]]="VIP",20*DATA[[#This Row],[STORAGE DAYS]],13*DATA[[#This Row],[STORAGE DAYS]]))</f>
        <v>3601</v>
      </c>
      <c r="S309" s="71" t="str">
        <f>IF(ISBLANK(DATA[[#This Row],[COLDROOM RECEIPT]]), "IN CUSTODY", "DISCHARGED")</f>
        <v>IN CUSTODY</v>
      </c>
      <c r="T309" s="58">
        <f>COUNTA(A:A)-2</f>
        <v>419</v>
      </c>
      <c r="U309" s="59">
        <f>YEAR(DATA[[#This Row],[ADMISSION DATE]])</f>
        <v>2026</v>
      </c>
      <c r="V309" s="60" t="str">
        <f>TEXT(DATA[[#This Row],[ADMISSION DATE]],"mmm")</f>
        <v>Feb</v>
      </c>
      <c r="W309" s="59">
        <f>YEAR(DATA[[#This Row],[DISCHARGE DATE]])</f>
        <v>2026</v>
      </c>
      <c r="X309" s="60" t="str">
        <f>TEXT(DATA[[#This Row],[DISCHARGE DATE]],"mmm")</f>
        <v>Nov</v>
      </c>
    </row>
    <row r="310" spans="1:24" s="27" customFormat="1" ht="16.5" hidden="1" customHeight="1">
      <c r="A310" s="150" t="s">
        <v>1344</v>
      </c>
      <c r="B310" s="151" t="s">
        <v>1345</v>
      </c>
      <c r="C310" s="151">
        <v>70</v>
      </c>
      <c r="D310" s="152" t="s">
        <v>12</v>
      </c>
      <c r="E310" s="152" t="s">
        <v>145</v>
      </c>
      <c r="F310" s="153">
        <v>547444547</v>
      </c>
      <c r="G310" s="152" t="s">
        <v>13</v>
      </c>
      <c r="H310" s="154">
        <v>4.1666666666666664E-2</v>
      </c>
      <c r="I310" s="152" t="s">
        <v>18</v>
      </c>
      <c r="J310" s="155">
        <v>46078</v>
      </c>
      <c r="K310" s="155">
        <v>46171</v>
      </c>
      <c r="L310" s="151">
        <f>IF(ISBLANK(DATA[[#This Row],[DISCHARGE DATE]]),"NO DATE", DATA[[#This Row],[DISCHARGE DATE]]-DATA[[#This Row],[ADMISSION DATE]]+1)</f>
        <v>94</v>
      </c>
      <c r="M310" s="156">
        <v>350</v>
      </c>
      <c r="N310" s="156">
        <v>1222</v>
      </c>
      <c r="O310" s="157">
        <v>314</v>
      </c>
      <c r="P310" s="157">
        <v>316</v>
      </c>
      <c r="Q310" s="158">
        <f>IF(DATA[[#This Row],[STORAGE FEE]]=0,"NULL",DATA[[#This Row],[COLDROOM FEE]])-DATA[[#This Row],[STORAGE FEE]]</f>
        <v>0</v>
      </c>
      <c r="R310" s="158">
        <f>IF(ISBLANK(DATA[[#This Row],[DISCHARGE DATE]]),0,IF(DATA[[#This Row],[TYPE]]="VIP",20*DATA[[#This Row],[STORAGE DAYS]],13*DATA[[#This Row],[STORAGE DAYS]]))</f>
        <v>1222</v>
      </c>
      <c r="S310" s="71" t="str">
        <f>IF(ISBLANK(DATA[[#This Row],[COLDROOM RECEIPT]]), "IN CUSTODY", "DISCHARGED")</f>
        <v>DISCHARGED</v>
      </c>
      <c r="T310" s="58">
        <f>COUNTA(A:A)-2</f>
        <v>419</v>
      </c>
      <c r="U310" s="59">
        <f>YEAR(DATA[[#This Row],[ADMISSION DATE]])</f>
        <v>2026</v>
      </c>
      <c r="V310" s="60" t="str">
        <f>TEXT(DATA[[#This Row],[ADMISSION DATE]],"mmm")</f>
        <v>Feb</v>
      </c>
      <c r="W310" s="59">
        <f>YEAR(DATA[[#This Row],[DISCHARGE DATE]])</f>
        <v>2026</v>
      </c>
      <c r="X310" s="60" t="str">
        <f>TEXT(DATA[[#This Row],[DISCHARGE DATE]],"mmm")</f>
        <v>May</v>
      </c>
    </row>
    <row r="311" spans="1:24" s="27" customFormat="1" ht="16.5" hidden="1" customHeight="1">
      <c r="A311" s="150" t="s">
        <v>1346</v>
      </c>
      <c r="B311" s="151" t="s">
        <v>1347</v>
      </c>
      <c r="C311" s="151">
        <v>68</v>
      </c>
      <c r="D311" s="152" t="s">
        <v>11</v>
      </c>
      <c r="E311" s="152" t="s">
        <v>1348</v>
      </c>
      <c r="F311" s="153" t="s">
        <v>1349</v>
      </c>
      <c r="G311" s="152" t="s">
        <v>13</v>
      </c>
      <c r="H311" s="154">
        <v>0.73263888888888884</v>
      </c>
      <c r="I311" s="152" t="s">
        <v>18</v>
      </c>
      <c r="J311" s="155">
        <v>46080</v>
      </c>
      <c r="K311" s="155">
        <v>46234</v>
      </c>
      <c r="L311" s="151">
        <f>IF(ISBLANK(DATA[[#This Row],[DISCHARGE DATE]]),"NO DATE", DATA[[#This Row],[DISCHARGE DATE]]-DATA[[#This Row],[ADMISSION DATE]]+1)</f>
        <v>155</v>
      </c>
      <c r="M311" s="156">
        <v>350</v>
      </c>
      <c r="N311" s="156">
        <v>2015</v>
      </c>
      <c r="O311" s="157">
        <v>315</v>
      </c>
      <c r="P311" s="157">
        <v>340</v>
      </c>
      <c r="Q311" s="158">
        <f>IF(DATA[[#This Row],[STORAGE FEE]]=0,"NULL",DATA[[#This Row],[COLDROOM FEE]])-DATA[[#This Row],[STORAGE FEE]]</f>
        <v>0</v>
      </c>
      <c r="R311" s="158">
        <f>IF(ISBLANK(DATA[[#This Row],[DISCHARGE DATE]]),0,IF(DATA[[#This Row],[TYPE]]="VIP",20*DATA[[#This Row],[STORAGE DAYS]],13*DATA[[#This Row],[STORAGE DAYS]]))</f>
        <v>2015</v>
      </c>
      <c r="S311" s="71" t="str">
        <f>IF(ISBLANK(DATA[[#This Row],[COLDROOM RECEIPT]]), "IN CUSTODY", "DISCHARGED")</f>
        <v>DISCHARGED</v>
      </c>
      <c r="T311" s="58">
        <f>COUNTA(A:A)-2</f>
        <v>419</v>
      </c>
      <c r="U311" s="59">
        <f>YEAR(DATA[[#This Row],[ADMISSION DATE]])</f>
        <v>2026</v>
      </c>
      <c r="V311" s="60" t="str">
        <f>TEXT(DATA[[#This Row],[ADMISSION DATE]],"mmm")</f>
        <v>Feb</v>
      </c>
      <c r="W311" s="59">
        <f>YEAR(DATA[[#This Row],[DISCHARGE DATE]])</f>
        <v>2026</v>
      </c>
      <c r="X311" s="60" t="str">
        <f>TEXT(DATA[[#This Row],[DISCHARGE DATE]],"mmm")</f>
        <v>Jul</v>
      </c>
    </row>
    <row r="312" spans="1:24" s="27" customFormat="1" ht="16.5" customHeight="1">
      <c r="A312" s="150" t="s">
        <v>1350</v>
      </c>
      <c r="B312" s="151" t="s">
        <v>1351</v>
      </c>
      <c r="C312" s="151">
        <v>73</v>
      </c>
      <c r="D312" s="152" t="s">
        <v>11</v>
      </c>
      <c r="E312" s="152" t="s">
        <v>1333</v>
      </c>
      <c r="F312" s="153">
        <v>591043987</v>
      </c>
      <c r="G312" s="152" t="s">
        <v>15</v>
      </c>
      <c r="H312" s="154">
        <v>0.8125</v>
      </c>
      <c r="I312" s="152" t="s">
        <v>20</v>
      </c>
      <c r="J312" s="155">
        <v>46080</v>
      </c>
      <c r="K312" s="155"/>
      <c r="L312" s="151" t="str">
        <f>IF(ISBLANK(DATA[[#This Row],[DISCHARGE DATE]]),"NO DATE", DATA[[#This Row],[DISCHARGE DATE]]-DATA[[#This Row],[ADMISSION DATE]]+1)</f>
        <v>NO DATE</v>
      </c>
      <c r="M312" s="156">
        <v>350</v>
      </c>
      <c r="N312" s="156"/>
      <c r="O312" s="157">
        <v>316</v>
      </c>
      <c r="P312" s="157"/>
      <c r="Q312" s="158" t="e">
        <f>IF(DATA[[#This Row],[STORAGE FEE]]=0,"NULL",DATA[[#This Row],[COLDROOM FEE]])-DATA[[#This Row],[STORAGE FEE]]</f>
        <v>#VALUE!</v>
      </c>
      <c r="R312" s="158">
        <f>IF(ISBLANK(DATA[[#This Row],[DISCHARGE DATE]]),0,IF(DATA[[#This Row],[TYPE]]="VIP",20*DATA[[#This Row],[STORAGE DAYS]],13*DATA[[#This Row],[STORAGE DAYS]]))</f>
        <v>0</v>
      </c>
      <c r="S312" s="71" t="str">
        <f>IF(ISBLANK(DATA[[#This Row],[COLDROOM RECEIPT]]), "IN CUSTODY", "DISCHARGED")</f>
        <v>IN CUSTODY</v>
      </c>
      <c r="T312" s="58">
        <f>COUNTA(A:A)-2</f>
        <v>419</v>
      </c>
      <c r="U312" s="59">
        <f>YEAR(DATA[[#This Row],[ADMISSION DATE]])</f>
        <v>2026</v>
      </c>
      <c r="V312" s="60" t="str">
        <f>TEXT(DATA[[#This Row],[ADMISSION DATE]],"mmm")</f>
        <v>Feb</v>
      </c>
      <c r="W312" s="59">
        <f>YEAR(DATA[[#This Row],[DISCHARGE DATE]])</f>
        <v>1900</v>
      </c>
      <c r="X312" s="60" t="str">
        <f>TEXT(DATA[[#This Row],[DISCHARGE DATE]],"mmm")</f>
        <v>Jan</v>
      </c>
    </row>
    <row r="313" spans="1:24" s="27" customFormat="1" ht="16.5" hidden="1" customHeight="1">
      <c r="A313" s="150" t="s">
        <v>1352</v>
      </c>
      <c r="B313" s="151" t="s">
        <v>1353</v>
      </c>
      <c r="C313" s="151">
        <v>79</v>
      </c>
      <c r="D313" s="152" t="s">
        <v>12</v>
      </c>
      <c r="E313" s="152" t="s">
        <v>1354</v>
      </c>
      <c r="F313" s="153">
        <v>249314105</v>
      </c>
      <c r="G313" s="152" t="s">
        <v>13</v>
      </c>
      <c r="H313" s="154">
        <v>0.3125</v>
      </c>
      <c r="I313" s="152" t="s">
        <v>18</v>
      </c>
      <c r="J313" s="155">
        <v>46083</v>
      </c>
      <c r="K313" s="155">
        <v>46234</v>
      </c>
      <c r="L313" s="151">
        <f>IF(ISBLANK(DATA[[#This Row],[DISCHARGE DATE]]),"NO DATE", DATA[[#This Row],[DISCHARGE DATE]]-DATA[[#This Row],[ADMISSION DATE]]+1)</f>
        <v>152</v>
      </c>
      <c r="M313" s="156">
        <v>350</v>
      </c>
      <c r="N313" s="156">
        <v>1976</v>
      </c>
      <c r="O313" s="157">
        <v>317</v>
      </c>
      <c r="P313" s="157">
        <v>334</v>
      </c>
      <c r="Q313" s="158">
        <f>IF(DATA[[#This Row],[STORAGE FEE]]=0,"NULL",DATA[[#This Row],[COLDROOM FEE]])-DATA[[#This Row],[STORAGE FEE]]</f>
        <v>0</v>
      </c>
      <c r="R313" s="158">
        <f>IF(ISBLANK(DATA[[#This Row],[DISCHARGE DATE]]),0,IF(DATA[[#This Row],[TYPE]]="VIP",20*DATA[[#This Row],[STORAGE DAYS]],13*DATA[[#This Row],[STORAGE DAYS]]))</f>
        <v>1976</v>
      </c>
      <c r="S313" s="71" t="str">
        <f>IF(ISBLANK(DATA[[#This Row],[COLDROOM RECEIPT]]), "IN CUSTODY", "DISCHARGED")</f>
        <v>DISCHARGED</v>
      </c>
      <c r="T313" s="58">
        <f>COUNTA(A:A)-2</f>
        <v>419</v>
      </c>
      <c r="U313" s="59">
        <f>YEAR(DATA[[#This Row],[ADMISSION DATE]])</f>
        <v>2026</v>
      </c>
      <c r="V313" s="60" t="str">
        <f>TEXT(DATA[[#This Row],[ADMISSION DATE]],"mmm")</f>
        <v>Mar</v>
      </c>
      <c r="W313" s="59">
        <f>YEAR(DATA[[#This Row],[DISCHARGE DATE]])</f>
        <v>2026</v>
      </c>
      <c r="X313" s="60" t="str">
        <f>TEXT(DATA[[#This Row],[DISCHARGE DATE]],"mmm")</f>
        <v>Jul</v>
      </c>
    </row>
    <row r="314" spans="1:24" s="27" customFormat="1" ht="16.5" hidden="1" customHeight="1">
      <c r="A314" s="150" t="s">
        <v>1355</v>
      </c>
      <c r="B314" s="151" t="s">
        <v>1356</v>
      </c>
      <c r="C314" s="151">
        <v>67</v>
      </c>
      <c r="D314" s="152" t="s">
        <v>12</v>
      </c>
      <c r="E314" s="152" t="s">
        <v>1357</v>
      </c>
      <c r="F314" s="153">
        <v>244057569</v>
      </c>
      <c r="G314" s="152" t="s">
        <v>13</v>
      </c>
      <c r="H314" s="154">
        <v>0.72916666666666663</v>
      </c>
      <c r="I314" s="152" t="s">
        <v>18</v>
      </c>
      <c r="J314" s="155">
        <v>46084</v>
      </c>
      <c r="K314" s="155">
        <v>46234</v>
      </c>
      <c r="L314" s="151">
        <f>IF(ISBLANK(DATA[[#This Row],[DISCHARGE DATE]]),"NO DATE", DATA[[#This Row],[DISCHARGE DATE]]-DATA[[#This Row],[ADMISSION DATE]]+1)</f>
        <v>151</v>
      </c>
      <c r="M314" s="156">
        <v>350</v>
      </c>
      <c r="N314" s="156">
        <v>1963</v>
      </c>
      <c r="O314" s="157">
        <v>318</v>
      </c>
      <c r="P314" s="157">
        <v>338</v>
      </c>
      <c r="Q314" s="158">
        <f>IF(DATA[[#This Row],[STORAGE FEE]]=0,"NULL",DATA[[#This Row],[COLDROOM FEE]])-DATA[[#This Row],[STORAGE FEE]]</f>
        <v>0</v>
      </c>
      <c r="R314" s="158">
        <f>IF(ISBLANK(DATA[[#This Row],[DISCHARGE DATE]]),0,IF(DATA[[#This Row],[TYPE]]="VIP",20*DATA[[#This Row],[STORAGE DAYS]],13*DATA[[#This Row],[STORAGE DAYS]]))</f>
        <v>1963</v>
      </c>
      <c r="S314" s="71" t="str">
        <f>IF(ISBLANK(DATA[[#This Row],[COLDROOM RECEIPT]]), "IN CUSTODY", "DISCHARGED")</f>
        <v>DISCHARGED</v>
      </c>
      <c r="T314" s="58">
        <f>COUNTA(A:A)-2</f>
        <v>419</v>
      </c>
      <c r="U314" s="59">
        <f>YEAR(DATA[[#This Row],[ADMISSION DATE]])</f>
        <v>2026</v>
      </c>
      <c r="V314" s="60" t="str">
        <f>TEXT(DATA[[#This Row],[ADMISSION DATE]],"mmm")</f>
        <v>Mar</v>
      </c>
      <c r="W314" s="59">
        <f>YEAR(DATA[[#This Row],[DISCHARGE DATE]])</f>
        <v>2026</v>
      </c>
      <c r="X314" s="60" t="str">
        <f>TEXT(DATA[[#This Row],[DISCHARGE DATE]],"mmm")</f>
        <v>Jul</v>
      </c>
    </row>
    <row r="315" spans="1:24" s="27" customFormat="1" ht="16.5" hidden="1" customHeight="1">
      <c r="A315" s="150" t="s">
        <v>1358</v>
      </c>
      <c r="B315" s="151" t="s">
        <v>1359</v>
      </c>
      <c r="C315" s="151">
        <v>82</v>
      </c>
      <c r="D315" s="152" t="s">
        <v>12</v>
      </c>
      <c r="E315" s="152" t="s">
        <v>1360</v>
      </c>
      <c r="F315" s="153">
        <v>538593638</v>
      </c>
      <c r="G315" s="152" t="s">
        <v>13</v>
      </c>
      <c r="H315" s="154">
        <v>0.375</v>
      </c>
      <c r="I315" s="152" t="s">
        <v>20</v>
      </c>
      <c r="J315" s="155">
        <v>46088</v>
      </c>
      <c r="K315" s="155">
        <v>46118</v>
      </c>
      <c r="L315" s="151">
        <f>IF(ISBLANK(DATA[[#This Row],[DISCHARGE DATE]]),"NO DATE", DATA[[#This Row],[DISCHARGE DATE]]-DATA[[#This Row],[ADMISSION DATE]]+1)</f>
        <v>31</v>
      </c>
      <c r="M315" s="156">
        <v>350</v>
      </c>
      <c r="N315" s="156">
        <v>620</v>
      </c>
      <c r="O315" s="157">
        <v>319</v>
      </c>
      <c r="P315" s="157">
        <v>269</v>
      </c>
      <c r="Q315" s="158">
        <f>IF(DATA[[#This Row],[STORAGE FEE]]=0,"NULL",DATA[[#This Row],[COLDROOM FEE]])-DATA[[#This Row],[STORAGE FEE]]</f>
        <v>0</v>
      </c>
      <c r="R315" s="158">
        <f>IF(ISBLANK(DATA[[#This Row],[DISCHARGE DATE]]),0,IF(DATA[[#This Row],[TYPE]]="VIP",20*DATA[[#This Row],[STORAGE DAYS]],13*DATA[[#This Row],[STORAGE DAYS]]))</f>
        <v>620</v>
      </c>
      <c r="S315" s="71" t="str">
        <f>IF(ISBLANK(DATA[[#This Row],[COLDROOM RECEIPT]]), "IN CUSTODY", "DISCHARGED")</f>
        <v>DISCHARGED</v>
      </c>
      <c r="T315" s="58">
        <f>COUNTA(A:A)-2</f>
        <v>419</v>
      </c>
      <c r="U315" s="59">
        <f>YEAR(DATA[[#This Row],[ADMISSION DATE]])</f>
        <v>2026</v>
      </c>
      <c r="V315" s="60" t="str">
        <f>TEXT(DATA[[#This Row],[ADMISSION DATE]],"mmm")</f>
        <v>Mar</v>
      </c>
      <c r="W315" s="59">
        <f>YEAR(DATA[[#This Row],[DISCHARGE DATE]])</f>
        <v>2026</v>
      </c>
      <c r="X315" s="60" t="str">
        <f>TEXT(DATA[[#This Row],[DISCHARGE DATE]],"mmm")</f>
        <v>Apr</v>
      </c>
    </row>
    <row r="316" spans="1:24" s="27" customFormat="1" ht="16.5" hidden="1" customHeight="1">
      <c r="A316" s="150" t="s">
        <v>1361</v>
      </c>
      <c r="B316" s="151" t="s">
        <v>1362</v>
      </c>
      <c r="C316" s="151">
        <v>43</v>
      </c>
      <c r="D316" s="152" t="s">
        <v>12</v>
      </c>
      <c r="E316" s="152" t="s">
        <v>1363</v>
      </c>
      <c r="F316" s="153" t="s">
        <v>1364</v>
      </c>
      <c r="G316" s="152" t="s">
        <v>13</v>
      </c>
      <c r="H316" s="154">
        <v>0.45833333333333331</v>
      </c>
      <c r="I316" s="152" t="s">
        <v>18</v>
      </c>
      <c r="J316" s="155">
        <v>46089</v>
      </c>
      <c r="K316" s="155">
        <v>46143</v>
      </c>
      <c r="L316" s="151">
        <f>IF(ISBLANK(DATA[[#This Row],[DISCHARGE DATE]]),"NO DATE", DATA[[#This Row],[DISCHARGE DATE]]-DATA[[#This Row],[ADMISSION DATE]]+1)</f>
        <v>55</v>
      </c>
      <c r="M316" s="156">
        <v>350</v>
      </c>
      <c r="N316" s="156">
        <v>715</v>
      </c>
      <c r="O316" s="157">
        <v>320</v>
      </c>
      <c r="P316" s="157">
        <v>279</v>
      </c>
      <c r="Q316" s="158">
        <f>IF(DATA[[#This Row],[STORAGE FEE]]=0,"NULL",DATA[[#This Row],[COLDROOM FEE]])-DATA[[#This Row],[STORAGE FEE]]</f>
        <v>0</v>
      </c>
      <c r="R316" s="158">
        <f>IF(ISBLANK(DATA[[#This Row],[DISCHARGE DATE]]),0,IF(DATA[[#This Row],[TYPE]]="VIP",20*DATA[[#This Row],[STORAGE DAYS]],13*DATA[[#This Row],[STORAGE DAYS]]))</f>
        <v>715</v>
      </c>
      <c r="S316" s="71" t="str">
        <f>IF(ISBLANK(DATA[[#This Row],[COLDROOM RECEIPT]]), "IN CUSTODY", "DISCHARGED")</f>
        <v>DISCHARGED</v>
      </c>
      <c r="T316" s="58">
        <f>COUNTA(A:A)-2</f>
        <v>419</v>
      </c>
      <c r="U316" s="59">
        <f>YEAR(DATA[[#This Row],[ADMISSION DATE]])</f>
        <v>2026</v>
      </c>
      <c r="V316" s="60" t="str">
        <f>TEXT(DATA[[#This Row],[ADMISSION DATE]],"mmm")</f>
        <v>Mar</v>
      </c>
      <c r="W316" s="59">
        <f>YEAR(DATA[[#This Row],[DISCHARGE DATE]])</f>
        <v>2026</v>
      </c>
      <c r="X316" s="60" t="str">
        <f>TEXT(DATA[[#This Row],[DISCHARGE DATE]],"mmm")</f>
        <v>May</v>
      </c>
    </row>
    <row r="317" spans="1:24" s="27" customFormat="1" ht="16.5" hidden="1" customHeight="1">
      <c r="A317" s="150" t="s">
        <v>1365</v>
      </c>
      <c r="B317" s="151" t="s">
        <v>1366</v>
      </c>
      <c r="C317" s="151">
        <v>50</v>
      </c>
      <c r="D317" s="152" t="s">
        <v>11</v>
      </c>
      <c r="E317" s="152" t="s">
        <v>1367</v>
      </c>
      <c r="F317" s="153" t="s">
        <v>1368</v>
      </c>
      <c r="G317" s="152" t="s">
        <v>15</v>
      </c>
      <c r="H317" s="154">
        <v>0.22916666666666666</v>
      </c>
      <c r="I317" s="152" t="s">
        <v>18</v>
      </c>
      <c r="J317" s="155">
        <v>46099</v>
      </c>
      <c r="K317" s="155">
        <v>46234</v>
      </c>
      <c r="L317" s="151">
        <f>IF(ISBLANK(DATA[[#This Row],[DISCHARGE DATE]]),"NO DATE", DATA[[#This Row],[DISCHARGE DATE]]-DATA[[#This Row],[ADMISSION DATE]]+1)</f>
        <v>136</v>
      </c>
      <c r="M317" s="156">
        <v>350</v>
      </c>
      <c r="N317" s="156">
        <v>1768</v>
      </c>
      <c r="O317" s="157">
        <v>321</v>
      </c>
      <c r="P317" s="157">
        <v>333</v>
      </c>
      <c r="Q317" s="158">
        <f>IF(DATA[[#This Row],[STORAGE FEE]]=0,"NULL",DATA[[#This Row],[COLDROOM FEE]])-DATA[[#This Row],[STORAGE FEE]]</f>
        <v>0</v>
      </c>
      <c r="R317" s="158">
        <f>IF(ISBLANK(DATA[[#This Row],[DISCHARGE DATE]]),0,IF(DATA[[#This Row],[TYPE]]="VIP",20*DATA[[#This Row],[STORAGE DAYS]],13*DATA[[#This Row],[STORAGE DAYS]]))</f>
        <v>1768</v>
      </c>
      <c r="S317" s="71" t="str">
        <f>IF(ISBLANK(DATA[[#This Row],[COLDROOM RECEIPT]]), "IN CUSTODY", "DISCHARGED")</f>
        <v>DISCHARGED</v>
      </c>
      <c r="T317" s="58">
        <f>COUNTA(A:A)-2</f>
        <v>419</v>
      </c>
      <c r="U317" s="59">
        <f>YEAR(DATA[[#This Row],[ADMISSION DATE]])</f>
        <v>2026</v>
      </c>
      <c r="V317" s="60" t="str">
        <f>TEXT(DATA[[#This Row],[ADMISSION DATE]],"mmm")</f>
        <v>Mar</v>
      </c>
      <c r="W317" s="59">
        <f>YEAR(DATA[[#This Row],[DISCHARGE DATE]])</f>
        <v>2026</v>
      </c>
      <c r="X317" s="60" t="str">
        <f>TEXT(DATA[[#This Row],[DISCHARGE DATE]],"mmm")</f>
        <v>Jul</v>
      </c>
    </row>
    <row r="318" spans="1:24" s="27" customFormat="1" ht="16.5" customHeight="1">
      <c r="A318" s="150" t="s">
        <v>1369</v>
      </c>
      <c r="B318" s="151" t="s">
        <v>1370</v>
      </c>
      <c r="C318" s="151">
        <v>68</v>
      </c>
      <c r="D318" s="152" t="s">
        <v>12</v>
      </c>
      <c r="E318" s="152" t="s">
        <v>1371</v>
      </c>
      <c r="F318" s="153">
        <v>551128941</v>
      </c>
      <c r="G318" s="152" t="s">
        <v>13</v>
      </c>
      <c r="H318" s="154">
        <v>0.58333333333333337</v>
      </c>
      <c r="I318" s="152" t="s">
        <v>20</v>
      </c>
      <c r="J318" s="155">
        <v>46100</v>
      </c>
      <c r="K318" s="155">
        <v>46325</v>
      </c>
      <c r="L318" s="151">
        <f>IF(ISBLANK(DATA[[#This Row],[DISCHARGE DATE]]),"NO DATE", DATA[[#This Row],[DISCHARGE DATE]]-DATA[[#This Row],[ADMISSION DATE]]+1)</f>
        <v>226</v>
      </c>
      <c r="M318" s="156">
        <v>350</v>
      </c>
      <c r="N318" s="156"/>
      <c r="O318" s="157">
        <v>322</v>
      </c>
      <c r="P318" s="157"/>
      <c r="Q318" s="158">
        <f>IF(DATA[[#This Row],[STORAGE FEE]]=0,"NULL",DATA[[#This Row],[COLDROOM FEE]])-DATA[[#This Row],[STORAGE FEE]]</f>
        <v>-4520</v>
      </c>
      <c r="R318" s="158">
        <f>IF(ISBLANK(DATA[[#This Row],[DISCHARGE DATE]]),0,IF(DATA[[#This Row],[TYPE]]="VIP",20*DATA[[#This Row],[STORAGE DAYS]],13*DATA[[#This Row],[STORAGE DAYS]]))</f>
        <v>4520</v>
      </c>
      <c r="S318" s="71" t="str">
        <f>IF(ISBLANK(DATA[[#This Row],[COLDROOM RECEIPT]]), "IN CUSTODY", "DISCHARGED")</f>
        <v>IN CUSTODY</v>
      </c>
      <c r="T318" s="58">
        <f>COUNTA(A:A)-2</f>
        <v>419</v>
      </c>
      <c r="U318" s="59">
        <f>YEAR(DATA[[#This Row],[ADMISSION DATE]])</f>
        <v>2026</v>
      </c>
      <c r="V318" s="60" t="str">
        <f>TEXT(DATA[[#This Row],[ADMISSION DATE]],"mmm")</f>
        <v>Mar</v>
      </c>
      <c r="W318" s="59">
        <f>YEAR(DATA[[#This Row],[DISCHARGE DATE]])</f>
        <v>2026</v>
      </c>
      <c r="X318" s="60" t="str">
        <f>TEXT(DATA[[#This Row],[DISCHARGE DATE]],"mmm")</f>
        <v>Oct</v>
      </c>
    </row>
    <row r="319" spans="1:24" s="27" customFormat="1" ht="16.5" hidden="1" customHeight="1">
      <c r="A319" s="150" t="s">
        <v>1372</v>
      </c>
      <c r="B319" s="151" t="s">
        <v>1373</v>
      </c>
      <c r="C319" s="151">
        <v>63</v>
      </c>
      <c r="D319" s="152" t="s">
        <v>12</v>
      </c>
      <c r="E319" s="152" t="s">
        <v>1374</v>
      </c>
      <c r="F319" s="153">
        <v>246866890</v>
      </c>
      <c r="G319" s="152" t="s">
        <v>13</v>
      </c>
      <c r="H319" s="154">
        <v>0.64722222222222225</v>
      </c>
      <c r="I319" s="152" t="s">
        <v>18</v>
      </c>
      <c r="J319" s="155">
        <v>46117</v>
      </c>
      <c r="K319" s="155">
        <v>46269</v>
      </c>
      <c r="L319" s="151">
        <f>IF(ISBLANK(DATA[[#This Row],[DISCHARGE DATE]]),"NO DATE", DATA[[#This Row],[DISCHARGE DATE]]-DATA[[#This Row],[ADMISSION DATE]]+1)</f>
        <v>153</v>
      </c>
      <c r="M319" s="156">
        <v>350</v>
      </c>
      <c r="N319" s="156">
        <v>1989</v>
      </c>
      <c r="O319" s="157">
        <v>330</v>
      </c>
      <c r="P319" s="157">
        <v>352</v>
      </c>
      <c r="Q319" s="158">
        <f>IF(DATA[[#This Row],[STORAGE FEE]]=0,"NULL",DATA[[#This Row],[COLDROOM FEE]])-DATA[[#This Row],[STORAGE FEE]]</f>
        <v>0</v>
      </c>
      <c r="R319" s="158">
        <f>IF(ISBLANK(DATA[[#This Row],[DISCHARGE DATE]]),0,IF(DATA[[#This Row],[TYPE]]="VIP",20*DATA[[#This Row],[STORAGE DAYS]],13*DATA[[#This Row],[STORAGE DAYS]]))</f>
        <v>1989</v>
      </c>
      <c r="S319" s="71" t="str">
        <f>IF(ISBLANK(DATA[[#This Row],[COLDROOM RECEIPT]]), "IN CUSTODY", "DISCHARGED")</f>
        <v>DISCHARGED</v>
      </c>
      <c r="T319" s="58">
        <f>COUNTA(A:A)-2</f>
        <v>419</v>
      </c>
      <c r="U319" s="59">
        <f>YEAR(DATA[[#This Row],[ADMISSION DATE]])</f>
        <v>2026</v>
      </c>
      <c r="V319" s="60" t="str">
        <f>TEXT(DATA[[#This Row],[ADMISSION DATE]],"mmm")</f>
        <v>Apr</v>
      </c>
      <c r="W319" s="59">
        <f>YEAR(DATA[[#This Row],[DISCHARGE DATE]])</f>
        <v>2026</v>
      </c>
      <c r="X319" s="60" t="str">
        <f>TEXT(DATA[[#This Row],[DISCHARGE DATE]],"mmm")</f>
        <v>Sep</v>
      </c>
    </row>
    <row r="320" spans="1:24" s="27" customFormat="1" ht="16.5" hidden="1" customHeight="1">
      <c r="A320" s="150" t="s">
        <v>1375</v>
      </c>
      <c r="B320" s="151" t="s">
        <v>1376</v>
      </c>
      <c r="C320" s="151">
        <v>65</v>
      </c>
      <c r="D320" s="152" t="s">
        <v>11</v>
      </c>
      <c r="E320" s="152" t="s">
        <v>1377</v>
      </c>
      <c r="F320" s="153">
        <v>249805409</v>
      </c>
      <c r="G320" s="152" t="s">
        <v>13</v>
      </c>
      <c r="H320" s="154">
        <v>0.58333333333333337</v>
      </c>
      <c r="I320" s="152" t="s">
        <v>18</v>
      </c>
      <c r="J320" s="155">
        <v>46101</v>
      </c>
      <c r="K320" s="155">
        <v>46157</v>
      </c>
      <c r="L320" s="151">
        <f>IF(ISBLANK(DATA[[#This Row],[DISCHARGE DATE]]),"NO DATE", DATA[[#This Row],[DISCHARGE DATE]]-DATA[[#This Row],[ADMISSION DATE]]+1)</f>
        <v>57</v>
      </c>
      <c r="M320" s="156">
        <v>350</v>
      </c>
      <c r="N320" s="156">
        <v>741</v>
      </c>
      <c r="O320" s="157">
        <v>324</v>
      </c>
      <c r="P320" s="157">
        <v>300</v>
      </c>
      <c r="Q320" s="158">
        <f>IF(DATA[[#This Row],[STORAGE FEE]]=0,"NULL",DATA[[#This Row],[COLDROOM FEE]])-DATA[[#This Row],[STORAGE FEE]]</f>
        <v>0</v>
      </c>
      <c r="R320" s="158">
        <f>IF(ISBLANK(DATA[[#This Row],[DISCHARGE DATE]]),0,IF(DATA[[#This Row],[TYPE]]="VIP",20*DATA[[#This Row],[STORAGE DAYS]],13*DATA[[#This Row],[STORAGE DAYS]]))</f>
        <v>741</v>
      </c>
      <c r="S320" s="71" t="str">
        <f>IF(ISBLANK(DATA[[#This Row],[COLDROOM RECEIPT]]), "IN CUSTODY", "DISCHARGED")</f>
        <v>DISCHARGED</v>
      </c>
      <c r="T320" s="58">
        <f>COUNTA(A:A)-2</f>
        <v>419</v>
      </c>
      <c r="U320" s="59">
        <f>YEAR(DATA[[#This Row],[ADMISSION DATE]])</f>
        <v>2026</v>
      </c>
      <c r="V320" s="60" t="str">
        <f>TEXT(DATA[[#This Row],[ADMISSION DATE]],"mmm")</f>
        <v>Mar</v>
      </c>
      <c r="W320" s="59">
        <f>YEAR(DATA[[#This Row],[DISCHARGE DATE]])</f>
        <v>2026</v>
      </c>
      <c r="X320" s="60" t="str">
        <f>TEXT(DATA[[#This Row],[DISCHARGE DATE]],"mmm")</f>
        <v>May</v>
      </c>
    </row>
    <row r="321" spans="1:24" s="27" customFormat="1" ht="16.5" customHeight="1">
      <c r="A321" s="150" t="s">
        <v>1378</v>
      </c>
      <c r="B321" s="151" t="s">
        <v>1379</v>
      </c>
      <c r="C321" s="151">
        <v>80</v>
      </c>
      <c r="D321" s="152" t="s">
        <v>11</v>
      </c>
      <c r="E321" s="152" t="s">
        <v>1380</v>
      </c>
      <c r="F321" s="153">
        <v>536831856</v>
      </c>
      <c r="G321" s="152" t="s">
        <v>15</v>
      </c>
      <c r="H321" s="154">
        <v>0.3125</v>
      </c>
      <c r="I321" s="152" t="s">
        <v>18</v>
      </c>
      <c r="J321" s="155">
        <v>46107</v>
      </c>
      <c r="K321" s="155"/>
      <c r="L321" s="151" t="str">
        <f>IF(ISBLANK(DATA[[#This Row],[DISCHARGE DATE]]),"NO DATE", DATA[[#This Row],[DISCHARGE DATE]]-DATA[[#This Row],[ADMISSION DATE]]+1)</f>
        <v>NO DATE</v>
      </c>
      <c r="M321" s="156">
        <v>350</v>
      </c>
      <c r="N321" s="156"/>
      <c r="O321" s="157">
        <v>325</v>
      </c>
      <c r="P321" s="157"/>
      <c r="Q321" s="158" t="e">
        <f>IF(DATA[[#This Row],[STORAGE FEE]]=0,"NULL",DATA[[#This Row],[COLDROOM FEE]])-DATA[[#This Row],[STORAGE FEE]]</f>
        <v>#VALUE!</v>
      </c>
      <c r="R321" s="158">
        <f>IF(ISBLANK(DATA[[#This Row],[DISCHARGE DATE]]),0,IF(DATA[[#This Row],[TYPE]]="VIP",20*DATA[[#This Row],[STORAGE DAYS]],13*DATA[[#This Row],[STORAGE DAYS]]))</f>
        <v>0</v>
      </c>
      <c r="S321" s="71" t="str">
        <f>IF(ISBLANK(DATA[[#This Row],[COLDROOM RECEIPT]]), "IN CUSTODY", "DISCHARGED")</f>
        <v>IN CUSTODY</v>
      </c>
      <c r="T321" s="58">
        <f>COUNTA(A:A)-2</f>
        <v>419</v>
      </c>
      <c r="U321" s="59">
        <f>YEAR(DATA[[#This Row],[ADMISSION DATE]])</f>
        <v>2026</v>
      </c>
      <c r="V321" s="60" t="str">
        <f>TEXT(DATA[[#This Row],[ADMISSION DATE]],"mmm")</f>
        <v>Mar</v>
      </c>
      <c r="W321" s="59">
        <f>YEAR(DATA[[#This Row],[DISCHARGE DATE]])</f>
        <v>1900</v>
      </c>
      <c r="X321" s="60" t="str">
        <f>TEXT(DATA[[#This Row],[DISCHARGE DATE]],"mmm")</f>
        <v>Jan</v>
      </c>
    </row>
    <row r="322" spans="1:24" s="27" customFormat="1" ht="16.5" hidden="1" customHeight="1">
      <c r="A322" s="150" t="s">
        <v>1381</v>
      </c>
      <c r="B322" s="151" t="s">
        <v>1382</v>
      </c>
      <c r="C322" s="151">
        <v>42</v>
      </c>
      <c r="D322" s="152" t="s">
        <v>12</v>
      </c>
      <c r="E322" s="152" t="s">
        <v>1383</v>
      </c>
      <c r="F322" s="153">
        <v>548631935</v>
      </c>
      <c r="G322" s="152" t="s">
        <v>33</v>
      </c>
      <c r="H322" s="154">
        <v>0.97916666666666663</v>
      </c>
      <c r="I322" s="152" t="s">
        <v>20</v>
      </c>
      <c r="J322" s="155">
        <v>46107</v>
      </c>
      <c r="K322" s="155">
        <v>46185</v>
      </c>
      <c r="L322" s="151">
        <f>IF(ISBLANK(DATA[[#This Row],[DISCHARGE DATE]]),"NO DATE", DATA[[#This Row],[DISCHARGE DATE]]-DATA[[#This Row],[ADMISSION DATE]]+1)</f>
        <v>79</v>
      </c>
      <c r="M322" s="156">
        <v>350</v>
      </c>
      <c r="N322" s="156">
        <v>1580</v>
      </c>
      <c r="O322" s="157">
        <v>326</v>
      </c>
      <c r="P322" s="157">
        <v>320</v>
      </c>
      <c r="Q322" s="158">
        <f>IF(DATA[[#This Row],[STORAGE FEE]]=0,"NULL",DATA[[#This Row],[COLDROOM FEE]])-DATA[[#This Row],[STORAGE FEE]]</f>
        <v>0</v>
      </c>
      <c r="R322" s="158">
        <f>IF(ISBLANK(DATA[[#This Row],[DISCHARGE DATE]]),0,IF(DATA[[#This Row],[TYPE]]="VIP",20*DATA[[#This Row],[STORAGE DAYS]],13*DATA[[#This Row],[STORAGE DAYS]]))</f>
        <v>1580</v>
      </c>
      <c r="S322" s="71" t="str">
        <f>IF(ISBLANK(DATA[[#This Row],[COLDROOM RECEIPT]]), "IN CUSTODY", "DISCHARGED")</f>
        <v>DISCHARGED</v>
      </c>
      <c r="T322" s="58">
        <f>COUNTA(A:A)-2</f>
        <v>419</v>
      </c>
      <c r="U322" s="59">
        <f>YEAR(DATA[[#This Row],[ADMISSION DATE]])</f>
        <v>2026</v>
      </c>
      <c r="V322" s="60" t="str">
        <f>TEXT(DATA[[#This Row],[ADMISSION DATE]],"mmm")</f>
        <v>Mar</v>
      </c>
      <c r="W322" s="59">
        <f>YEAR(DATA[[#This Row],[DISCHARGE DATE]])</f>
        <v>2026</v>
      </c>
      <c r="X322" s="60" t="str">
        <f>TEXT(DATA[[#This Row],[DISCHARGE DATE]],"mmm")</f>
        <v>Jun</v>
      </c>
    </row>
    <row r="323" spans="1:24" s="27" customFormat="1" ht="16.5" hidden="1" customHeight="1">
      <c r="A323" s="150" t="s">
        <v>1384</v>
      </c>
      <c r="B323" s="151" t="s">
        <v>140</v>
      </c>
      <c r="C323" s="151">
        <v>85</v>
      </c>
      <c r="D323" s="152" t="s">
        <v>12</v>
      </c>
      <c r="E323" s="152" t="s">
        <v>1385</v>
      </c>
      <c r="F323" s="153">
        <v>242927126</v>
      </c>
      <c r="G323" s="152" t="s">
        <v>13</v>
      </c>
      <c r="H323" s="154">
        <v>0.33333333333333331</v>
      </c>
      <c r="I323" s="152" t="s">
        <v>18</v>
      </c>
      <c r="J323" s="155">
        <v>46109</v>
      </c>
      <c r="K323" s="155">
        <v>46171</v>
      </c>
      <c r="L323" s="151">
        <f>IF(ISBLANK(DATA[[#This Row],[DISCHARGE DATE]]),"NO DATE", DATA[[#This Row],[DISCHARGE DATE]]-DATA[[#This Row],[ADMISSION DATE]]+1)</f>
        <v>63</v>
      </c>
      <c r="M323" s="156">
        <v>350</v>
      </c>
      <c r="N323" s="156">
        <v>819</v>
      </c>
      <c r="O323" s="157">
        <v>327</v>
      </c>
      <c r="P323" s="157">
        <v>309</v>
      </c>
      <c r="Q323" s="158">
        <f>IF(DATA[[#This Row],[STORAGE FEE]]=0,"NULL",DATA[[#This Row],[COLDROOM FEE]])-DATA[[#This Row],[STORAGE FEE]]</f>
        <v>0</v>
      </c>
      <c r="R323" s="158">
        <f>IF(ISBLANK(DATA[[#This Row],[DISCHARGE DATE]]),0,IF(DATA[[#This Row],[TYPE]]="VIP",20*DATA[[#This Row],[STORAGE DAYS]],13*DATA[[#This Row],[STORAGE DAYS]]))</f>
        <v>819</v>
      </c>
      <c r="S323" s="71" t="str">
        <f>IF(ISBLANK(DATA[[#This Row],[COLDROOM RECEIPT]]), "IN CUSTODY", "DISCHARGED")</f>
        <v>DISCHARGED</v>
      </c>
      <c r="T323" s="58">
        <f>COUNTA(A:A)-2</f>
        <v>419</v>
      </c>
      <c r="U323" s="59">
        <f>YEAR(DATA[[#This Row],[ADMISSION DATE]])</f>
        <v>2026</v>
      </c>
      <c r="V323" s="60" t="str">
        <f>TEXT(DATA[[#This Row],[ADMISSION DATE]],"mmm")</f>
        <v>Mar</v>
      </c>
      <c r="W323" s="59">
        <f>YEAR(DATA[[#This Row],[DISCHARGE DATE]])</f>
        <v>2026</v>
      </c>
      <c r="X323" s="60" t="str">
        <f>TEXT(DATA[[#This Row],[DISCHARGE DATE]],"mmm")</f>
        <v>May</v>
      </c>
    </row>
    <row r="324" spans="1:24" s="27" customFormat="1" ht="16.5" hidden="1" customHeight="1">
      <c r="A324" s="150" t="s">
        <v>1386</v>
      </c>
      <c r="B324" s="151" t="s">
        <v>1387</v>
      </c>
      <c r="C324" s="151">
        <v>43</v>
      </c>
      <c r="D324" s="152" t="s">
        <v>12</v>
      </c>
      <c r="E324" s="152" t="s">
        <v>1388</v>
      </c>
      <c r="F324" s="153">
        <v>242019918</v>
      </c>
      <c r="G324" s="152" t="s">
        <v>17</v>
      </c>
      <c r="H324" s="154">
        <v>0.72916666666666663</v>
      </c>
      <c r="I324" s="152" t="s">
        <v>18</v>
      </c>
      <c r="J324" s="155">
        <v>46113</v>
      </c>
      <c r="K324" s="155">
        <v>46164</v>
      </c>
      <c r="L324" s="151">
        <f>IF(ISBLANK(DATA[[#This Row],[DISCHARGE DATE]]),"NO DATE", DATA[[#This Row],[DISCHARGE DATE]]-DATA[[#This Row],[ADMISSION DATE]]+1)</f>
        <v>52</v>
      </c>
      <c r="M324" s="156">
        <v>350</v>
      </c>
      <c r="N324" s="156">
        <v>676</v>
      </c>
      <c r="O324" s="157">
        <v>328</v>
      </c>
      <c r="P324" s="157">
        <v>304</v>
      </c>
      <c r="Q324" s="158">
        <f>IF(DATA[[#This Row],[STORAGE FEE]]=0,"NULL",DATA[[#This Row],[COLDROOM FEE]])-DATA[[#This Row],[STORAGE FEE]]</f>
        <v>0</v>
      </c>
      <c r="R324" s="158">
        <f>IF(ISBLANK(DATA[[#This Row],[DISCHARGE DATE]]),0,IF(DATA[[#This Row],[TYPE]]="VIP",20*DATA[[#This Row],[STORAGE DAYS]],13*DATA[[#This Row],[STORAGE DAYS]]))</f>
        <v>676</v>
      </c>
      <c r="S324" s="71" t="str">
        <f>IF(ISBLANK(DATA[[#This Row],[COLDROOM RECEIPT]]), "IN CUSTODY", "DISCHARGED")</f>
        <v>DISCHARGED</v>
      </c>
      <c r="T324" s="58">
        <f>COUNTA(A:A)-2</f>
        <v>419</v>
      </c>
      <c r="U324" s="59">
        <f>YEAR(DATA[[#This Row],[ADMISSION DATE]])</f>
        <v>2026</v>
      </c>
      <c r="V324" s="60" t="str">
        <f>TEXT(DATA[[#This Row],[ADMISSION DATE]],"mmm")</f>
        <v>Apr</v>
      </c>
      <c r="W324" s="59">
        <f>YEAR(DATA[[#This Row],[DISCHARGE DATE]])</f>
        <v>2026</v>
      </c>
      <c r="X324" s="60" t="str">
        <f>TEXT(DATA[[#This Row],[DISCHARGE DATE]],"mmm")</f>
        <v>May</v>
      </c>
    </row>
    <row r="325" spans="1:24" s="27" customFormat="1" ht="16.5" customHeight="1">
      <c r="A325" s="150" t="s">
        <v>1389</v>
      </c>
      <c r="B325" s="151" t="s">
        <v>1390</v>
      </c>
      <c r="C325" s="151">
        <v>54</v>
      </c>
      <c r="D325" s="152" t="s">
        <v>12</v>
      </c>
      <c r="E325" s="152" t="s">
        <v>1391</v>
      </c>
      <c r="F325" s="153">
        <v>598796666</v>
      </c>
      <c r="G325" s="152" t="s">
        <v>16</v>
      </c>
      <c r="H325" s="154">
        <v>0.83333333333333337</v>
      </c>
      <c r="I325" s="152" t="s">
        <v>18</v>
      </c>
      <c r="J325" s="155">
        <v>46114</v>
      </c>
      <c r="K325" s="155"/>
      <c r="L325" s="151" t="str">
        <f>IF(ISBLANK(DATA[[#This Row],[DISCHARGE DATE]]),"NO DATE", DATA[[#This Row],[DISCHARGE DATE]]-DATA[[#This Row],[ADMISSION DATE]]+1)</f>
        <v>NO DATE</v>
      </c>
      <c r="M325" s="156">
        <v>350</v>
      </c>
      <c r="N325" s="156"/>
      <c r="O325" s="157">
        <v>329</v>
      </c>
      <c r="P325" s="157"/>
      <c r="Q325" s="158" t="e">
        <f>IF(DATA[[#This Row],[STORAGE FEE]]=0,"NULL",DATA[[#This Row],[COLDROOM FEE]])-DATA[[#This Row],[STORAGE FEE]]</f>
        <v>#VALUE!</v>
      </c>
      <c r="R325" s="158">
        <f>IF(ISBLANK(DATA[[#This Row],[DISCHARGE DATE]]),0,IF(DATA[[#This Row],[TYPE]]="VIP",20*DATA[[#This Row],[STORAGE DAYS]],13*DATA[[#This Row],[STORAGE DAYS]]))</f>
        <v>0</v>
      </c>
      <c r="S325" s="71" t="str">
        <f>IF(ISBLANK(DATA[[#This Row],[COLDROOM RECEIPT]]), "IN CUSTODY", "DISCHARGED")</f>
        <v>IN CUSTODY</v>
      </c>
      <c r="T325" s="58">
        <f>COUNTA(A:A)-2</f>
        <v>419</v>
      </c>
      <c r="U325" s="59">
        <f>YEAR(DATA[[#This Row],[ADMISSION DATE]])</f>
        <v>2026</v>
      </c>
      <c r="V325" s="60" t="str">
        <f>TEXT(DATA[[#This Row],[ADMISSION DATE]],"mmm")</f>
        <v>Apr</v>
      </c>
      <c r="W325" s="59">
        <f>YEAR(DATA[[#This Row],[DISCHARGE DATE]])</f>
        <v>1900</v>
      </c>
      <c r="X325" s="60" t="str">
        <f>TEXT(DATA[[#This Row],[DISCHARGE DATE]],"mmm")</f>
        <v>Jan</v>
      </c>
    </row>
    <row r="326" spans="1:24" s="119" customFormat="1" ht="16.5" hidden="1" customHeight="1">
      <c r="A326" s="150" t="s">
        <v>1392</v>
      </c>
      <c r="B326" s="151" t="s">
        <v>1393</v>
      </c>
      <c r="C326" s="151">
        <v>57</v>
      </c>
      <c r="D326" s="152" t="s">
        <v>11</v>
      </c>
      <c r="E326" s="152" t="s">
        <v>1394</v>
      </c>
      <c r="F326" s="153">
        <v>248657543</v>
      </c>
      <c r="G326" s="152" t="s">
        <v>13</v>
      </c>
      <c r="H326" s="154">
        <v>0.57638888888888884</v>
      </c>
      <c r="I326" s="152" t="s">
        <v>18</v>
      </c>
      <c r="J326" s="155">
        <v>46132</v>
      </c>
      <c r="K326" s="155">
        <v>46269</v>
      </c>
      <c r="L326" s="151">
        <f>IF(ISBLANK(DATA[[#This Row],[DISCHARGE DATE]]),"NO DATE", DATA[[#This Row],[DISCHARGE DATE]]-DATA[[#This Row],[ADMISSION DATE]]+1)</f>
        <v>138</v>
      </c>
      <c r="M326" s="156">
        <v>350</v>
      </c>
      <c r="N326" s="156">
        <v>1794</v>
      </c>
      <c r="O326" s="157">
        <v>336</v>
      </c>
      <c r="P326" s="157">
        <v>353</v>
      </c>
      <c r="Q326" s="158">
        <f>IF(DATA[[#This Row],[STORAGE FEE]]=0,"NULL",DATA[[#This Row],[COLDROOM FEE]])-DATA[[#This Row],[STORAGE FEE]]</f>
        <v>0</v>
      </c>
      <c r="R326" s="158">
        <f>IF(ISBLANK(DATA[[#This Row],[DISCHARGE DATE]]),0,IF(DATA[[#This Row],[TYPE]]="VIP",20*DATA[[#This Row],[STORAGE DAYS]],13*DATA[[#This Row],[STORAGE DAYS]]))</f>
        <v>1794</v>
      </c>
      <c r="S326" s="71" t="str">
        <f>IF(ISBLANK(DATA[[#This Row],[COLDROOM RECEIPT]]), "IN CUSTODY", "DISCHARGED")</f>
        <v>DISCHARGED</v>
      </c>
      <c r="T326" s="58">
        <f>COUNTA(A:A)-2</f>
        <v>419</v>
      </c>
      <c r="U326" s="59">
        <f>YEAR(DATA[[#This Row],[ADMISSION DATE]])</f>
        <v>2026</v>
      </c>
      <c r="V326" s="60" t="str">
        <f>TEXT(DATA[[#This Row],[ADMISSION DATE]],"mmm")</f>
        <v>Apr</v>
      </c>
      <c r="W326" s="59">
        <f>YEAR(DATA[[#This Row],[DISCHARGE DATE]])</f>
        <v>2026</v>
      </c>
      <c r="X326" s="60" t="str">
        <f>TEXT(DATA[[#This Row],[DISCHARGE DATE]],"mmm")</f>
        <v>Sep</v>
      </c>
    </row>
    <row r="327" spans="1:24" s="119" customFormat="1" ht="16.5" hidden="1" customHeight="1">
      <c r="A327" s="150" t="s">
        <v>1395</v>
      </c>
      <c r="B327" s="151" t="s">
        <v>70</v>
      </c>
      <c r="C327" s="151">
        <v>54</v>
      </c>
      <c r="D327" s="152" t="s">
        <v>11</v>
      </c>
      <c r="E327" s="152" t="s">
        <v>140</v>
      </c>
      <c r="F327" s="153">
        <v>241406611</v>
      </c>
      <c r="G327" s="152" t="s">
        <v>13</v>
      </c>
      <c r="H327" s="154">
        <v>0.4826388888888889</v>
      </c>
      <c r="I327" s="152" t="s">
        <v>20</v>
      </c>
      <c r="J327" s="155">
        <v>46118</v>
      </c>
      <c r="K327" s="155">
        <v>46143</v>
      </c>
      <c r="L327" s="151">
        <f>IF(ISBLANK(DATA[[#This Row],[DISCHARGE DATE]]),"NO DATE", DATA[[#This Row],[DISCHARGE DATE]]-DATA[[#This Row],[ADMISSION DATE]]+1)</f>
        <v>26</v>
      </c>
      <c r="M327" s="156">
        <v>350</v>
      </c>
      <c r="N327" s="156">
        <v>520</v>
      </c>
      <c r="O327" s="157">
        <v>331</v>
      </c>
      <c r="P327" s="157">
        <v>273</v>
      </c>
      <c r="Q327" s="158">
        <f>IF(DATA[[#This Row],[STORAGE FEE]]=0,"NULL",DATA[[#This Row],[COLDROOM FEE]])-DATA[[#This Row],[STORAGE FEE]]</f>
        <v>0</v>
      </c>
      <c r="R327" s="158">
        <f>IF(ISBLANK(DATA[[#This Row],[DISCHARGE DATE]]),0,IF(DATA[[#This Row],[TYPE]]="VIP",20*DATA[[#This Row],[STORAGE DAYS]],13*DATA[[#This Row],[STORAGE DAYS]]))</f>
        <v>520</v>
      </c>
      <c r="S327" s="71" t="str">
        <f>IF(ISBLANK(DATA[[#This Row],[COLDROOM RECEIPT]]), "IN CUSTODY", "DISCHARGED")</f>
        <v>DISCHARGED</v>
      </c>
      <c r="T327" s="58">
        <f>COUNTA(A:A)-2</f>
        <v>419</v>
      </c>
      <c r="U327" s="59">
        <f>YEAR(DATA[[#This Row],[ADMISSION DATE]])</f>
        <v>2026</v>
      </c>
      <c r="V327" s="60" t="str">
        <f>TEXT(DATA[[#This Row],[ADMISSION DATE]],"mmm")</f>
        <v>Apr</v>
      </c>
      <c r="W327" s="59">
        <f>YEAR(DATA[[#This Row],[DISCHARGE DATE]])</f>
        <v>2026</v>
      </c>
      <c r="X327" s="60" t="str">
        <f>TEXT(DATA[[#This Row],[DISCHARGE DATE]],"mmm")</f>
        <v>May</v>
      </c>
    </row>
    <row r="328" spans="1:24" s="27" customFormat="1" ht="16.5" hidden="1" customHeight="1">
      <c r="A328" s="150" t="s">
        <v>1396</v>
      </c>
      <c r="B328" s="151" t="s">
        <v>1397</v>
      </c>
      <c r="C328" s="151">
        <v>66</v>
      </c>
      <c r="D328" s="152" t="s">
        <v>11</v>
      </c>
      <c r="E328" s="152" t="s">
        <v>1398</v>
      </c>
      <c r="F328" s="153">
        <v>545342393</v>
      </c>
      <c r="G328" s="152" t="s">
        <v>13</v>
      </c>
      <c r="H328" s="154">
        <v>0.4236111111111111</v>
      </c>
      <c r="I328" s="152" t="s">
        <v>20</v>
      </c>
      <c r="J328" s="155">
        <v>46125</v>
      </c>
      <c r="K328" s="155">
        <v>46206</v>
      </c>
      <c r="L328" s="151">
        <f>IF(ISBLANK(DATA[[#This Row],[DISCHARGE DATE]]),"NO DATE", DATA[[#This Row],[DISCHARGE DATE]]-DATA[[#This Row],[ADMISSION DATE]]+1)</f>
        <v>82</v>
      </c>
      <c r="M328" s="156">
        <v>350</v>
      </c>
      <c r="N328" s="156">
        <v>1640</v>
      </c>
      <c r="O328" s="157">
        <v>332</v>
      </c>
      <c r="P328" s="157">
        <v>329</v>
      </c>
      <c r="Q328" s="158">
        <f>IF(DATA[[#This Row],[STORAGE FEE]]=0,"NULL",DATA[[#This Row],[COLDROOM FEE]])-DATA[[#This Row],[STORAGE FEE]]</f>
        <v>0</v>
      </c>
      <c r="R328" s="158">
        <f>IF(ISBLANK(DATA[[#This Row],[DISCHARGE DATE]]),0,IF(DATA[[#This Row],[TYPE]]="VIP",20*DATA[[#This Row],[STORAGE DAYS]],13*DATA[[#This Row],[STORAGE DAYS]]))</f>
        <v>1640</v>
      </c>
      <c r="S328" s="71" t="str">
        <f>IF(ISBLANK(DATA[[#This Row],[COLDROOM RECEIPT]]), "IN CUSTODY", "DISCHARGED")</f>
        <v>DISCHARGED</v>
      </c>
      <c r="T328" s="58">
        <f>COUNTA(A:A)-2</f>
        <v>419</v>
      </c>
      <c r="U328" s="59">
        <f>YEAR(DATA[[#This Row],[ADMISSION DATE]])</f>
        <v>2026</v>
      </c>
      <c r="V328" s="60" t="str">
        <f>TEXT(DATA[[#This Row],[ADMISSION DATE]],"mmm")</f>
        <v>Apr</v>
      </c>
      <c r="W328" s="59">
        <f>YEAR(DATA[[#This Row],[DISCHARGE DATE]])</f>
        <v>2026</v>
      </c>
      <c r="X328" s="60" t="str">
        <f>TEXT(DATA[[#This Row],[DISCHARGE DATE]],"mmm")</f>
        <v>Jul</v>
      </c>
    </row>
    <row r="329" spans="1:24" s="27" customFormat="1" ht="16.5" customHeight="1">
      <c r="A329" s="150" t="s">
        <v>1399</v>
      </c>
      <c r="B329" s="151" t="s">
        <v>1400</v>
      </c>
      <c r="C329" s="151">
        <v>87</v>
      </c>
      <c r="D329" s="152" t="s">
        <v>11</v>
      </c>
      <c r="E329" s="152" t="s">
        <v>1401</v>
      </c>
      <c r="F329" s="153">
        <v>536831856</v>
      </c>
      <c r="G329" s="152" t="s">
        <v>15</v>
      </c>
      <c r="H329" s="154">
        <v>0.3125</v>
      </c>
      <c r="I329" s="152" t="s">
        <v>18</v>
      </c>
      <c r="J329" s="155">
        <v>46128</v>
      </c>
      <c r="K329" s="155"/>
      <c r="L329" s="151" t="str">
        <f>IF(ISBLANK(DATA[[#This Row],[DISCHARGE DATE]]),"NO DATE", DATA[[#This Row],[DISCHARGE DATE]]-DATA[[#This Row],[ADMISSION DATE]]+1)</f>
        <v>NO DATE</v>
      </c>
      <c r="M329" s="156">
        <v>350</v>
      </c>
      <c r="N329" s="156"/>
      <c r="O329" s="157">
        <v>333</v>
      </c>
      <c r="P329" s="157"/>
      <c r="Q329" s="158" t="e">
        <f>IF(DATA[[#This Row],[STORAGE FEE]]=0,"NULL",DATA[[#This Row],[COLDROOM FEE]])-DATA[[#This Row],[STORAGE FEE]]</f>
        <v>#VALUE!</v>
      </c>
      <c r="R329" s="158">
        <f>IF(ISBLANK(DATA[[#This Row],[DISCHARGE DATE]]),0,IF(DATA[[#This Row],[TYPE]]="VIP",20*DATA[[#This Row],[STORAGE DAYS]],13*DATA[[#This Row],[STORAGE DAYS]]))</f>
        <v>0</v>
      </c>
      <c r="S329" s="71" t="str">
        <f>IF(ISBLANK(DATA[[#This Row],[COLDROOM RECEIPT]]), "IN CUSTODY", "DISCHARGED")</f>
        <v>IN CUSTODY</v>
      </c>
      <c r="T329" s="58">
        <f>COUNTA(A:A)-2</f>
        <v>419</v>
      </c>
      <c r="U329" s="59">
        <f>YEAR(DATA[[#This Row],[ADMISSION DATE]])</f>
        <v>2026</v>
      </c>
      <c r="V329" s="60" t="str">
        <f>TEXT(DATA[[#This Row],[ADMISSION DATE]],"mmm")</f>
        <v>Apr</v>
      </c>
      <c r="W329" s="59">
        <f>YEAR(DATA[[#This Row],[DISCHARGE DATE]])</f>
        <v>1900</v>
      </c>
      <c r="X329" s="60" t="str">
        <f>TEXT(DATA[[#This Row],[DISCHARGE DATE]],"mmm")</f>
        <v>Jan</v>
      </c>
    </row>
    <row r="330" spans="1:24" s="27" customFormat="1" ht="16.5" hidden="1" customHeight="1">
      <c r="A330" s="150" t="s">
        <v>1402</v>
      </c>
      <c r="B330" s="151" t="s">
        <v>1403</v>
      </c>
      <c r="C330" s="151">
        <v>90</v>
      </c>
      <c r="D330" s="152" t="s">
        <v>11</v>
      </c>
      <c r="E330" s="152" t="s">
        <v>1022</v>
      </c>
      <c r="F330" s="153">
        <v>246992460</v>
      </c>
      <c r="G330" s="152" t="s">
        <v>32</v>
      </c>
      <c r="H330" s="154">
        <v>0.85416666666666663</v>
      </c>
      <c r="I330" s="152" t="s">
        <v>18</v>
      </c>
      <c r="J330" s="155">
        <v>46128</v>
      </c>
      <c r="K330" s="155">
        <v>46248</v>
      </c>
      <c r="L330" s="151">
        <f>IF(ISBLANK(DATA[[#This Row],[DISCHARGE DATE]]),"NO DATE", DATA[[#This Row],[DISCHARGE DATE]]-DATA[[#This Row],[ADMISSION DATE]]+1)</f>
        <v>121</v>
      </c>
      <c r="M330" s="156">
        <v>350</v>
      </c>
      <c r="N330" s="156">
        <v>1573</v>
      </c>
      <c r="O330" s="157">
        <v>334</v>
      </c>
      <c r="P330" s="157">
        <v>342</v>
      </c>
      <c r="Q330" s="158">
        <f>IF(DATA[[#This Row],[STORAGE FEE]]=0,"NULL",DATA[[#This Row],[COLDROOM FEE]])-DATA[[#This Row],[STORAGE FEE]]</f>
        <v>0</v>
      </c>
      <c r="R330" s="158">
        <f>IF(ISBLANK(DATA[[#This Row],[DISCHARGE DATE]]),0,IF(DATA[[#This Row],[TYPE]]="VIP",20*DATA[[#This Row],[STORAGE DAYS]],13*DATA[[#This Row],[STORAGE DAYS]]))</f>
        <v>1573</v>
      </c>
      <c r="S330" s="71" t="str">
        <f>IF(ISBLANK(DATA[[#This Row],[COLDROOM RECEIPT]]), "IN CUSTODY", "DISCHARGED")</f>
        <v>DISCHARGED</v>
      </c>
      <c r="T330" s="58">
        <f>COUNTA(A:A)-2</f>
        <v>419</v>
      </c>
      <c r="U330" s="59">
        <f>YEAR(DATA[[#This Row],[ADMISSION DATE]])</f>
        <v>2026</v>
      </c>
      <c r="V330" s="60" t="str">
        <f>TEXT(DATA[[#This Row],[ADMISSION DATE]],"mmm")</f>
        <v>Apr</v>
      </c>
      <c r="W330" s="59">
        <f>YEAR(DATA[[#This Row],[DISCHARGE DATE]])</f>
        <v>2026</v>
      </c>
      <c r="X330" s="60" t="str">
        <f>TEXT(DATA[[#This Row],[DISCHARGE DATE]],"mmm")</f>
        <v>Aug</v>
      </c>
    </row>
    <row r="331" spans="1:24" s="27" customFormat="1" ht="16.5" hidden="1" customHeight="1">
      <c r="A331" s="150" t="s">
        <v>1404</v>
      </c>
      <c r="B331" s="151" t="s">
        <v>1405</v>
      </c>
      <c r="C331" s="151">
        <v>41</v>
      </c>
      <c r="D331" s="152" t="s">
        <v>11</v>
      </c>
      <c r="E331" s="152" t="s">
        <v>1406</v>
      </c>
      <c r="F331" s="153">
        <v>558603367</v>
      </c>
      <c r="G331" s="152" t="s">
        <v>15</v>
      </c>
      <c r="H331" s="154">
        <v>0.3125</v>
      </c>
      <c r="I331" s="152" t="s">
        <v>18</v>
      </c>
      <c r="J331" s="155">
        <v>46130</v>
      </c>
      <c r="K331" s="155">
        <v>46171</v>
      </c>
      <c r="L331" s="151">
        <f>IF(ISBLANK(DATA[[#This Row],[DISCHARGE DATE]]),"NO DATE", DATA[[#This Row],[DISCHARGE DATE]]-DATA[[#This Row],[ADMISSION DATE]]+1)</f>
        <v>42</v>
      </c>
      <c r="M331" s="156">
        <v>350</v>
      </c>
      <c r="N331" s="156">
        <v>546</v>
      </c>
      <c r="O331" s="157">
        <v>335</v>
      </c>
      <c r="P331" s="157">
        <v>313</v>
      </c>
      <c r="Q331" s="158">
        <f>IF(DATA[[#This Row],[STORAGE FEE]]=0,"NULL",DATA[[#This Row],[COLDROOM FEE]])-DATA[[#This Row],[STORAGE FEE]]</f>
        <v>0</v>
      </c>
      <c r="R331" s="158">
        <f>IF(ISBLANK(DATA[[#This Row],[DISCHARGE DATE]]),0,IF(DATA[[#This Row],[TYPE]]="VIP",20*DATA[[#This Row],[STORAGE DAYS]],13*DATA[[#This Row],[STORAGE DAYS]]))</f>
        <v>546</v>
      </c>
      <c r="S331" s="71" t="str">
        <f>IF(ISBLANK(DATA[[#This Row],[COLDROOM RECEIPT]]), "IN CUSTODY", "DISCHARGED")</f>
        <v>DISCHARGED</v>
      </c>
      <c r="T331" s="58">
        <f>COUNTA(A:A)-2</f>
        <v>419</v>
      </c>
      <c r="U331" s="59">
        <f>YEAR(DATA[[#This Row],[ADMISSION DATE]])</f>
        <v>2026</v>
      </c>
      <c r="V331" s="60" t="str">
        <f>TEXT(DATA[[#This Row],[ADMISSION DATE]],"mmm")</f>
        <v>Apr</v>
      </c>
      <c r="W331" s="59">
        <f>YEAR(DATA[[#This Row],[DISCHARGE DATE]])</f>
        <v>2026</v>
      </c>
      <c r="X331" s="60" t="str">
        <f>TEXT(DATA[[#This Row],[DISCHARGE DATE]],"mmm")</f>
        <v>May</v>
      </c>
    </row>
    <row r="332" spans="1:24" s="27" customFormat="1" ht="16.5" hidden="1" customHeight="1">
      <c r="A332" s="150" t="s">
        <v>1407</v>
      </c>
      <c r="B332" s="151" t="s">
        <v>1408</v>
      </c>
      <c r="C332" s="151">
        <v>86</v>
      </c>
      <c r="D332" s="152" t="s">
        <v>11</v>
      </c>
      <c r="E332" s="152" t="s">
        <v>563</v>
      </c>
      <c r="F332" s="153">
        <v>532089205</v>
      </c>
      <c r="G332" s="152" t="s">
        <v>16</v>
      </c>
      <c r="H332" s="154">
        <v>0.70833333333333337</v>
      </c>
      <c r="I332" s="152" t="s">
        <v>18</v>
      </c>
      <c r="J332" s="155">
        <v>46134</v>
      </c>
      <c r="K332" s="155">
        <v>46269</v>
      </c>
      <c r="L332" s="151">
        <f>IF(ISBLANK(DATA[[#This Row],[DISCHARGE DATE]]),"NO DATE", DATA[[#This Row],[DISCHARGE DATE]]-DATA[[#This Row],[ADMISSION DATE]]+1)</f>
        <v>136</v>
      </c>
      <c r="M332" s="156">
        <v>350</v>
      </c>
      <c r="N332" s="156">
        <v>1768</v>
      </c>
      <c r="O332" s="157">
        <v>340</v>
      </c>
      <c r="P332" s="157">
        <v>347</v>
      </c>
      <c r="Q332" s="158">
        <f>IF(DATA[[#This Row],[STORAGE FEE]]=0,"NULL",DATA[[#This Row],[COLDROOM FEE]])-DATA[[#This Row],[STORAGE FEE]]</f>
        <v>0</v>
      </c>
      <c r="R332" s="158">
        <f>IF(ISBLANK(DATA[[#This Row],[DISCHARGE DATE]]),0,IF(DATA[[#This Row],[TYPE]]="VIP",20*DATA[[#This Row],[STORAGE DAYS]],13*DATA[[#This Row],[STORAGE DAYS]]))</f>
        <v>1768</v>
      </c>
      <c r="S332" s="71" t="str">
        <f>IF(ISBLANK(DATA[[#This Row],[COLDROOM RECEIPT]]), "IN CUSTODY", "DISCHARGED")</f>
        <v>DISCHARGED</v>
      </c>
      <c r="T332" s="58">
        <f>COUNTA(A:A)-2</f>
        <v>419</v>
      </c>
      <c r="U332" s="59">
        <f>YEAR(DATA[[#This Row],[ADMISSION DATE]])</f>
        <v>2026</v>
      </c>
      <c r="V332" s="60" t="str">
        <f>TEXT(DATA[[#This Row],[ADMISSION DATE]],"mmm")</f>
        <v>Apr</v>
      </c>
      <c r="W332" s="59">
        <f>YEAR(DATA[[#This Row],[DISCHARGE DATE]])</f>
        <v>2026</v>
      </c>
      <c r="X332" s="60" t="str">
        <f>TEXT(DATA[[#This Row],[DISCHARGE DATE]],"mmm")</f>
        <v>Sep</v>
      </c>
    </row>
    <row r="333" spans="1:24" s="27" customFormat="1" ht="16.5" hidden="1" customHeight="1">
      <c r="A333" s="150" t="s">
        <v>1409</v>
      </c>
      <c r="B333" s="151" t="s">
        <v>1410</v>
      </c>
      <c r="C333" s="151">
        <v>48</v>
      </c>
      <c r="D333" s="152" t="s">
        <v>11</v>
      </c>
      <c r="E333" s="152" t="s">
        <v>540</v>
      </c>
      <c r="F333" s="153">
        <v>556474751</v>
      </c>
      <c r="G333" s="152" t="s">
        <v>13</v>
      </c>
      <c r="H333" s="154">
        <v>0.89583333333333337</v>
      </c>
      <c r="I333" s="152" t="s">
        <v>18</v>
      </c>
      <c r="J333" s="155">
        <v>46132</v>
      </c>
      <c r="K333" s="155">
        <v>46206</v>
      </c>
      <c r="L333" s="151">
        <f>IF(ISBLANK(DATA[[#This Row],[DISCHARGE DATE]]),"NO DATE", DATA[[#This Row],[DISCHARGE DATE]]-DATA[[#This Row],[ADMISSION DATE]]+1)</f>
        <v>75</v>
      </c>
      <c r="M333" s="156">
        <v>350</v>
      </c>
      <c r="N333" s="156">
        <v>975</v>
      </c>
      <c r="O333" s="157">
        <v>337</v>
      </c>
      <c r="P333" s="157">
        <v>323</v>
      </c>
      <c r="Q333" s="158">
        <f>IF(DATA[[#This Row],[STORAGE FEE]]=0,"NULL",DATA[[#This Row],[COLDROOM FEE]])-DATA[[#This Row],[STORAGE FEE]]</f>
        <v>0</v>
      </c>
      <c r="R333" s="158">
        <f>IF(ISBLANK(DATA[[#This Row],[DISCHARGE DATE]]),0,IF(DATA[[#This Row],[TYPE]]="VIP",20*DATA[[#This Row],[STORAGE DAYS]],13*DATA[[#This Row],[STORAGE DAYS]]))</f>
        <v>975</v>
      </c>
      <c r="S333" s="71" t="str">
        <f>IF(ISBLANK(DATA[[#This Row],[COLDROOM RECEIPT]]), "IN CUSTODY", "DISCHARGED")</f>
        <v>DISCHARGED</v>
      </c>
      <c r="T333" s="58">
        <f>COUNTA(A:A)-2</f>
        <v>419</v>
      </c>
      <c r="U333" s="59">
        <f>YEAR(DATA[[#This Row],[ADMISSION DATE]])</f>
        <v>2026</v>
      </c>
      <c r="V333" s="60" t="str">
        <f>TEXT(DATA[[#This Row],[ADMISSION DATE]],"mmm")</f>
        <v>Apr</v>
      </c>
      <c r="W333" s="59">
        <f>YEAR(DATA[[#This Row],[DISCHARGE DATE]])</f>
        <v>2026</v>
      </c>
      <c r="X333" s="60" t="str">
        <f>TEXT(DATA[[#This Row],[DISCHARGE DATE]],"mmm")</f>
        <v>Jul</v>
      </c>
    </row>
    <row r="334" spans="1:24" s="27" customFormat="1" ht="16.5" hidden="1" customHeight="1">
      <c r="A334" s="150" t="s">
        <v>1411</v>
      </c>
      <c r="B334" s="151" t="s">
        <v>1412</v>
      </c>
      <c r="C334" s="151">
        <v>45</v>
      </c>
      <c r="D334" s="152" t="s">
        <v>12</v>
      </c>
      <c r="E334" s="152" t="s">
        <v>1413</v>
      </c>
      <c r="F334" s="153">
        <v>543343484</v>
      </c>
      <c r="G334" s="152" t="s">
        <v>13</v>
      </c>
      <c r="H334" s="154">
        <v>0.1875</v>
      </c>
      <c r="I334" s="152" t="s">
        <v>18</v>
      </c>
      <c r="J334" s="155">
        <v>46133</v>
      </c>
      <c r="K334" s="155">
        <v>46206</v>
      </c>
      <c r="L334" s="151">
        <f>IF(ISBLANK(DATA[[#This Row],[DISCHARGE DATE]]),"NO DATE", DATA[[#This Row],[DISCHARGE DATE]]-DATA[[#This Row],[ADMISSION DATE]]+1)</f>
        <v>74</v>
      </c>
      <c r="M334" s="156">
        <v>350</v>
      </c>
      <c r="N334" s="156">
        <v>962</v>
      </c>
      <c r="O334" s="157">
        <v>338</v>
      </c>
      <c r="P334" s="157">
        <v>325</v>
      </c>
      <c r="Q334" s="158">
        <f>IF(DATA[[#This Row],[STORAGE FEE]]=0,"NULL",DATA[[#This Row],[COLDROOM FEE]])-DATA[[#This Row],[STORAGE FEE]]</f>
        <v>0</v>
      </c>
      <c r="R334" s="158">
        <f>IF(ISBLANK(DATA[[#This Row],[DISCHARGE DATE]]),0,IF(DATA[[#This Row],[TYPE]]="VIP",20*DATA[[#This Row],[STORAGE DAYS]],13*DATA[[#This Row],[STORAGE DAYS]]))</f>
        <v>962</v>
      </c>
      <c r="S334" s="71" t="str">
        <f>IF(ISBLANK(DATA[[#This Row],[COLDROOM RECEIPT]]), "IN CUSTODY", "DISCHARGED")</f>
        <v>DISCHARGED</v>
      </c>
      <c r="T334" s="58">
        <f>COUNTA(A:A)-2</f>
        <v>419</v>
      </c>
      <c r="U334" s="59">
        <f>YEAR(DATA[[#This Row],[ADMISSION DATE]])</f>
        <v>2026</v>
      </c>
      <c r="V334" s="60" t="str">
        <f>TEXT(DATA[[#This Row],[ADMISSION DATE]],"mmm")</f>
        <v>Apr</v>
      </c>
      <c r="W334" s="59">
        <f>YEAR(DATA[[#This Row],[DISCHARGE DATE]])</f>
        <v>2026</v>
      </c>
      <c r="X334" s="60" t="str">
        <f>TEXT(DATA[[#This Row],[DISCHARGE DATE]],"mmm")</f>
        <v>Jul</v>
      </c>
    </row>
    <row r="335" spans="1:24" s="27" customFormat="1" ht="16.5" hidden="1" customHeight="1">
      <c r="A335" s="150" t="s">
        <v>1414</v>
      </c>
      <c r="B335" s="151" t="s">
        <v>1415</v>
      </c>
      <c r="C335" s="151">
        <v>33</v>
      </c>
      <c r="D335" s="152" t="s">
        <v>11</v>
      </c>
      <c r="E335" s="152" t="s">
        <v>1416</v>
      </c>
      <c r="F335" s="153">
        <v>544489271</v>
      </c>
      <c r="G335" s="152" t="s">
        <v>15</v>
      </c>
      <c r="H335" s="154">
        <v>0.8125</v>
      </c>
      <c r="I335" s="152" t="s">
        <v>18</v>
      </c>
      <c r="J335" s="155">
        <v>46132</v>
      </c>
      <c r="K335" s="155">
        <v>46234</v>
      </c>
      <c r="L335" s="151">
        <f>IF(ISBLANK(DATA[[#This Row],[DISCHARGE DATE]]),"NO DATE", DATA[[#This Row],[DISCHARGE DATE]]-DATA[[#This Row],[ADMISSION DATE]]+1)</f>
        <v>103</v>
      </c>
      <c r="M335" s="156">
        <v>350</v>
      </c>
      <c r="N335" s="156">
        <v>1339</v>
      </c>
      <c r="O335" s="157">
        <v>339</v>
      </c>
      <c r="P335" s="157">
        <v>336</v>
      </c>
      <c r="Q335" s="158">
        <f>IF(DATA[[#This Row],[STORAGE FEE]]=0,"NULL",DATA[[#This Row],[COLDROOM FEE]])-DATA[[#This Row],[STORAGE FEE]]</f>
        <v>0</v>
      </c>
      <c r="R335" s="158">
        <f>IF(ISBLANK(DATA[[#This Row],[DISCHARGE DATE]]),0,IF(DATA[[#This Row],[TYPE]]="VIP",20*DATA[[#This Row],[STORAGE DAYS]],13*DATA[[#This Row],[STORAGE DAYS]]))</f>
        <v>1339</v>
      </c>
      <c r="S335" s="71" t="str">
        <f>IF(ISBLANK(DATA[[#This Row],[COLDROOM RECEIPT]]), "IN CUSTODY", "DISCHARGED")</f>
        <v>DISCHARGED</v>
      </c>
      <c r="T335" s="58">
        <f>COUNTA(A:A)-2</f>
        <v>419</v>
      </c>
      <c r="U335" s="59">
        <f>YEAR(DATA[[#This Row],[ADMISSION DATE]])</f>
        <v>2026</v>
      </c>
      <c r="V335" s="60" t="str">
        <f>TEXT(DATA[[#This Row],[ADMISSION DATE]],"mmm")</f>
        <v>Apr</v>
      </c>
      <c r="W335" s="59">
        <f>YEAR(DATA[[#This Row],[DISCHARGE DATE]])</f>
        <v>2026</v>
      </c>
      <c r="X335" s="60" t="str">
        <f>TEXT(DATA[[#This Row],[DISCHARGE DATE]],"mmm")</f>
        <v>Jul</v>
      </c>
    </row>
    <row r="336" spans="1:24" s="27" customFormat="1" ht="16.5" hidden="1" customHeight="1">
      <c r="A336" s="150" t="s">
        <v>1417</v>
      </c>
      <c r="B336" s="151" t="s">
        <v>1418</v>
      </c>
      <c r="C336" s="151">
        <v>72</v>
      </c>
      <c r="D336" s="152" t="s">
        <v>11</v>
      </c>
      <c r="E336" s="152" t="s">
        <v>1419</v>
      </c>
      <c r="F336" s="159" t="s">
        <v>1420</v>
      </c>
      <c r="G336" s="152" t="s">
        <v>21</v>
      </c>
      <c r="H336" s="154">
        <v>0.59027777777777779</v>
      </c>
      <c r="I336" s="152" t="s">
        <v>18</v>
      </c>
      <c r="J336" s="155">
        <v>46136</v>
      </c>
      <c r="K336" s="155">
        <v>46269</v>
      </c>
      <c r="L336" s="151">
        <f>IF(ISBLANK(DATA[[#This Row],[DISCHARGE DATE]]),"NO DATE", DATA[[#This Row],[DISCHARGE DATE]]-DATA[[#This Row],[ADMISSION DATE]]+1)</f>
        <v>134</v>
      </c>
      <c r="M336" s="156">
        <v>350</v>
      </c>
      <c r="N336" s="156">
        <v>1742</v>
      </c>
      <c r="O336" s="157">
        <v>342</v>
      </c>
      <c r="P336" s="157">
        <v>348</v>
      </c>
      <c r="Q336" s="158">
        <f>IF(DATA[[#This Row],[STORAGE FEE]]=0,"NULL",DATA[[#This Row],[COLDROOM FEE]])-DATA[[#This Row],[STORAGE FEE]]</f>
        <v>0</v>
      </c>
      <c r="R336" s="158">
        <f>IF(ISBLANK(DATA[[#This Row],[DISCHARGE DATE]]),0,IF(DATA[[#This Row],[TYPE]]="VIP",20*DATA[[#This Row],[STORAGE DAYS]],13*DATA[[#This Row],[STORAGE DAYS]]))</f>
        <v>1742</v>
      </c>
      <c r="S336" s="71" t="str">
        <f>IF(ISBLANK(DATA[[#This Row],[COLDROOM RECEIPT]]), "IN CUSTODY", "DISCHARGED")</f>
        <v>DISCHARGED</v>
      </c>
      <c r="T336" s="58">
        <f>COUNTA(A:A)-2</f>
        <v>419</v>
      </c>
      <c r="U336" s="59">
        <f>YEAR(DATA[[#This Row],[ADMISSION DATE]])</f>
        <v>2026</v>
      </c>
      <c r="V336" s="60" t="str">
        <f>TEXT(DATA[[#This Row],[ADMISSION DATE]],"mmm")</f>
        <v>Apr</v>
      </c>
      <c r="W336" s="59">
        <f>YEAR(DATA[[#This Row],[DISCHARGE DATE]])</f>
        <v>2026</v>
      </c>
      <c r="X336" s="60" t="str">
        <f>TEXT(DATA[[#This Row],[DISCHARGE DATE]],"mmm")</f>
        <v>Sep</v>
      </c>
    </row>
    <row r="337" spans="1:24" s="27" customFormat="1" ht="16.5" customHeight="1">
      <c r="A337" s="150" t="s">
        <v>1421</v>
      </c>
      <c r="B337" s="151" t="s">
        <v>1422</v>
      </c>
      <c r="C337" s="151">
        <v>70</v>
      </c>
      <c r="D337" s="152" t="s">
        <v>11</v>
      </c>
      <c r="E337" s="152" t="s">
        <v>1423</v>
      </c>
      <c r="F337" s="153">
        <v>543779606</v>
      </c>
      <c r="G337" s="152" t="s">
        <v>22</v>
      </c>
      <c r="H337" s="154">
        <v>4.1666666666666664E-2</v>
      </c>
      <c r="I337" s="152" t="s">
        <v>20</v>
      </c>
      <c r="J337" s="155">
        <v>46136</v>
      </c>
      <c r="K337" s="155"/>
      <c r="L337" s="151" t="str">
        <f>IF(ISBLANK(DATA[[#This Row],[DISCHARGE DATE]]),"NO DATE", DATA[[#This Row],[DISCHARGE DATE]]-DATA[[#This Row],[ADMISSION DATE]]+1)</f>
        <v>NO DATE</v>
      </c>
      <c r="M337" s="156">
        <v>350</v>
      </c>
      <c r="N337" s="156"/>
      <c r="O337" s="157">
        <v>341</v>
      </c>
      <c r="P337" s="157"/>
      <c r="Q337" s="158" t="e">
        <f>IF(DATA[[#This Row],[STORAGE FEE]]=0,"NULL",DATA[[#This Row],[COLDROOM FEE]])-DATA[[#This Row],[STORAGE FEE]]</f>
        <v>#VALUE!</v>
      </c>
      <c r="R337" s="158">
        <f>IF(ISBLANK(DATA[[#This Row],[DISCHARGE DATE]]),0,IF(DATA[[#This Row],[TYPE]]="VIP",20*DATA[[#This Row],[STORAGE DAYS]],13*DATA[[#This Row],[STORAGE DAYS]]))</f>
        <v>0</v>
      </c>
      <c r="S337" s="71" t="str">
        <f>IF(ISBLANK(DATA[[#This Row],[COLDROOM RECEIPT]]), "IN CUSTODY", "DISCHARGED")</f>
        <v>IN CUSTODY</v>
      </c>
      <c r="T337" s="58">
        <f>COUNTA(A:A)-2</f>
        <v>419</v>
      </c>
      <c r="U337" s="59">
        <f>YEAR(DATA[[#This Row],[ADMISSION DATE]])</f>
        <v>2026</v>
      </c>
      <c r="V337" s="60" t="str">
        <f>TEXT(DATA[[#This Row],[ADMISSION DATE]],"mmm")</f>
        <v>Apr</v>
      </c>
      <c r="W337" s="59">
        <f>YEAR(DATA[[#This Row],[DISCHARGE DATE]])</f>
        <v>1900</v>
      </c>
      <c r="X337" s="60" t="str">
        <f>TEXT(DATA[[#This Row],[DISCHARGE DATE]],"mmm")</f>
        <v>Jan</v>
      </c>
    </row>
    <row r="338" spans="1:24" s="27" customFormat="1" ht="16.5" hidden="1" customHeight="1">
      <c r="A338" s="150" t="s">
        <v>1424</v>
      </c>
      <c r="B338" s="151" t="s">
        <v>1425</v>
      </c>
      <c r="C338" s="151">
        <v>46</v>
      </c>
      <c r="D338" s="152" t="s">
        <v>11</v>
      </c>
      <c r="E338" s="152" t="s">
        <v>1426</v>
      </c>
      <c r="F338" s="159">
        <v>247239374</v>
      </c>
      <c r="G338" s="152" t="s">
        <v>13</v>
      </c>
      <c r="H338" s="154">
        <v>0.69097222222222221</v>
      </c>
      <c r="I338" s="152" t="s">
        <v>18</v>
      </c>
      <c r="J338" s="155">
        <v>46143</v>
      </c>
      <c r="K338" s="155">
        <v>46269</v>
      </c>
      <c r="L338" s="151">
        <f>IF(ISBLANK(DATA[[#This Row],[DISCHARGE DATE]]),"NO DATE", DATA[[#This Row],[DISCHARGE DATE]]-DATA[[#This Row],[ADMISSION DATE]]+1)</f>
        <v>127</v>
      </c>
      <c r="M338" s="156">
        <v>350</v>
      </c>
      <c r="N338" s="156">
        <v>1651</v>
      </c>
      <c r="O338" s="157">
        <v>343</v>
      </c>
      <c r="P338" s="157">
        <v>54</v>
      </c>
      <c r="Q338" s="158">
        <f>IF(DATA[[#This Row],[STORAGE FEE]]=0,"NULL",DATA[[#This Row],[COLDROOM FEE]])-DATA[[#This Row],[STORAGE FEE]]</f>
        <v>0</v>
      </c>
      <c r="R338" s="158">
        <f>IF(ISBLANK(DATA[[#This Row],[DISCHARGE DATE]]),0,IF(DATA[[#This Row],[TYPE]]="VIP",20*DATA[[#This Row],[STORAGE DAYS]],13*DATA[[#This Row],[STORAGE DAYS]]))</f>
        <v>1651</v>
      </c>
      <c r="S338" s="71" t="str">
        <f>IF(ISBLANK(DATA[[#This Row],[COLDROOM RECEIPT]]), "IN CUSTODY", "DISCHARGED")</f>
        <v>DISCHARGED</v>
      </c>
      <c r="T338" s="58">
        <f>COUNTA(A:A)-2</f>
        <v>419</v>
      </c>
      <c r="U338" s="59">
        <f>YEAR(DATA[[#This Row],[ADMISSION DATE]])</f>
        <v>2026</v>
      </c>
      <c r="V338" s="60" t="str">
        <f>TEXT(DATA[[#This Row],[ADMISSION DATE]],"mmm")</f>
        <v>May</v>
      </c>
      <c r="W338" s="59">
        <f>YEAR(DATA[[#This Row],[DISCHARGE DATE]])</f>
        <v>2026</v>
      </c>
      <c r="X338" s="60" t="str">
        <f>TEXT(DATA[[#This Row],[DISCHARGE DATE]],"mmm")</f>
        <v>Sep</v>
      </c>
    </row>
    <row r="339" spans="1:24" s="27" customFormat="1" ht="16.5" hidden="1" customHeight="1">
      <c r="A339" s="150" t="s">
        <v>1427</v>
      </c>
      <c r="B339" s="151" t="s">
        <v>1428</v>
      </c>
      <c r="C339" s="151">
        <v>95</v>
      </c>
      <c r="D339" s="152" t="s">
        <v>11</v>
      </c>
      <c r="E339" s="152" t="s">
        <v>1429</v>
      </c>
      <c r="F339" s="159">
        <v>243035633</v>
      </c>
      <c r="G339" s="152" t="s">
        <v>13</v>
      </c>
      <c r="H339" s="154">
        <v>0.8125</v>
      </c>
      <c r="I339" s="152" t="s">
        <v>18</v>
      </c>
      <c r="J339" s="155">
        <v>46151</v>
      </c>
      <c r="K339" s="155">
        <v>46269</v>
      </c>
      <c r="L339" s="151">
        <f>IF(ISBLANK(DATA[[#This Row],[DISCHARGE DATE]]),"NO DATE", DATA[[#This Row],[DISCHARGE DATE]]-DATA[[#This Row],[ADMISSION DATE]]+1)</f>
        <v>119</v>
      </c>
      <c r="M339" s="156">
        <v>350</v>
      </c>
      <c r="N339" s="156">
        <v>1547</v>
      </c>
      <c r="O339" s="157">
        <v>349</v>
      </c>
      <c r="P339" s="157">
        <v>55</v>
      </c>
      <c r="Q339" s="158">
        <f>IF(DATA[[#This Row],[STORAGE FEE]]=0,"NULL",DATA[[#This Row],[COLDROOM FEE]])-DATA[[#This Row],[STORAGE FEE]]</f>
        <v>0</v>
      </c>
      <c r="R339" s="158">
        <f>IF(ISBLANK(DATA[[#This Row],[DISCHARGE DATE]]),0,IF(DATA[[#This Row],[TYPE]]="VIP",20*DATA[[#This Row],[STORAGE DAYS]],13*DATA[[#This Row],[STORAGE DAYS]]))</f>
        <v>1547</v>
      </c>
      <c r="S339" s="71" t="str">
        <f>IF(ISBLANK(DATA[[#This Row],[COLDROOM RECEIPT]]), "IN CUSTODY", "DISCHARGED")</f>
        <v>DISCHARGED</v>
      </c>
      <c r="T339" s="58">
        <f>COUNTA(A:A)-2</f>
        <v>419</v>
      </c>
      <c r="U339" s="59">
        <f>YEAR(DATA[[#This Row],[ADMISSION DATE]])</f>
        <v>2026</v>
      </c>
      <c r="V339" s="60" t="str">
        <f>TEXT(DATA[[#This Row],[ADMISSION DATE]],"mmm")</f>
        <v>May</v>
      </c>
      <c r="W339" s="59">
        <f>YEAR(DATA[[#This Row],[DISCHARGE DATE]])</f>
        <v>2026</v>
      </c>
      <c r="X339" s="60" t="str">
        <f>TEXT(DATA[[#This Row],[DISCHARGE DATE]],"mmm")</f>
        <v>Sep</v>
      </c>
    </row>
    <row r="340" spans="1:24" s="27" customFormat="1" ht="16.5" hidden="1" customHeight="1">
      <c r="A340" s="150" t="s">
        <v>1430</v>
      </c>
      <c r="B340" s="151" t="s">
        <v>1431</v>
      </c>
      <c r="C340" s="151">
        <v>42</v>
      </c>
      <c r="D340" s="152" t="s">
        <v>11</v>
      </c>
      <c r="E340" s="152" t="s">
        <v>1432</v>
      </c>
      <c r="F340" s="159">
        <v>541500105</v>
      </c>
      <c r="G340" s="152" t="s">
        <v>15</v>
      </c>
      <c r="H340" s="154">
        <v>0.9375</v>
      </c>
      <c r="I340" s="152" t="s">
        <v>18</v>
      </c>
      <c r="J340" s="155">
        <v>46144</v>
      </c>
      <c r="K340" s="155">
        <v>46206</v>
      </c>
      <c r="L340" s="151">
        <f>IF(ISBLANK(DATA[[#This Row],[DISCHARGE DATE]]),"NO DATE", DATA[[#This Row],[DISCHARGE DATE]]-DATA[[#This Row],[ADMISSION DATE]]+1)</f>
        <v>63</v>
      </c>
      <c r="M340" s="156">
        <v>350</v>
      </c>
      <c r="N340" s="156">
        <v>819</v>
      </c>
      <c r="O340" s="157">
        <v>344</v>
      </c>
      <c r="P340" s="157">
        <v>324</v>
      </c>
      <c r="Q340" s="158">
        <f>IF(DATA[[#This Row],[STORAGE FEE]]=0,"NULL",DATA[[#This Row],[COLDROOM FEE]])-DATA[[#This Row],[STORAGE FEE]]</f>
        <v>0</v>
      </c>
      <c r="R340" s="158">
        <f>IF(ISBLANK(DATA[[#This Row],[DISCHARGE DATE]]),0,IF(DATA[[#This Row],[TYPE]]="VIP",20*DATA[[#This Row],[STORAGE DAYS]],13*DATA[[#This Row],[STORAGE DAYS]]))</f>
        <v>819</v>
      </c>
      <c r="S340" s="71" t="str">
        <f>IF(ISBLANK(DATA[[#This Row],[COLDROOM RECEIPT]]), "IN CUSTODY", "DISCHARGED")</f>
        <v>DISCHARGED</v>
      </c>
      <c r="T340" s="58">
        <f>COUNTA(A:A)-2</f>
        <v>419</v>
      </c>
      <c r="U340" s="59">
        <f>YEAR(DATA[[#This Row],[ADMISSION DATE]])</f>
        <v>2026</v>
      </c>
      <c r="V340" s="60" t="str">
        <f>TEXT(DATA[[#This Row],[ADMISSION DATE]],"mmm")</f>
        <v>May</v>
      </c>
      <c r="W340" s="59">
        <f>YEAR(DATA[[#This Row],[DISCHARGE DATE]])</f>
        <v>2026</v>
      </c>
      <c r="X340" s="60" t="str">
        <f>TEXT(DATA[[#This Row],[DISCHARGE DATE]],"mmm")</f>
        <v>Jul</v>
      </c>
    </row>
    <row r="341" spans="1:24" s="27" customFormat="1" ht="16.5" hidden="1" customHeight="1">
      <c r="A341" s="150" t="s">
        <v>1433</v>
      </c>
      <c r="B341" s="151" t="s">
        <v>1434</v>
      </c>
      <c r="C341" s="151">
        <v>54</v>
      </c>
      <c r="D341" s="152" t="s">
        <v>11</v>
      </c>
      <c r="E341" s="152" t="s">
        <v>1435</v>
      </c>
      <c r="F341" s="159" t="s">
        <v>1436</v>
      </c>
      <c r="G341" s="152" t="s">
        <v>16</v>
      </c>
      <c r="H341" s="154">
        <v>0.70833333333333337</v>
      </c>
      <c r="I341" s="152" t="s">
        <v>20</v>
      </c>
      <c r="J341" s="155">
        <v>46151</v>
      </c>
      <c r="K341" s="155">
        <v>46269</v>
      </c>
      <c r="L341" s="151">
        <f>IF(ISBLANK(DATA[[#This Row],[DISCHARGE DATE]]),"NO DATE", DATA[[#This Row],[DISCHARGE DATE]]-DATA[[#This Row],[ADMISSION DATE]]+1)</f>
        <v>119</v>
      </c>
      <c r="M341" s="156">
        <v>350</v>
      </c>
      <c r="N341" s="156">
        <v>2380</v>
      </c>
      <c r="O341" s="157">
        <v>350</v>
      </c>
      <c r="P341" s="157">
        <v>357</v>
      </c>
      <c r="Q341" s="158">
        <f>IF(DATA[[#This Row],[STORAGE FEE]]=0,"NULL",DATA[[#This Row],[COLDROOM FEE]])-DATA[[#This Row],[STORAGE FEE]]</f>
        <v>0</v>
      </c>
      <c r="R341" s="158">
        <f>IF(ISBLANK(DATA[[#This Row],[DISCHARGE DATE]]),0,IF(DATA[[#This Row],[TYPE]]="VIP",20*DATA[[#This Row],[STORAGE DAYS]],13*DATA[[#This Row],[STORAGE DAYS]]))</f>
        <v>2380</v>
      </c>
      <c r="S341" s="71" t="str">
        <f>IF(ISBLANK(DATA[[#This Row],[COLDROOM RECEIPT]]), "IN CUSTODY", "DISCHARGED")</f>
        <v>DISCHARGED</v>
      </c>
      <c r="T341" s="58">
        <f>COUNTA(A:A)-2</f>
        <v>419</v>
      </c>
      <c r="U341" s="59">
        <f>YEAR(DATA[[#This Row],[ADMISSION DATE]])</f>
        <v>2026</v>
      </c>
      <c r="V341" s="60" t="str">
        <f>TEXT(DATA[[#This Row],[ADMISSION DATE]],"mmm")</f>
        <v>May</v>
      </c>
      <c r="W341" s="59">
        <f>YEAR(DATA[[#This Row],[DISCHARGE DATE]])</f>
        <v>2026</v>
      </c>
      <c r="X341" s="60" t="str">
        <f>TEXT(DATA[[#This Row],[DISCHARGE DATE]],"mmm")</f>
        <v>Sep</v>
      </c>
    </row>
    <row r="342" spans="1:24" s="27" customFormat="1" ht="16.5" customHeight="1">
      <c r="A342" s="150" t="s">
        <v>1437</v>
      </c>
      <c r="B342" s="151" t="s">
        <v>1438</v>
      </c>
      <c r="C342" s="151">
        <v>83</v>
      </c>
      <c r="D342" s="152" t="s">
        <v>11</v>
      </c>
      <c r="E342" s="152" t="s">
        <v>1439</v>
      </c>
      <c r="F342" s="159">
        <v>503472718</v>
      </c>
      <c r="G342" s="152" t="s">
        <v>15</v>
      </c>
      <c r="H342" s="154">
        <v>0.29166666666666669</v>
      </c>
      <c r="I342" s="152" t="s">
        <v>20</v>
      </c>
      <c r="J342" s="155">
        <v>46147</v>
      </c>
      <c r="K342" s="155">
        <v>46353</v>
      </c>
      <c r="L342" s="151">
        <f>IF(ISBLANK(DATA[[#This Row],[DISCHARGE DATE]]),"NO DATE", DATA[[#This Row],[DISCHARGE DATE]]-DATA[[#This Row],[ADMISSION DATE]]+1)</f>
        <v>207</v>
      </c>
      <c r="M342" s="156">
        <v>350</v>
      </c>
      <c r="N342" s="156"/>
      <c r="O342" s="157">
        <v>347</v>
      </c>
      <c r="P342" s="157"/>
      <c r="Q342" s="158">
        <f>IF(DATA[[#This Row],[STORAGE FEE]]=0,"NULL",DATA[[#This Row],[COLDROOM FEE]])-DATA[[#This Row],[STORAGE FEE]]</f>
        <v>-4140</v>
      </c>
      <c r="R342" s="158">
        <f>IF(ISBLANK(DATA[[#This Row],[DISCHARGE DATE]]),0,IF(DATA[[#This Row],[TYPE]]="VIP",20*DATA[[#This Row],[STORAGE DAYS]],13*DATA[[#This Row],[STORAGE DAYS]]))</f>
        <v>4140</v>
      </c>
      <c r="S342" s="71" t="str">
        <f>IF(ISBLANK(DATA[[#This Row],[COLDROOM RECEIPT]]), "IN CUSTODY", "DISCHARGED")</f>
        <v>IN CUSTODY</v>
      </c>
      <c r="T342" s="58">
        <f>COUNTA(A:A)-2</f>
        <v>419</v>
      </c>
      <c r="U342" s="59">
        <f>YEAR(DATA[[#This Row],[ADMISSION DATE]])</f>
        <v>2026</v>
      </c>
      <c r="V342" s="60" t="str">
        <f>TEXT(DATA[[#This Row],[ADMISSION DATE]],"mmm")</f>
        <v>May</v>
      </c>
      <c r="W342" s="59">
        <f>YEAR(DATA[[#This Row],[DISCHARGE DATE]])</f>
        <v>2026</v>
      </c>
      <c r="X342" s="60" t="str">
        <f>TEXT(DATA[[#This Row],[DISCHARGE DATE]],"mmm")</f>
        <v>Nov</v>
      </c>
    </row>
    <row r="343" spans="1:24" s="27" customFormat="1" ht="16.5" customHeight="1">
      <c r="A343" s="150" t="s">
        <v>1440</v>
      </c>
      <c r="B343" s="151" t="s">
        <v>1441</v>
      </c>
      <c r="C343" s="151">
        <v>80</v>
      </c>
      <c r="D343" s="152" t="s">
        <v>11</v>
      </c>
      <c r="E343" s="152" t="s">
        <v>1442</v>
      </c>
      <c r="F343" s="159">
        <v>557797063</v>
      </c>
      <c r="G343" s="152" t="s">
        <v>13</v>
      </c>
      <c r="H343" s="154">
        <v>0.72916666666666663</v>
      </c>
      <c r="I343" s="152" t="s">
        <v>18</v>
      </c>
      <c r="J343" s="155">
        <v>46146</v>
      </c>
      <c r="K343" s="155">
        <v>46325</v>
      </c>
      <c r="L343" s="151">
        <f>IF(ISBLANK(DATA[[#This Row],[DISCHARGE DATE]]),"NO DATE", DATA[[#This Row],[DISCHARGE DATE]]-DATA[[#This Row],[ADMISSION DATE]]+1)</f>
        <v>180</v>
      </c>
      <c r="M343" s="156">
        <v>350</v>
      </c>
      <c r="N343" s="156"/>
      <c r="O343" s="157">
        <v>348</v>
      </c>
      <c r="P343" s="157"/>
      <c r="Q343" s="158">
        <f>IF(DATA[[#This Row],[STORAGE FEE]]=0,"NULL",DATA[[#This Row],[COLDROOM FEE]])-DATA[[#This Row],[STORAGE FEE]]</f>
        <v>-2340</v>
      </c>
      <c r="R343" s="158">
        <f>IF(ISBLANK(DATA[[#This Row],[DISCHARGE DATE]]),0,IF(DATA[[#This Row],[TYPE]]="VIP",20*DATA[[#This Row],[STORAGE DAYS]],13*DATA[[#This Row],[STORAGE DAYS]]))</f>
        <v>2340</v>
      </c>
      <c r="S343" s="71" t="str">
        <f>IF(ISBLANK(DATA[[#This Row],[COLDROOM RECEIPT]]), "IN CUSTODY", "DISCHARGED")</f>
        <v>IN CUSTODY</v>
      </c>
      <c r="T343" s="58">
        <f>COUNTA(A:A)-2</f>
        <v>419</v>
      </c>
      <c r="U343" s="59">
        <f>YEAR(DATA[[#This Row],[ADMISSION DATE]])</f>
        <v>2026</v>
      </c>
      <c r="V343" s="60" t="str">
        <f>TEXT(DATA[[#This Row],[ADMISSION DATE]],"mmm")</f>
        <v>May</v>
      </c>
      <c r="W343" s="59">
        <f>YEAR(DATA[[#This Row],[DISCHARGE DATE]])</f>
        <v>2026</v>
      </c>
      <c r="X343" s="60" t="str">
        <f>TEXT(DATA[[#This Row],[DISCHARGE DATE]],"mmm")</f>
        <v>Oct</v>
      </c>
    </row>
    <row r="344" spans="1:24" s="27" customFormat="1" ht="16.5" hidden="1" customHeight="1">
      <c r="A344" s="150" t="s">
        <v>1443</v>
      </c>
      <c r="B344" s="151" t="s">
        <v>1444</v>
      </c>
      <c r="C344" s="151">
        <v>70</v>
      </c>
      <c r="D344" s="152" t="s">
        <v>11</v>
      </c>
      <c r="E344" s="152" t="s">
        <v>1445</v>
      </c>
      <c r="F344" s="159">
        <v>265931820</v>
      </c>
      <c r="G344" s="152" t="s">
        <v>16</v>
      </c>
      <c r="H344" s="154">
        <v>0.34722222222222221</v>
      </c>
      <c r="I344" s="152" t="s">
        <v>18</v>
      </c>
      <c r="J344" s="155">
        <v>46171</v>
      </c>
      <c r="K344" s="155">
        <v>46269</v>
      </c>
      <c r="L344" s="151">
        <f>IF(ISBLANK(DATA[[#This Row],[DISCHARGE DATE]]),"NO DATE", DATA[[#This Row],[DISCHARGE DATE]]-DATA[[#This Row],[ADMISSION DATE]]+1)</f>
        <v>99</v>
      </c>
      <c r="M344" s="156">
        <v>350</v>
      </c>
      <c r="N344" s="156">
        <v>1287</v>
      </c>
      <c r="O344" s="157">
        <v>358</v>
      </c>
      <c r="P344" s="157">
        <v>345</v>
      </c>
      <c r="Q344" s="158">
        <f>IF(DATA[[#This Row],[STORAGE FEE]]=0,"NULL",DATA[[#This Row],[COLDROOM FEE]])-DATA[[#This Row],[STORAGE FEE]]</f>
        <v>0</v>
      </c>
      <c r="R344" s="158">
        <f>IF(ISBLANK(DATA[[#This Row],[DISCHARGE DATE]]),0,IF(DATA[[#This Row],[TYPE]]="VIP",20*DATA[[#This Row],[STORAGE DAYS]],13*DATA[[#This Row],[STORAGE DAYS]]))</f>
        <v>1287</v>
      </c>
      <c r="S344" s="71" t="str">
        <f>IF(ISBLANK(DATA[[#This Row],[COLDROOM RECEIPT]]), "IN CUSTODY", "DISCHARGED")</f>
        <v>DISCHARGED</v>
      </c>
      <c r="T344" s="58">
        <f>COUNTA(A:A)-2</f>
        <v>419</v>
      </c>
      <c r="U344" s="59">
        <f>YEAR(DATA[[#This Row],[ADMISSION DATE]])</f>
        <v>2026</v>
      </c>
      <c r="V344" s="60" t="str">
        <f>TEXT(DATA[[#This Row],[ADMISSION DATE]],"mmm")</f>
        <v>May</v>
      </c>
      <c r="W344" s="59">
        <f>YEAR(DATA[[#This Row],[DISCHARGE DATE]])</f>
        <v>2026</v>
      </c>
      <c r="X344" s="60" t="str">
        <f>TEXT(DATA[[#This Row],[DISCHARGE DATE]],"mmm")</f>
        <v>Sep</v>
      </c>
    </row>
    <row r="345" spans="1:24" s="27" customFormat="1" ht="16.5" hidden="1" customHeight="1">
      <c r="A345" s="150" t="s">
        <v>1446</v>
      </c>
      <c r="B345" s="151" t="s">
        <v>1447</v>
      </c>
      <c r="C345" s="151">
        <v>59</v>
      </c>
      <c r="D345" s="152" t="s">
        <v>12</v>
      </c>
      <c r="E345" s="152" t="s">
        <v>1448</v>
      </c>
      <c r="F345" s="159">
        <v>243940350</v>
      </c>
      <c r="G345" s="152" t="s">
        <v>15</v>
      </c>
      <c r="H345" s="154">
        <v>0.60416666666666663</v>
      </c>
      <c r="I345" s="152" t="s">
        <v>18</v>
      </c>
      <c r="J345" s="155">
        <v>46171</v>
      </c>
      <c r="K345" s="155">
        <v>46269</v>
      </c>
      <c r="L345" s="151">
        <f>IF(ISBLANK(DATA[[#This Row],[DISCHARGE DATE]]),"NO DATE", DATA[[#This Row],[DISCHARGE DATE]]-DATA[[#This Row],[ADMISSION DATE]]+1)</f>
        <v>99</v>
      </c>
      <c r="M345" s="156">
        <v>350</v>
      </c>
      <c r="N345" s="156">
        <v>1287</v>
      </c>
      <c r="O345" s="157">
        <v>359</v>
      </c>
      <c r="P345" s="157">
        <v>346</v>
      </c>
      <c r="Q345" s="158">
        <f>IF(DATA[[#This Row],[STORAGE FEE]]=0,"NULL",DATA[[#This Row],[COLDROOM FEE]])-DATA[[#This Row],[STORAGE FEE]]</f>
        <v>0</v>
      </c>
      <c r="R345" s="158">
        <f>IF(ISBLANK(DATA[[#This Row],[DISCHARGE DATE]]),0,IF(DATA[[#This Row],[TYPE]]="VIP",20*DATA[[#This Row],[STORAGE DAYS]],13*DATA[[#This Row],[STORAGE DAYS]]))</f>
        <v>1287</v>
      </c>
      <c r="S345" s="71" t="str">
        <f>IF(ISBLANK(DATA[[#This Row],[COLDROOM RECEIPT]]), "IN CUSTODY", "DISCHARGED")</f>
        <v>DISCHARGED</v>
      </c>
      <c r="T345" s="58">
        <f>COUNTA(A:A)-2</f>
        <v>419</v>
      </c>
      <c r="U345" s="59">
        <f>YEAR(DATA[[#This Row],[ADMISSION DATE]])</f>
        <v>2026</v>
      </c>
      <c r="V345" s="60" t="str">
        <f>TEXT(DATA[[#This Row],[ADMISSION DATE]],"mmm")</f>
        <v>May</v>
      </c>
      <c r="W345" s="59">
        <f>YEAR(DATA[[#This Row],[DISCHARGE DATE]])</f>
        <v>2026</v>
      </c>
      <c r="X345" s="60" t="str">
        <f>TEXT(DATA[[#This Row],[DISCHARGE DATE]],"mmm")</f>
        <v>Sep</v>
      </c>
    </row>
    <row r="346" spans="1:24" s="27" customFormat="1" ht="16.5" customHeight="1">
      <c r="A346" s="150" t="s">
        <v>1449</v>
      </c>
      <c r="B346" s="151" t="s">
        <v>1450</v>
      </c>
      <c r="C346" s="151">
        <v>84</v>
      </c>
      <c r="D346" s="152" t="s">
        <v>11</v>
      </c>
      <c r="E346" s="152" t="s">
        <v>1451</v>
      </c>
      <c r="F346" s="159">
        <v>591492663</v>
      </c>
      <c r="G346" s="152" t="s">
        <v>15</v>
      </c>
      <c r="H346" s="154">
        <v>0.49513888888888891</v>
      </c>
      <c r="I346" s="152" t="s">
        <v>18</v>
      </c>
      <c r="J346" s="155">
        <v>46155</v>
      </c>
      <c r="K346" s="155">
        <v>46472</v>
      </c>
      <c r="L346" s="151">
        <f>IF(ISBLANK(DATA[[#This Row],[DISCHARGE DATE]]),"NO DATE", DATA[[#This Row],[DISCHARGE DATE]]-DATA[[#This Row],[ADMISSION DATE]]+1)</f>
        <v>318</v>
      </c>
      <c r="M346" s="156">
        <v>350</v>
      </c>
      <c r="N346" s="156"/>
      <c r="O346" s="157">
        <v>351</v>
      </c>
      <c r="P346" s="157"/>
      <c r="Q346" s="158">
        <f>IF(DATA[[#This Row],[STORAGE FEE]]=0,"NULL",DATA[[#This Row],[COLDROOM FEE]])-DATA[[#This Row],[STORAGE FEE]]</f>
        <v>-4134</v>
      </c>
      <c r="R346" s="158">
        <f>IF(ISBLANK(DATA[[#This Row],[DISCHARGE DATE]]),0,IF(DATA[[#This Row],[TYPE]]="VIP",20*DATA[[#This Row],[STORAGE DAYS]],13*DATA[[#This Row],[STORAGE DAYS]]))</f>
        <v>4134</v>
      </c>
      <c r="S346" s="71" t="str">
        <f>IF(ISBLANK(DATA[[#This Row],[COLDROOM RECEIPT]]), "IN CUSTODY", "DISCHARGED")</f>
        <v>IN CUSTODY</v>
      </c>
      <c r="T346" s="58">
        <f>COUNTA(A:A)-2</f>
        <v>419</v>
      </c>
      <c r="U346" s="59">
        <f>YEAR(DATA[[#This Row],[ADMISSION DATE]])</f>
        <v>2026</v>
      </c>
      <c r="V346" s="60" t="str">
        <f>TEXT(DATA[[#This Row],[ADMISSION DATE]],"mmm")</f>
        <v>May</v>
      </c>
      <c r="W346" s="59">
        <f>YEAR(DATA[[#This Row],[DISCHARGE DATE]])</f>
        <v>2027</v>
      </c>
      <c r="X346" s="60" t="str">
        <f>TEXT(DATA[[#This Row],[DISCHARGE DATE]],"mmm")</f>
        <v>Mar</v>
      </c>
    </row>
    <row r="347" spans="1:24" s="27" customFormat="1" ht="16.5" hidden="1" customHeight="1">
      <c r="A347" s="150" t="s">
        <v>1452</v>
      </c>
      <c r="B347" s="151" t="s">
        <v>1453</v>
      </c>
      <c r="C347" s="151">
        <v>73</v>
      </c>
      <c r="D347" s="152" t="s">
        <v>12</v>
      </c>
      <c r="E347" s="152" t="s">
        <v>1454</v>
      </c>
      <c r="F347" s="159">
        <v>559447372</v>
      </c>
      <c r="G347" s="152" t="s">
        <v>13</v>
      </c>
      <c r="H347" s="154">
        <v>0.53263888888888888</v>
      </c>
      <c r="I347" s="152" t="s">
        <v>18</v>
      </c>
      <c r="J347" s="155">
        <v>46189</v>
      </c>
      <c r="K347" s="155">
        <v>46269</v>
      </c>
      <c r="L347" s="151">
        <f>IF(ISBLANK(DATA[[#This Row],[DISCHARGE DATE]]),"NO DATE", DATA[[#This Row],[DISCHARGE DATE]]-DATA[[#This Row],[ADMISSION DATE]]+1)</f>
        <v>81</v>
      </c>
      <c r="M347" s="156">
        <v>350</v>
      </c>
      <c r="N347" s="156">
        <v>1053</v>
      </c>
      <c r="O347" s="157">
        <v>368</v>
      </c>
      <c r="P347" s="157">
        <v>56</v>
      </c>
      <c r="Q347" s="158">
        <f>IF(DATA[[#This Row],[STORAGE FEE]]=0,"NULL",DATA[[#This Row],[COLDROOM FEE]])-DATA[[#This Row],[STORAGE FEE]]</f>
        <v>0</v>
      </c>
      <c r="R347" s="158">
        <f>IF(ISBLANK(DATA[[#This Row],[DISCHARGE DATE]]),0,IF(DATA[[#This Row],[TYPE]]="VIP",20*DATA[[#This Row],[STORAGE DAYS]],13*DATA[[#This Row],[STORAGE DAYS]]))</f>
        <v>1053</v>
      </c>
      <c r="S347" s="71" t="str">
        <f>IF(ISBLANK(DATA[[#This Row],[COLDROOM RECEIPT]]), "IN CUSTODY", "DISCHARGED")</f>
        <v>DISCHARGED</v>
      </c>
      <c r="T347" s="58">
        <f>COUNTA(A:A)-2</f>
        <v>419</v>
      </c>
      <c r="U347" s="59">
        <f>YEAR(DATA[[#This Row],[ADMISSION DATE]])</f>
        <v>2026</v>
      </c>
      <c r="V347" s="60" t="str">
        <f>TEXT(DATA[[#This Row],[ADMISSION DATE]],"mmm")</f>
        <v>Jun</v>
      </c>
      <c r="W347" s="59">
        <f>YEAR(DATA[[#This Row],[DISCHARGE DATE]])</f>
        <v>2026</v>
      </c>
      <c r="X347" s="60" t="str">
        <f>TEXT(DATA[[#This Row],[DISCHARGE DATE]],"mmm")</f>
        <v>Sep</v>
      </c>
    </row>
    <row r="348" spans="1:24" s="27" customFormat="1" ht="16.5" customHeight="1">
      <c r="A348" s="150" t="s">
        <v>1455</v>
      </c>
      <c r="B348" s="151" t="s">
        <v>1456</v>
      </c>
      <c r="C348" s="151">
        <v>57</v>
      </c>
      <c r="D348" s="152" t="s">
        <v>11</v>
      </c>
      <c r="E348" s="152" t="s">
        <v>1457</v>
      </c>
      <c r="F348" s="159">
        <v>242019918</v>
      </c>
      <c r="G348" s="152" t="s">
        <v>17</v>
      </c>
      <c r="H348" s="154">
        <v>0.4375</v>
      </c>
      <c r="I348" s="152" t="s">
        <v>18</v>
      </c>
      <c r="J348" s="155">
        <v>46160</v>
      </c>
      <c r="K348" s="155"/>
      <c r="L348" s="151" t="str">
        <f>IF(ISBLANK(DATA[[#This Row],[DISCHARGE DATE]]),"NO DATE", DATA[[#This Row],[DISCHARGE DATE]]-DATA[[#This Row],[ADMISSION DATE]]+1)</f>
        <v>NO DATE</v>
      </c>
      <c r="M348" s="156">
        <v>350</v>
      </c>
      <c r="N348" s="156"/>
      <c r="O348" s="157">
        <v>353</v>
      </c>
      <c r="P348" s="157"/>
      <c r="Q348" s="158" t="e">
        <f>IF(DATA[[#This Row],[STORAGE FEE]]=0,"NULL",DATA[[#This Row],[COLDROOM FEE]])-DATA[[#This Row],[STORAGE FEE]]</f>
        <v>#VALUE!</v>
      </c>
      <c r="R348" s="158">
        <f>IF(ISBLANK(DATA[[#This Row],[DISCHARGE DATE]]),0,IF(DATA[[#This Row],[TYPE]]="VIP",20*DATA[[#This Row],[STORAGE DAYS]],13*DATA[[#This Row],[STORAGE DAYS]]))</f>
        <v>0</v>
      </c>
      <c r="S348" s="71" t="str">
        <f>IF(ISBLANK(DATA[[#This Row],[COLDROOM RECEIPT]]), "IN CUSTODY", "DISCHARGED")</f>
        <v>IN CUSTODY</v>
      </c>
      <c r="T348" s="58">
        <f>COUNTA(A:A)-2</f>
        <v>419</v>
      </c>
      <c r="U348" s="59">
        <f>YEAR(DATA[[#This Row],[ADMISSION DATE]])</f>
        <v>2026</v>
      </c>
      <c r="V348" s="60" t="str">
        <f>TEXT(DATA[[#This Row],[ADMISSION DATE]],"mmm")</f>
        <v>May</v>
      </c>
      <c r="W348" s="59">
        <f>YEAR(DATA[[#This Row],[DISCHARGE DATE]])</f>
        <v>1900</v>
      </c>
      <c r="X348" s="60" t="str">
        <f>TEXT(DATA[[#This Row],[DISCHARGE DATE]],"mmm")</f>
        <v>Jan</v>
      </c>
    </row>
    <row r="349" spans="1:24" s="27" customFormat="1" ht="16.5" customHeight="1">
      <c r="A349" s="150" t="s">
        <v>1458</v>
      </c>
      <c r="B349" s="151" t="s">
        <v>1459</v>
      </c>
      <c r="C349" s="151">
        <v>75</v>
      </c>
      <c r="D349" s="152" t="s">
        <v>12</v>
      </c>
      <c r="E349" s="152" t="s">
        <v>1460</v>
      </c>
      <c r="F349" s="159">
        <v>248112601</v>
      </c>
      <c r="G349" s="152" t="s">
        <v>13</v>
      </c>
      <c r="H349" s="154">
        <v>0.83333333333333337</v>
      </c>
      <c r="I349" s="152" t="s">
        <v>18</v>
      </c>
      <c r="J349" s="155">
        <v>46160</v>
      </c>
      <c r="K349" s="155"/>
      <c r="L349" s="151" t="str">
        <f>IF(ISBLANK(DATA[[#This Row],[DISCHARGE DATE]]),"NO DATE", DATA[[#This Row],[DISCHARGE DATE]]-DATA[[#This Row],[ADMISSION DATE]]+1)</f>
        <v>NO DATE</v>
      </c>
      <c r="M349" s="156">
        <v>350</v>
      </c>
      <c r="N349" s="156"/>
      <c r="O349" s="157">
        <v>354</v>
      </c>
      <c r="P349" s="157"/>
      <c r="Q349" s="158" t="e">
        <f>IF(DATA[[#This Row],[STORAGE FEE]]=0,"NULL",DATA[[#This Row],[COLDROOM FEE]])-DATA[[#This Row],[STORAGE FEE]]</f>
        <v>#VALUE!</v>
      </c>
      <c r="R349" s="158">
        <f>IF(ISBLANK(DATA[[#This Row],[DISCHARGE DATE]]),0,IF(DATA[[#This Row],[TYPE]]="VIP",20*DATA[[#This Row],[STORAGE DAYS]],13*DATA[[#This Row],[STORAGE DAYS]]))</f>
        <v>0</v>
      </c>
      <c r="S349" s="71" t="str">
        <f>IF(ISBLANK(DATA[[#This Row],[COLDROOM RECEIPT]]), "IN CUSTODY", "DISCHARGED")</f>
        <v>IN CUSTODY</v>
      </c>
      <c r="T349" s="58">
        <f>COUNTA(A:A)-2</f>
        <v>419</v>
      </c>
      <c r="U349" s="59">
        <f>YEAR(DATA[[#This Row],[ADMISSION DATE]])</f>
        <v>2026</v>
      </c>
      <c r="V349" s="60" t="str">
        <f>TEXT(DATA[[#This Row],[ADMISSION DATE]],"mmm")</f>
        <v>May</v>
      </c>
      <c r="W349" s="59">
        <f>YEAR(DATA[[#This Row],[DISCHARGE DATE]])</f>
        <v>1900</v>
      </c>
      <c r="X349" s="60" t="str">
        <f>TEXT(DATA[[#This Row],[DISCHARGE DATE]],"mmm")</f>
        <v>Jan</v>
      </c>
    </row>
    <row r="350" spans="1:24" s="27" customFormat="1" ht="16.5" customHeight="1">
      <c r="A350" s="150" t="s">
        <v>1461</v>
      </c>
      <c r="B350" s="151" t="s">
        <v>1462</v>
      </c>
      <c r="C350" s="151">
        <v>38</v>
      </c>
      <c r="D350" s="152" t="s">
        <v>12</v>
      </c>
      <c r="E350" s="152" t="s">
        <v>1463</v>
      </c>
      <c r="F350" s="159">
        <v>243089765</v>
      </c>
      <c r="G350" s="152" t="s">
        <v>15</v>
      </c>
      <c r="H350" s="154">
        <v>0.91666666666666663</v>
      </c>
      <c r="I350" s="152" t="s">
        <v>18</v>
      </c>
      <c r="J350" s="155">
        <v>46162</v>
      </c>
      <c r="K350" s="155"/>
      <c r="L350" s="151" t="str">
        <f>IF(ISBLANK(DATA[[#This Row],[DISCHARGE DATE]]),"NO DATE", DATA[[#This Row],[DISCHARGE DATE]]-DATA[[#This Row],[ADMISSION DATE]]+1)</f>
        <v>NO DATE</v>
      </c>
      <c r="M350" s="156">
        <v>350</v>
      </c>
      <c r="N350" s="156"/>
      <c r="O350" s="157">
        <v>355</v>
      </c>
      <c r="P350" s="157"/>
      <c r="Q350" s="158" t="e">
        <f>IF(DATA[[#This Row],[STORAGE FEE]]=0,"NULL",DATA[[#This Row],[COLDROOM FEE]])-DATA[[#This Row],[STORAGE FEE]]</f>
        <v>#VALUE!</v>
      </c>
      <c r="R350" s="158">
        <f>IF(ISBLANK(DATA[[#This Row],[DISCHARGE DATE]]),0,IF(DATA[[#This Row],[TYPE]]="VIP",20*DATA[[#This Row],[STORAGE DAYS]],13*DATA[[#This Row],[STORAGE DAYS]]))</f>
        <v>0</v>
      </c>
      <c r="S350" s="71" t="str">
        <f>IF(ISBLANK(DATA[[#This Row],[COLDROOM RECEIPT]]), "IN CUSTODY", "DISCHARGED")</f>
        <v>IN CUSTODY</v>
      </c>
      <c r="T350" s="58">
        <f>COUNTA(A:A)-2</f>
        <v>419</v>
      </c>
      <c r="U350" s="59">
        <f>YEAR(DATA[[#This Row],[ADMISSION DATE]])</f>
        <v>2026</v>
      </c>
      <c r="V350" s="60" t="str">
        <f>TEXT(DATA[[#This Row],[ADMISSION DATE]],"mmm")</f>
        <v>May</v>
      </c>
      <c r="W350" s="59">
        <f>YEAR(DATA[[#This Row],[DISCHARGE DATE]])</f>
        <v>1900</v>
      </c>
      <c r="X350" s="60" t="str">
        <f>TEXT(DATA[[#This Row],[DISCHARGE DATE]],"mmm")</f>
        <v>Jan</v>
      </c>
    </row>
    <row r="351" spans="1:24" s="27" customFormat="1" ht="16.5" hidden="1" customHeight="1">
      <c r="A351" s="150" t="s">
        <v>1464</v>
      </c>
      <c r="B351" s="151" t="s">
        <v>1465</v>
      </c>
      <c r="C351" s="151">
        <v>54</v>
      </c>
      <c r="D351" s="152" t="s">
        <v>11</v>
      </c>
      <c r="E351" s="152" t="s">
        <v>1466</v>
      </c>
      <c r="F351" s="159" t="s">
        <v>1467</v>
      </c>
      <c r="G351" s="152" t="s">
        <v>15</v>
      </c>
      <c r="H351" s="154">
        <v>0.91666666666666663</v>
      </c>
      <c r="I351" s="152" t="s">
        <v>18</v>
      </c>
      <c r="J351" s="155">
        <v>46163</v>
      </c>
      <c r="K351" s="155">
        <v>46206</v>
      </c>
      <c r="L351" s="151">
        <f>IF(ISBLANK(DATA[[#This Row],[DISCHARGE DATE]]),"NO DATE", DATA[[#This Row],[DISCHARGE DATE]]-DATA[[#This Row],[ADMISSION DATE]]+1)</f>
        <v>44</v>
      </c>
      <c r="M351" s="156">
        <v>350</v>
      </c>
      <c r="N351" s="156">
        <v>572</v>
      </c>
      <c r="O351" s="157">
        <v>356</v>
      </c>
      <c r="P351" s="157">
        <v>328</v>
      </c>
      <c r="Q351" s="158">
        <f>IF(DATA[[#This Row],[STORAGE FEE]]=0,"NULL",DATA[[#This Row],[COLDROOM FEE]])-DATA[[#This Row],[STORAGE FEE]]</f>
        <v>0</v>
      </c>
      <c r="R351" s="158">
        <f>IF(ISBLANK(DATA[[#This Row],[DISCHARGE DATE]]),0,IF(DATA[[#This Row],[TYPE]]="VIP",20*DATA[[#This Row],[STORAGE DAYS]],13*DATA[[#This Row],[STORAGE DAYS]]))</f>
        <v>572</v>
      </c>
      <c r="S351" s="71" t="str">
        <f>IF(ISBLANK(DATA[[#This Row],[COLDROOM RECEIPT]]), "IN CUSTODY", "DISCHARGED")</f>
        <v>DISCHARGED</v>
      </c>
      <c r="T351" s="58">
        <f>COUNTA(A:A)-2</f>
        <v>419</v>
      </c>
      <c r="U351" s="59">
        <f>YEAR(DATA[[#This Row],[ADMISSION DATE]])</f>
        <v>2026</v>
      </c>
      <c r="V351" s="60" t="str">
        <f>TEXT(DATA[[#This Row],[ADMISSION DATE]],"mmm")</f>
        <v>May</v>
      </c>
      <c r="W351" s="59">
        <f>YEAR(DATA[[#This Row],[DISCHARGE DATE]])</f>
        <v>2026</v>
      </c>
      <c r="X351" s="60" t="str">
        <f>TEXT(DATA[[#This Row],[DISCHARGE DATE]],"mmm")</f>
        <v>Jul</v>
      </c>
    </row>
    <row r="352" spans="1:24" s="27" customFormat="1" ht="16.5" customHeight="1">
      <c r="A352" s="150" t="s">
        <v>1468</v>
      </c>
      <c r="B352" s="151" t="s">
        <v>1469</v>
      </c>
      <c r="C352" s="151">
        <v>81</v>
      </c>
      <c r="D352" s="152" t="s">
        <v>12</v>
      </c>
      <c r="E352" s="152" t="s">
        <v>1470</v>
      </c>
      <c r="F352" s="159">
        <v>249314111</v>
      </c>
      <c r="G352" s="152" t="s">
        <v>13</v>
      </c>
      <c r="H352" s="154">
        <v>0.57291666666666663</v>
      </c>
      <c r="I352" s="152" t="s">
        <v>18</v>
      </c>
      <c r="J352" s="155">
        <v>46170</v>
      </c>
      <c r="K352" s="155">
        <v>46325</v>
      </c>
      <c r="L352" s="151">
        <f>IF(ISBLANK(DATA[[#This Row],[DISCHARGE DATE]]),"NO DATE", DATA[[#This Row],[DISCHARGE DATE]]-DATA[[#This Row],[ADMISSION DATE]]+1)</f>
        <v>156</v>
      </c>
      <c r="M352" s="156">
        <v>350</v>
      </c>
      <c r="N352" s="156"/>
      <c r="O352" s="157">
        <v>357</v>
      </c>
      <c r="P352" s="157"/>
      <c r="Q352" s="158">
        <f>IF(DATA[[#This Row],[STORAGE FEE]]=0,"NULL",DATA[[#This Row],[COLDROOM FEE]])-DATA[[#This Row],[STORAGE FEE]]</f>
        <v>-2028</v>
      </c>
      <c r="R352" s="158">
        <f>IF(ISBLANK(DATA[[#This Row],[DISCHARGE DATE]]),0,IF(DATA[[#This Row],[TYPE]]="VIP",20*DATA[[#This Row],[STORAGE DAYS]],13*DATA[[#This Row],[STORAGE DAYS]]))</f>
        <v>2028</v>
      </c>
      <c r="S352" s="71" t="str">
        <f>IF(ISBLANK(DATA[[#This Row],[COLDROOM RECEIPT]]), "IN CUSTODY", "DISCHARGED")</f>
        <v>IN CUSTODY</v>
      </c>
      <c r="T352" s="58">
        <f>COUNTA(A:A)-2</f>
        <v>419</v>
      </c>
      <c r="U352" s="59">
        <f>YEAR(DATA[[#This Row],[ADMISSION DATE]])</f>
        <v>2026</v>
      </c>
      <c r="V352" s="60" t="str">
        <f>TEXT(DATA[[#This Row],[ADMISSION DATE]],"mmm")</f>
        <v>May</v>
      </c>
      <c r="W352" s="59">
        <f>YEAR(DATA[[#This Row],[DISCHARGE DATE]])</f>
        <v>2026</v>
      </c>
      <c r="X352" s="60" t="str">
        <f>TEXT(DATA[[#This Row],[DISCHARGE DATE]],"mmm")</f>
        <v>Oct</v>
      </c>
    </row>
    <row r="353" spans="1:24" s="27" customFormat="1" ht="16.5" hidden="1" customHeight="1">
      <c r="A353" s="150" t="s">
        <v>1471</v>
      </c>
      <c r="B353" s="151" t="s">
        <v>1472</v>
      </c>
      <c r="C353" s="151">
        <v>48</v>
      </c>
      <c r="D353" s="152" t="s">
        <v>12</v>
      </c>
      <c r="E353" s="152" t="s">
        <v>1451</v>
      </c>
      <c r="F353" s="159">
        <v>591492663</v>
      </c>
      <c r="G353" s="152" t="s">
        <v>39</v>
      </c>
      <c r="H353" s="154">
        <v>0.41111111111111109</v>
      </c>
      <c r="I353" s="152" t="s">
        <v>18</v>
      </c>
      <c r="J353" s="155">
        <v>46195</v>
      </c>
      <c r="K353" s="155">
        <v>46269</v>
      </c>
      <c r="L353" s="151">
        <f>IF(ISBLANK(DATA[[#This Row],[DISCHARGE DATE]]),"NO DATE", DATA[[#This Row],[DISCHARGE DATE]]-DATA[[#This Row],[ADMISSION DATE]]+1)</f>
        <v>75</v>
      </c>
      <c r="M353" s="156">
        <v>350</v>
      </c>
      <c r="N353" s="156">
        <v>975</v>
      </c>
      <c r="O353" s="157">
        <v>269</v>
      </c>
      <c r="P353" s="157">
        <v>350</v>
      </c>
      <c r="Q353" s="158">
        <f>IF(DATA[[#This Row],[STORAGE FEE]]=0,"NULL",DATA[[#This Row],[COLDROOM FEE]])-DATA[[#This Row],[STORAGE FEE]]</f>
        <v>0</v>
      </c>
      <c r="R353" s="158">
        <f>IF(ISBLANK(DATA[[#This Row],[DISCHARGE DATE]]),0,IF(DATA[[#This Row],[TYPE]]="VIP",20*DATA[[#This Row],[STORAGE DAYS]],13*DATA[[#This Row],[STORAGE DAYS]]))</f>
        <v>975</v>
      </c>
      <c r="S353" s="71" t="str">
        <f>IF(ISBLANK(DATA[[#This Row],[COLDROOM RECEIPT]]), "IN CUSTODY", "DISCHARGED")</f>
        <v>DISCHARGED</v>
      </c>
      <c r="T353" s="58">
        <f>COUNTA(A:A)-2</f>
        <v>419</v>
      </c>
      <c r="U353" s="59">
        <f>YEAR(DATA[[#This Row],[ADMISSION DATE]])</f>
        <v>2026</v>
      </c>
      <c r="V353" s="60" t="str">
        <f>TEXT(DATA[[#This Row],[ADMISSION DATE]],"mmm")</f>
        <v>Jun</v>
      </c>
      <c r="W353" s="59">
        <f>YEAR(DATA[[#This Row],[DISCHARGE DATE]])</f>
        <v>2026</v>
      </c>
      <c r="X353" s="60" t="str">
        <f>TEXT(DATA[[#This Row],[DISCHARGE DATE]],"mmm")</f>
        <v>Sep</v>
      </c>
    </row>
    <row r="354" spans="1:24" s="27" customFormat="1" ht="16.5" hidden="1" customHeight="1">
      <c r="A354" s="150" t="s">
        <v>1473</v>
      </c>
      <c r="B354" s="151" t="s">
        <v>1474</v>
      </c>
      <c r="C354" s="151">
        <v>30</v>
      </c>
      <c r="D354" s="152" t="s">
        <v>11</v>
      </c>
      <c r="E354" s="152" t="s">
        <v>1475</v>
      </c>
      <c r="F354" s="159">
        <v>248085327</v>
      </c>
      <c r="G354" s="152" t="s">
        <v>13</v>
      </c>
      <c r="H354" s="154">
        <v>0.60416666666666663</v>
      </c>
      <c r="I354" s="152" t="s">
        <v>20</v>
      </c>
      <c r="J354" s="155">
        <v>46201</v>
      </c>
      <c r="K354" s="155">
        <v>46269</v>
      </c>
      <c r="L354" s="151">
        <f>IF(ISBLANK(DATA[[#This Row],[DISCHARGE DATE]]),"NO DATE", DATA[[#This Row],[DISCHARGE DATE]]-DATA[[#This Row],[ADMISSION DATE]]+1)</f>
        <v>69</v>
      </c>
      <c r="M354" s="156">
        <v>350</v>
      </c>
      <c r="N354" s="156">
        <v>1380</v>
      </c>
      <c r="O354" s="157">
        <v>375</v>
      </c>
      <c r="P354" s="157">
        <v>335</v>
      </c>
      <c r="Q354" s="158">
        <f>IF(DATA[[#This Row],[STORAGE FEE]]=0,"NULL",DATA[[#This Row],[COLDROOM FEE]])-DATA[[#This Row],[STORAGE FEE]]</f>
        <v>0</v>
      </c>
      <c r="R354" s="158">
        <f>IF(ISBLANK(DATA[[#This Row],[DISCHARGE DATE]]),0,IF(DATA[[#This Row],[TYPE]]="VIP",20*DATA[[#This Row],[STORAGE DAYS]],13*DATA[[#This Row],[STORAGE DAYS]]))</f>
        <v>1380</v>
      </c>
      <c r="S354" s="71" t="str">
        <f>IF(ISBLANK(DATA[[#This Row],[COLDROOM RECEIPT]]), "IN CUSTODY", "DISCHARGED")</f>
        <v>DISCHARGED</v>
      </c>
      <c r="T354" s="58">
        <f>COUNTA(A:A)-2</f>
        <v>419</v>
      </c>
      <c r="U354" s="59">
        <f>YEAR(DATA[[#This Row],[ADMISSION DATE]])</f>
        <v>2026</v>
      </c>
      <c r="V354" s="60" t="str">
        <f>TEXT(DATA[[#This Row],[ADMISSION DATE]],"mmm")</f>
        <v>Jun</v>
      </c>
      <c r="W354" s="59">
        <f>YEAR(DATA[[#This Row],[DISCHARGE DATE]])</f>
        <v>2026</v>
      </c>
      <c r="X354" s="60" t="str">
        <f>TEXT(DATA[[#This Row],[DISCHARGE DATE]],"mmm")</f>
        <v>Sep</v>
      </c>
    </row>
    <row r="355" spans="1:24" s="27" customFormat="1" ht="16.5" customHeight="1">
      <c r="A355" s="150" t="s">
        <v>1476</v>
      </c>
      <c r="B355" s="151" t="s">
        <v>1477</v>
      </c>
      <c r="C355" s="151">
        <v>45</v>
      </c>
      <c r="D355" s="152" t="s">
        <v>11</v>
      </c>
      <c r="E355" s="152" t="s">
        <v>1478</v>
      </c>
      <c r="F355" s="159">
        <v>542362619</v>
      </c>
      <c r="G355" s="152" t="s">
        <v>15</v>
      </c>
      <c r="H355" s="154">
        <v>0.875</v>
      </c>
      <c r="I355" s="152" t="s">
        <v>20</v>
      </c>
      <c r="J355" s="155">
        <v>46172</v>
      </c>
      <c r="K355" s="155"/>
      <c r="L355" s="151" t="str">
        <f>IF(ISBLANK(DATA[[#This Row],[DISCHARGE DATE]]),"NO DATE", DATA[[#This Row],[DISCHARGE DATE]]-DATA[[#This Row],[ADMISSION DATE]]+1)</f>
        <v>NO DATE</v>
      </c>
      <c r="M355" s="156">
        <v>350</v>
      </c>
      <c r="N355" s="156"/>
      <c r="O355" s="157">
        <v>360</v>
      </c>
      <c r="P355" s="157"/>
      <c r="Q355" s="158" t="e">
        <f>IF(DATA[[#This Row],[STORAGE FEE]]=0,"NULL",DATA[[#This Row],[COLDROOM FEE]])-DATA[[#This Row],[STORAGE FEE]]</f>
        <v>#VALUE!</v>
      </c>
      <c r="R355" s="158">
        <f>IF(ISBLANK(DATA[[#This Row],[DISCHARGE DATE]]),0,IF(DATA[[#This Row],[TYPE]]="VIP",20*DATA[[#This Row],[STORAGE DAYS]],13*DATA[[#This Row],[STORAGE DAYS]]))</f>
        <v>0</v>
      </c>
      <c r="S355" s="71" t="str">
        <f>IF(ISBLANK(DATA[[#This Row],[COLDROOM RECEIPT]]), "IN CUSTODY", "DISCHARGED")</f>
        <v>IN CUSTODY</v>
      </c>
      <c r="T355" s="58">
        <f>COUNTA(A:A)-2</f>
        <v>419</v>
      </c>
      <c r="U355" s="59">
        <f>YEAR(DATA[[#This Row],[ADMISSION DATE]])</f>
        <v>2026</v>
      </c>
      <c r="V355" s="60" t="str">
        <f>TEXT(DATA[[#This Row],[ADMISSION DATE]],"mmm")</f>
        <v>May</v>
      </c>
      <c r="W355" s="59">
        <f>YEAR(DATA[[#This Row],[DISCHARGE DATE]])</f>
        <v>1900</v>
      </c>
      <c r="X355" s="60" t="str">
        <f>TEXT(DATA[[#This Row],[DISCHARGE DATE]],"mmm")</f>
        <v>Jan</v>
      </c>
    </row>
    <row r="356" spans="1:24" s="27" customFormat="1" ht="16.5" customHeight="1">
      <c r="A356" s="150" t="s">
        <v>1479</v>
      </c>
      <c r="B356" s="151" t="s">
        <v>1480</v>
      </c>
      <c r="C356" s="151">
        <v>75</v>
      </c>
      <c r="D356" s="152" t="s">
        <v>12</v>
      </c>
      <c r="E356" s="152" t="s">
        <v>1481</v>
      </c>
      <c r="F356" s="159" t="s">
        <v>1482</v>
      </c>
      <c r="G356" s="152" t="s">
        <v>16</v>
      </c>
      <c r="H356" s="154">
        <v>0.46875</v>
      </c>
      <c r="I356" s="152" t="s">
        <v>18</v>
      </c>
      <c r="J356" s="155">
        <v>46175</v>
      </c>
      <c r="K356" s="155"/>
      <c r="L356" s="151" t="str">
        <f>IF(ISBLANK(DATA[[#This Row],[DISCHARGE DATE]]),"NO DATE", DATA[[#This Row],[DISCHARGE DATE]]-DATA[[#This Row],[ADMISSION DATE]]+1)</f>
        <v>NO DATE</v>
      </c>
      <c r="M356" s="156">
        <v>350</v>
      </c>
      <c r="N356" s="156"/>
      <c r="O356" s="157">
        <v>361</v>
      </c>
      <c r="P356" s="157"/>
      <c r="Q356" s="158" t="e">
        <f>IF(DATA[[#This Row],[STORAGE FEE]]=0,"NULL",DATA[[#This Row],[COLDROOM FEE]])-DATA[[#This Row],[STORAGE FEE]]</f>
        <v>#VALUE!</v>
      </c>
      <c r="R356" s="158">
        <f>IF(ISBLANK(DATA[[#This Row],[DISCHARGE DATE]]),0,IF(DATA[[#This Row],[TYPE]]="VIP",20*DATA[[#This Row],[STORAGE DAYS]],13*DATA[[#This Row],[STORAGE DAYS]]))</f>
        <v>0</v>
      </c>
      <c r="S356" s="71" t="str">
        <f>IF(ISBLANK(DATA[[#This Row],[COLDROOM RECEIPT]]), "IN CUSTODY", "DISCHARGED")</f>
        <v>IN CUSTODY</v>
      </c>
      <c r="T356" s="58">
        <f>COUNTA(A:A)-2</f>
        <v>419</v>
      </c>
      <c r="U356" s="59">
        <f>YEAR(DATA[[#This Row],[ADMISSION DATE]])</f>
        <v>2026</v>
      </c>
      <c r="V356" s="60" t="str">
        <f>TEXT(DATA[[#This Row],[ADMISSION DATE]],"mmm")</f>
        <v>Jun</v>
      </c>
      <c r="W356" s="59">
        <f>YEAR(DATA[[#This Row],[DISCHARGE DATE]])</f>
        <v>1900</v>
      </c>
      <c r="X356" s="60" t="str">
        <f>TEXT(DATA[[#This Row],[DISCHARGE DATE]],"mmm")</f>
        <v>Jan</v>
      </c>
    </row>
    <row r="357" spans="1:24" s="27" customFormat="1" ht="16.5" customHeight="1">
      <c r="A357" s="150" t="s">
        <v>1483</v>
      </c>
      <c r="B357" s="151" t="s">
        <v>1484</v>
      </c>
      <c r="C357" s="151">
        <v>85</v>
      </c>
      <c r="D357" s="152" t="s">
        <v>11</v>
      </c>
      <c r="E357" s="152" t="s">
        <v>697</v>
      </c>
      <c r="F357" s="159" t="s">
        <v>1485</v>
      </c>
      <c r="G357" s="152" t="s">
        <v>13</v>
      </c>
      <c r="H357" s="154">
        <v>0.29166666666666669</v>
      </c>
      <c r="I357" s="152" t="s">
        <v>18</v>
      </c>
      <c r="J357" s="155">
        <v>46175</v>
      </c>
      <c r="K357" s="155"/>
      <c r="L357" s="151" t="str">
        <f>IF(ISBLANK(DATA[[#This Row],[DISCHARGE DATE]]),"NO DATE", DATA[[#This Row],[DISCHARGE DATE]]-DATA[[#This Row],[ADMISSION DATE]]+1)</f>
        <v>NO DATE</v>
      </c>
      <c r="M357" s="156">
        <v>350</v>
      </c>
      <c r="N357" s="156"/>
      <c r="O357" s="157">
        <v>362</v>
      </c>
      <c r="P357" s="157"/>
      <c r="Q357" s="158" t="e">
        <f>IF(DATA[[#This Row],[STORAGE FEE]]=0,"NULL",DATA[[#This Row],[COLDROOM FEE]])-DATA[[#This Row],[STORAGE FEE]]</f>
        <v>#VALUE!</v>
      </c>
      <c r="R357" s="158">
        <f>IF(ISBLANK(DATA[[#This Row],[DISCHARGE DATE]]),0,IF(DATA[[#This Row],[TYPE]]="VIP",20*DATA[[#This Row],[STORAGE DAYS]],13*DATA[[#This Row],[STORAGE DAYS]]))</f>
        <v>0</v>
      </c>
      <c r="S357" s="71" t="str">
        <f>IF(ISBLANK(DATA[[#This Row],[COLDROOM RECEIPT]]), "IN CUSTODY", "DISCHARGED")</f>
        <v>IN CUSTODY</v>
      </c>
      <c r="T357" s="58">
        <f>COUNTA(A:A)-2</f>
        <v>419</v>
      </c>
      <c r="U357" s="59">
        <f>YEAR(DATA[[#This Row],[ADMISSION DATE]])</f>
        <v>2026</v>
      </c>
      <c r="V357" s="60" t="str">
        <f>TEXT(DATA[[#This Row],[ADMISSION DATE]],"mmm")</f>
        <v>Jun</v>
      </c>
      <c r="W357" s="59">
        <f>YEAR(DATA[[#This Row],[DISCHARGE DATE]])</f>
        <v>1900</v>
      </c>
      <c r="X357" s="60" t="str">
        <f>TEXT(DATA[[#This Row],[DISCHARGE DATE]],"mmm")</f>
        <v>Jan</v>
      </c>
    </row>
    <row r="358" spans="1:24" s="27" customFormat="1" ht="16.5" customHeight="1">
      <c r="A358" s="150" t="s">
        <v>1486</v>
      </c>
      <c r="B358" s="151" t="s">
        <v>1487</v>
      </c>
      <c r="C358" s="151">
        <v>72</v>
      </c>
      <c r="D358" s="152" t="s">
        <v>12</v>
      </c>
      <c r="E358" s="152" t="s">
        <v>1488</v>
      </c>
      <c r="F358" s="159">
        <v>544788924</v>
      </c>
      <c r="G358" s="152" t="s">
        <v>13</v>
      </c>
      <c r="H358" s="154">
        <v>0.3972222222222222</v>
      </c>
      <c r="I358" s="152" t="s">
        <v>18</v>
      </c>
      <c r="J358" s="155">
        <v>46177</v>
      </c>
      <c r="K358" s="155"/>
      <c r="L358" s="151" t="str">
        <f>IF(ISBLANK(DATA[[#This Row],[DISCHARGE DATE]]),"NO DATE", DATA[[#This Row],[DISCHARGE DATE]]-DATA[[#This Row],[ADMISSION DATE]]+1)</f>
        <v>NO DATE</v>
      </c>
      <c r="M358" s="156">
        <v>350</v>
      </c>
      <c r="N358" s="156"/>
      <c r="O358" s="157">
        <v>363</v>
      </c>
      <c r="P358" s="157"/>
      <c r="Q358" s="158" t="e">
        <f>IF(DATA[[#This Row],[STORAGE FEE]]=0,"NULL",DATA[[#This Row],[COLDROOM FEE]])-DATA[[#This Row],[STORAGE FEE]]</f>
        <v>#VALUE!</v>
      </c>
      <c r="R358" s="158">
        <f>IF(ISBLANK(DATA[[#This Row],[DISCHARGE DATE]]),0,IF(DATA[[#This Row],[TYPE]]="VIP",20*DATA[[#This Row],[STORAGE DAYS]],13*DATA[[#This Row],[STORAGE DAYS]]))</f>
        <v>0</v>
      </c>
      <c r="S358" s="71" t="str">
        <f>IF(ISBLANK(DATA[[#This Row],[COLDROOM RECEIPT]]), "IN CUSTODY", "DISCHARGED")</f>
        <v>IN CUSTODY</v>
      </c>
      <c r="T358" s="58">
        <f>COUNTA(A:A)-2</f>
        <v>419</v>
      </c>
      <c r="U358" s="59">
        <f>YEAR(DATA[[#This Row],[ADMISSION DATE]])</f>
        <v>2026</v>
      </c>
      <c r="V358" s="60" t="str">
        <f>TEXT(DATA[[#This Row],[ADMISSION DATE]],"mmm")</f>
        <v>Jun</v>
      </c>
      <c r="W358" s="59">
        <f>YEAR(DATA[[#This Row],[DISCHARGE DATE]])</f>
        <v>1900</v>
      </c>
      <c r="X358" s="60" t="str">
        <f>TEXT(DATA[[#This Row],[DISCHARGE DATE]],"mmm")</f>
        <v>Jan</v>
      </c>
    </row>
    <row r="359" spans="1:24" s="27" customFormat="1" ht="16.5" customHeight="1">
      <c r="A359" s="150" t="s">
        <v>1489</v>
      </c>
      <c r="B359" s="151" t="s">
        <v>1490</v>
      </c>
      <c r="C359" s="151">
        <v>62</v>
      </c>
      <c r="D359" s="152" t="s">
        <v>11</v>
      </c>
      <c r="E359" s="152" t="s">
        <v>1491</v>
      </c>
      <c r="F359" s="159">
        <v>245168041</v>
      </c>
      <c r="G359" s="152" t="s">
        <v>13</v>
      </c>
      <c r="H359" s="154">
        <v>0.72222222222222221</v>
      </c>
      <c r="I359" s="152" t="s">
        <v>18</v>
      </c>
      <c r="J359" s="155">
        <v>46185</v>
      </c>
      <c r="K359" s="155"/>
      <c r="L359" s="151" t="str">
        <f>IF(ISBLANK(DATA[[#This Row],[DISCHARGE DATE]]),"NO DATE", DATA[[#This Row],[DISCHARGE DATE]]-DATA[[#This Row],[ADMISSION DATE]]+1)</f>
        <v>NO DATE</v>
      </c>
      <c r="M359" s="156">
        <v>350</v>
      </c>
      <c r="N359" s="156"/>
      <c r="O359" s="157">
        <v>364</v>
      </c>
      <c r="P359" s="157"/>
      <c r="Q359" s="158" t="e">
        <f>IF(DATA[[#This Row],[STORAGE FEE]]=0,"NULL",DATA[[#This Row],[COLDROOM FEE]])-DATA[[#This Row],[STORAGE FEE]]</f>
        <v>#VALUE!</v>
      </c>
      <c r="R359" s="158">
        <f>IF(ISBLANK(DATA[[#This Row],[DISCHARGE DATE]]),0,IF(DATA[[#This Row],[TYPE]]="VIP",20*DATA[[#This Row],[STORAGE DAYS]],13*DATA[[#This Row],[STORAGE DAYS]]))</f>
        <v>0</v>
      </c>
      <c r="S359" s="71" t="str">
        <f>IF(ISBLANK(DATA[[#This Row],[COLDROOM RECEIPT]]), "IN CUSTODY", "DISCHARGED")</f>
        <v>IN CUSTODY</v>
      </c>
      <c r="T359" s="58">
        <f>COUNTA(A:A)-2</f>
        <v>419</v>
      </c>
      <c r="U359" s="59">
        <f>YEAR(DATA[[#This Row],[ADMISSION DATE]])</f>
        <v>2026</v>
      </c>
      <c r="V359" s="60" t="str">
        <f>TEXT(DATA[[#This Row],[ADMISSION DATE]],"mmm")</f>
        <v>Jun</v>
      </c>
      <c r="W359" s="59">
        <f>YEAR(DATA[[#This Row],[DISCHARGE DATE]])</f>
        <v>1900</v>
      </c>
      <c r="X359" s="60" t="str">
        <f>TEXT(DATA[[#This Row],[DISCHARGE DATE]],"mmm")</f>
        <v>Jan</v>
      </c>
    </row>
    <row r="360" spans="1:24" s="27" customFormat="1" ht="16.5" customHeight="1">
      <c r="A360" s="150" t="s">
        <v>1492</v>
      </c>
      <c r="B360" s="151" t="s">
        <v>1493</v>
      </c>
      <c r="C360" s="151">
        <v>54</v>
      </c>
      <c r="D360" s="152" t="s">
        <v>11</v>
      </c>
      <c r="E360" s="152" t="s">
        <v>1494</v>
      </c>
      <c r="F360" s="159">
        <v>244029038</v>
      </c>
      <c r="G360" s="152" t="s">
        <v>40</v>
      </c>
      <c r="H360" s="154">
        <v>0.45</v>
      </c>
      <c r="I360" s="152" t="s">
        <v>18</v>
      </c>
      <c r="J360" s="155">
        <v>46188</v>
      </c>
      <c r="K360" s="155"/>
      <c r="L360" s="151" t="str">
        <f>IF(ISBLANK(DATA[[#This Row],[DISCHARGE DATE]]),"NO DATE", DATA[[#This Row],[DISCHARGE DATE]]-DATA[[#This Row],[ADMISSION DATE]]+1)</f>
        <v>NO DATE</v>
      </c>
      <c r="M360" s="156">
        <v>350</v>
      </c>
      <c r="N360" s="156"/>
      <c r="O360" s="157">
        <v>365</v>
      </c>
      <c r="P360" s="157"/>
      <c r="Q360" s="158" t="e">
        <f>IF(DATA[[#This Row],[STORAGE FEE]]=0,"NULL",DATA[[#This Row],[COLDROOM FEE]])-DATA[[#This Row],[STORAGE FEE]]</f>
        <v>#VALUE!</v>
      </c>
      <c r="R360" s="158">
        <f>IF(ISBLANK(DATA[[#This Row],[DISCHARGE DATE]]),0,IF(DATA[[#This Row],[TYPE]]="VIP",20*DATA[[#This Row],[STORAGE DAYS]],13*DATA[[#This Row],[STORAGE DAYS]]))</f>
        <v>0</v>
      </c>
      <c r="S360" s="71" t="str">
        <f>IF(ISBLANK(DATA[[#This Row],[COLDROOM RECEIPT]]), "IN CUSTODY", "DISCHARGED")</f>
        <v>IN CUSTODY</v>
      </c>
      <c r="T360" s="58">
        <f>COUNTA(A:A)-2</f>
        <v>419</v>
      </c>
      <c r="U360" s="59">
        <f>YEAR(DATA[[#This Row],[ADMISSION DATE]])</f>
        <v>2026</v>
      </c>
      <c r="V360" s="60" t="str">
        <f>TEXT(DATA[[#This Row],[ADMISSION DATE]],"mmm")</f>
        <v>Jun</v>
      </c>
      <c r="W360" s="59">
        <f>YEAR(DATA[[#This Row],[DISCHARGE DATE]])</f>
        <v>1900</v>
      </c>
      <c r="X360" s="60" t="str">
        <f>TEXT(DATA[[#This Row],[DISCHARGE DATE]],"mmm")</f>
        <v>Jan</v>
      </c>
    </row>
    <row r="361" spans="1:24" s="27" customFormat="1" ht="16.5" customHeight="1">
      <c r="A361" s="150" t="s">
        <v>1495</v>
      </c>
      <c r="B361" s="151" t="s">
        <v>1496</v>
      </c>
      <c r="C361" s="151">
        <v>53</v>
      </c>
      <c r="D361" s="152" t="s">
        <v>12</v>
      </c>
      <c r="E361" s="152" t="s">
        <v>1497</v>
      </c>
      <c r="F361" s="159">
        <v>542059788</v>
      </c>
      <c r="G361" s="152" t="s">
        <v>15</v>
      </c>
      <c r="H361" s="154">
        <v>0.5</v>
      </c>
      <c r="I361" s="152" t="s">
        <v>18</v>
      </c>
      <c r="J361" s="155">
        <v>46187</v>
      </c>
      <c r="K361" s="155">
        <v>46325</v>
      </c>
      <c r="L361" s="151">
        <f>IF(ISBLANK(DATA[[#This Row],[DISCHARGE DATE]]),"NO DATE", DATA[[#This Row],[DISCHARGE DATE]]-DATA[[#This Row],[ADMISSION DATE]]+1)</f>
        <v>139</v>
      </c>
      <c r="M361" s="156">
        <v>350</v>
      </c>
      <c r="N361" s="156"/>
      <c r="O361" s="157">
        <v>366</v>
      </c>
      <c r="P361" s="157"/>
      <c r="Q361" s="158">
        <f>IF(DATA[[#This Row],[STORAGE FEE]]=0,"NULL",DATA[[#This Row],[COLDROOM FEE]])-DATA[[#This Row],[STORAGE FEE]]</f>
        <v>-1807</v>
      </c>
      <c r="R361" s="158">
        <f>IF(ISBLANK(DATA[[#This Row],[DISCHARGE DATE]]),0,IF(DATA[[#This Row],[TYPE]]="VIP",20*DATA[[#This Row],[STORAGE DAYS]],13*DATA[[#This Row],[STORAGE DAYS]]))</f>
        <v>1807</v>
      </c>
      <c r="S361" s="71" t="str">
        <f>IF(ISBLANK(DATA[[#This Row],[COLDROOM RECEIPT]]), "IN CUSTODY", "DISCHARGED")</f>
        <v>IN CUSTODY</v>
      </c>
      <c r="T361" s="58">
        <f>COUNTA(A:A)-2</f>
        <v>419</v>
      </c>
      <c r="U361" s="59">
        <f>YEAR(DATA[[#This Row],[ADMISSION DATE]])</f>
        <v>2026</v>
      </c>
      <c r="V361" s="60" t="str">
        <f>TEXT(DATA[[#This Row],[ADMISSION DATE]],"mmm")</f>
        <v>Jun</v>
      </c>
      <c r="W361" s="59">
        <f>YEAR(DATA[[#This Row],[DISCHARGE DATE]])</f>
        <v>2026</v>
      </c>
      <c r="X361" s="60" t="str">
        <f>TEXT(DATA[[#This Row],[DISCHARGE DATE]],"mmm")</f>
        <v>Oct</v>
      </c>
    </row>
    <row r="362" spans="1:24" s="27" customFormat="1" ht="16.5" customHeight="1">
      <c r="A362" s="150" t="s">
        <v>1498</v>
      </c>
      <c r="B362" s="151" t="s">
        <v>1499</v>
      </c>
      <c r="C362" s="151">
        <v>58</v>
      </c>
      <c r="D362" s="152" t="s">
        <v>12</v>
      </c>
      <c r="E362" s="152" t="s">
        <v>1500</v>
      </c>
      <c r="F362" s="159">
        <v>249518242</v>
      </c>
      <c r="G362" s="152" t="s">
        <v>16</v>
      </c>
      <c r="H362" s="154">
        <v>0.43333333333333335</v>
      </c>
      <c r="I362" s="152" t="s">
        <v>18</v>
      </c>
      <c r="J362" s="155">
        <v>46189</v>
      </c>
      <c r="K362" s="155"/>
      <c r="L362" s="151" t="str">
        <f>IF(ISBLANK(DATA[[#This Row],[DISCHARGE DATE]]),"NO DATE", DATA[[#This Row],[DISCHARGE DATE]]-DATA[[#This Row],[ADMISSION DATE]]+1)</f>
        <v>NO DATE</v>
      </c>
      <c r="M362" s="156">
        <v>350</v>
      </c>
      <c r="N362" s="156"/>
      <c r="O362" s="157">
        <v>367</v>
      </c>
      <c r="P362" s="157"/>
      <c r="Q362" s="158" t="e">
        <f>IF(DATA[[#This Row],[STORAGE FEE]]=0,"NULL",DATA[[#This Row],[COLDROOM FEE]])-DATA[[#This Row],[STORAGE FEE]]</f>
        <v>#VALUE!</v>
      </c>
      <c r="R362" s="158">
        <f>IF(ISBLANK(DATA[[#This Row],[DISCHARGE DATE]]),0,IF(DATA[[#This Row],[TYPE]]="VIP",20*DATA[[#This Row],[STORAGE DAYS]],13*DATA[[#This Row],[STORAGE DAYS]]))</f>
        <v>0</v>
      </c>
      <c r="S362" s="71" t="str">
        <f>IF(ISBLANK(DATA[[#This Row],[COLDROOM RECEIPT]]), "IN CUSTODY", "DISCHARGED")</f>
        <v>IN CUSTODY</v>
      </c>
      <c r="T362" s="58">
        <f>COUNTA(A:A)-2</f>
        <v>419</v>
      </c>
      <c r="U362" s="59">
        <f>YEAR(DATA[[#This Row],[ADMISSION DATE]])</f>
        <v>2026</v>
      </c>
      <c r="V362" s="60" t="str">
        <f>TEXT(DATA[[#This Row],[ADMISSION DATE]],"mmm")</f>
        <v>Jun</v>
      </c>
      <c r="W362" s="59">
        <f>YEAR(DATA[[#This Row],[DISCHARGE DATE]])</f>
        <v>1900</v>
      </c>
      <c r="X362" s="60" t="str">
        <f>TEXT(DATA[[#This Row],[DISCHARGE DATE]],"mmm")</f>
        <v>Jan</v>
      </c>
    </row>
    <row r="363" spans="1:24" s="27" customFormat="1" ht="16.5" hidden="1" customHeight="1">
      <c r="A363" s="150" t="s">
        <v>1501</v>
      </c>
      <c r="B363" s="151" t="s">
        <v>1502</v>
      </c>
      <c r="C363" s="151">
        <v>63</v>
      </c>
      <c r="D363" s="152" t="s">
        <v>12</v>
      </c>
      <c r="E363" s="152" t="s">
        <v>1503</v>
      </c>
      <c r="F363" s="159">
        <v>545025693</v>
      </c>
      <c r="G363" s="152" t="s">
        <v>13</v>
      </c>
      <c r="H363" s="154">
        <v>0.72916666666666663</v>
      </c>
      <c r="I363" s="152" t="s">
        <v>18</v>
      </c>
      <c r="J363" s="155">
        <v>46202</v>
      </c>
      <c r="K363" s="155">
        <v>46269</v>
      </c>
      <c r="L363" s="151">
        <f>IF(ISBLANK(DATA[[#This Row],[DISCHARGE DATE]]),"NO DATE", DATA[[#This Row],[DISCHARGE DATE]]-DATA[[#This Row],[ADMISSION DATE]]+1)</f>
        <v>68</v>
      </c>
      <c r="M363" s="156">
        <v>350</v>
      </c>
      <c r="N363" s="156">
        <v>884</v>
      </c>
      <c r="O363" s="157">
        <v>376</v>
      </c>
      <c r="P363" s="157">
        <v>331</v>
      </c>
      <c r="Q363" s="158">
        <f>IF(DATA[[#This Row],[STORAGE FEE]]=0,"NULL",DATA[[#This Row],[COLDROOM FEE]])-DATA[[#This Row],[STORAGE FEE]]</f>
        <v>0</v>
      </c>
      <c r="R363" s="158">
        <f>IF(ISBLANK(DATA[[#This Row],[DISCHARGE DATE]]),0,IF(DATA[[#This Row],[TYPE]]="VIP",20*DATA[[#This Row],[STORAGE DAYS]],13*DATA[[#This Row],[STORAGE DAYS]]))</f>
        <v>884</v>
      </c>
      <c r="S363" s="71" t="str">
        <f>IF(ISBLANK(DATA[[#This Row],[COLDROOM RECEIPT]]), "IN CUSTODY", "DISCHARGED")</f>
        <v>DISCHARGED</v>
      </c>
      <c r="T363" s="58">
        <f>COUNTA(A:A)-2</f>
        <v>419</v>
      </c>
      <c r="U363" s="59">
        <f>YEAR(DATA[[#This Row],[ADMISSION DATE]])</f>
        <v>2026</v>
      </c>
      <c r="V363" s="60" t="str">
        <f>TEXT(DATA[[#This Row],[ADMISSION DATE]],"mmm")</f>
        <v>Jun</v>
      </c>
      <c r="W363" s="59">
        <f>YEAR(DATA[[#This Row],[DISCHARGE DATE]])</f>
        <v>2026</v>
      </c>
      <c r="X363" s="60" t="str">
        <f>TEXT(DATA[[#This Row],[DISCHARGE DATE]],"mmm")</f>
        <v>Sep</v>
      </c>
    </row>
    <row r="364" spans="1:24" s="27" customFormat="1" ht="16.5" hidden="1" customHeight="1">
      <c r="A364" s="150" t="s">
        <v>1504</v>
      </c>
      <c r="B364" s="151" t="s">
        <v>1505</v>
      </c>
      <c r="C364" s="151">
        <v>49</v>
      </c>
      <c r="D364" s="152" t="s">
        <v>11</v>
      </c>
      <c r="E364" s="152" t="s">
        <v>1506</v>
      </c>
      <c r="F364" s="159">
        <v>247040899</v>
      </c>
      <c r="G364" s="152" t="s">
        <v>13</v>
      </c>
      <c r="H364" s="154">
        <v>0.625</v>
      </c>
      <c r="I364" s="152" t="s">
        <v>18</v>
      </c>
      <c r="J364" s="155">
        <v>46204</v>
      </c>
      <c r="K364" s="155">
        <v>46269</v>
      </c>
      <c r="L364" s="151">
        <f>IF(ISBLANK(DATA[[#This Row],[DISCHARGE DATE]]),"NO DATE", DATA[[#This Row],[DISCHARGE DATE]]-DATA[[#This Row],[ADMISSION DATE]]+1)</f>
        <v>66</v>
      </c>
      <c r="M364" s="156">
        <v>350</v>
      </c>
      <c r="N364" s="156">
        <v>858</v>
      </c>
      <c r="O364" s="157">
        <v>377</v>
      </c>
      <c r="P364" s="157">
        <v>349</v>
      </c>
      <c r="Q364" s="158">
        <f>IF(DATA[[#This Row],[STORAGE FEE]]=0,"NULL",DATA[[#This Row],[COLDROOM FEE]])-DATA[[#This Row],[STORAGE FEE]]</f>
        <v>0</v>
      </c>
      <c r="R364" s="158">
        <f>IF(ISBLANK(DATA[[#This Row],[DISCHARGE DATE]]),0,IF(DATA[[#This Row],[TYPE]]="VIP",20*DATA[[#This Row],[STORAGE DAYS]],13*DATA[[#This Row],[STORAGE DAYS]]))</f>
        <v>858</v>
      </c>
      <c r="S364" s="71" t="str">
        <f>IF(ISBLANK(DATA[[#This Row],[COLDROOM RECEIPT]]), "IN CUSTODY", "DISCHARGED")</f>
        <v>DISCHARGED</v>
      </c>
      <c r="T364" s="58">
        <f>COUNTA(A:A)-2</f>
        <v>419</v>
      </c>
      <c r="U364" s="59">
        <f>YEAR(DATA[[#This Row],[ADMISSION DATE]])</f>
        <v>2026</v>
      </c>
      <c r="V364" s="60" t="str">
        <f>TEXT(DATA[[#This Row],[ADMISSION DATE]],"mmm")</f>
        <v>Jul</v>
      </c>
      <c r="W364" s="59">
        <f>YEAR(DATA[[#This Row],[DISCHARGE DATE]])</f>
        <v>2026</v>
      </c>
      <c r="X364" s="60" t="str">
        <f>TEXT(DATA[[#This Row],[DISCHARGE DATE]],"mmm")</f>
        <v>Sep</v>
      </c>
    </row>
    <row r="365" spans="1:24" s="27" customFormat="1" ht="16.5" hidden="1" customHeight="1">
      <c r="A365" s="150" t="s">
        <v>1507</v>
      </c>
      <c r="B365" s="151" t="s">
        <v>1508</v>
      </c>
      <c r="C365" s="151">
        <v>62</v>
      </c>
      <c r="D365" s="152" t="s">
        <v>12</v>
      </c>
      <c r="E365" s="152" t="s">
        <v>254</v>
      </c>
      <c r="F365" s="159">
        <v>592684635</v>
      </c>
      <c r="G365" s="152" t="s">
        <v>16</v>
      </c>
      <c r="H365" s="154">
        <v>0.875</v>
      </c>
      <c r="I365" s="152" t="s">
        <v>18</v>
      </c>
      <c r="J365" s="155">
        <v>46144</v>
      </c>
      <c r="K365" s="155">
        <v>46283</v>
      </c>
      <c r="L365" s="151">
        <f>IF(ISBLANK(DATA[[#This Row],[DISCHARGE DATE]]),"NO DATE", DATA[[#This Row],[DISCHARGE DATE]]-DATA[[#This Row],[ADMISSION DATE]]+1)</f>
        <v>140</v>
      </c>
      <c r="M365" s="156">
        <v>350</v>
      </c>
      <c r="N365" s="156">
        <v>1820</v>
      </c>
      <c r="O365" s="157">
        <v>345</v>
      </c>
      <c r="P365" s="157">
        <v>359</v>
      </c>
      <c r="Q365" s="158">
        <f>IF(DATA[[#This Row],[STORAGE FEE]]=0,"NULL",DATA[[#This Row],[COLDROOM FEE]])-DATA[[#This Row],[STORAGE FEE]]</f>
        <v>0</v>
      </c>
      <c r="R365" s="158">
        <f>IF(ISBLANK(DATA[[#This Row],[DISCHARGE DATE]]),0,IF(DATA[[#This Row],[TYPE]]="VIP",20*DATA[[#This Row],[STORAGE DAYS]],13*DATA[[#This Row],[STORAGE DAYS]]))</f>
        <v>1820</v>
      </c>
      <c r="S365" s="71" t="str">
        <f>IF(ISBLANK(DATA[[#This Row],[COLDROOM RECEIPT]]), "IN CUSTODY", "DISCHARGED")</f>
        <v>DISCHARGED</v>
      </c>
      <c r="T365" s="58">
        <f>COUNTA(A:A)-2</f>
        <v>419</v>
      </c>
      <c r="U365" s="59">
        <f>YEAR(DATA[[#This Row],[ADMISSION DATE]])</f>
        <v>2026</v>
      </c>
      <c r="V365" s="60" t="str">
        <f>TEXT(DATA[[#This Row],[ADMISSION DATE]],"mmm")</f>
        <v>May</v>
      </c>
      <c r="W365" s="59">
        <f>YEAR(DATA[[#This Row],[DISCHARGE DATE]])</f>
        <v>2026</v>
      </c>
      <c r="X365" s="60" t="str">
        <f>TEXT(DATA[[#This Row],[DISCHARGE DATE]],"mmm")</f>
        <v>Sep</v>
      </c>
    </row>
    <row r="366" spans="1:24" s="27" customFormat="1" ht="16.5" hidden="1" customHeight="1">
      <c r="A366" s="150" t="s">
        <v>1509</v>
      </c>
      <c r="B366" s="151" t="s">
        <v>1510</v>
      </c>
      <c r="C366" s="151">
        <v>69</v>
      </c>
      <c r="D366" s="152" t="s">
        <v>11</v>
      </c>
      <c r="E366" s="152" t="s">
        <v>426</v>
      </c>
      <c r="F366" s="159">
        <v>249088103</v>
      </c>
      <c r="G366" s="152" t="s">
        <v>15</v>
      </c>
      <c r="H366" s="154">
        <v>0.4152777777777778</v>
      </c>
      <c r="I366" s="152" t="s">
        <v>20</v>
      </c>
      <c r="J366" s="155">
        <v>46195</v>
      </c>
      <c r="K366" s="155">
        <v>46297</v>
      </c>
      <c r="L366" s="151">
        <f>IF(ISBLANK(DATA[[#This Row],[DISCHARGE DATE]]),"NO DATE", DATA[[#This Row],[DISCHARGE DATE]]-DATA[[#This Row],[ADMISSION DATE]]+1)</f>
        <v>103</v>
      </c>
      <c r="M366" s="156">
        <v>350</v>
      </c>
      <c r="N366" s="156">
        <v>2060</v>
      </c>
      <c r="O366" s="157">
        <v>370</v>
      </c>
      <c r="P366" s="157">
        <v>366</v>
      </c>
      <c r="Q366" s="158">
        <f>IF(DATA[[#This Row],[STORAGE FEE]]=0,"NULL",DATA[[#This Row],[COLDROOM FEE]])-DATA[[#This Row],[STORAGE FEE]]</f>
        <v>0</v>
      </c>
      <c r="R366" s="158">
        <f>IF(ISBLANK(DATA[[#This Row],[DISCHARGE DATE]]),0,IF(DATA[[#This Row],[TYPE]]="VIP",20*DATA[[#This Row],[STORAGE DAYS]],13*DATA[[#This Row],[STORAGE DAYS]]))</f>
        <v>2060</v>
      </c>
      <c r="S366" s="71" t="str">
        <f>IF(ISBLANK(DATA[[#This Row],[COLDROOM RECEIPT]]), "IN CUSTODY", "DISCHARGED")</f>
        <v>DISCHARGED</v>
      </c>
      <c r="T366" s="58">
        <f>COUNTA(A:A)-2</f>
        <v>419</v>
      </c>
      <c r="U366" s="59">
        <f>YEAR(DATA[[#This Row],[ADMISSION DATE]])</f>
        <v>2026</v>
      </c>
      <c r="V366" s="60" t="str">
        <f>TEXT(DATA[[#This Row],[ADMISSION DATE]],"mmm")</f>
        <v>Jun</v>
      </c>
      <c r="W366" s="59">
        <f>YEAR(DATA[[#This Row],[DISCHARGE DATE]])</f>
        <v>2026</v>
      </c>
      <c r="X366" s="60" t="str">
        <f>TEXT(DATA[[#This Row],[DISCHARGE DATE]],"mmm")</f>
        <v>Oct</v>
      </c>
    </row>
    <row r="367" spans="1:24" s="27" customFormat="1" ht="16.5" customHeight="1">
      <c r="A367" s="150" t="s">
        <v>1511</v>
      </c>
      <c r="B367" s="151" t="s">
        <v>1512</v>
      </c>
      <c r="C367" s="151">
        <v>95</v>
      </c>
      <c r="D367" s="152" t="s">
        <v>11</v>
      </c>
      <c r="E367" s="152" t="s">
        <v>1513</v>
      </c>
      <c r="F367" s="159">
        <v>541881395</v>
      </c>
      <c r="G367" s="152" t="s">
        <v>13</v>
      </c>
      <c r="H367" s="154">
        <v>0.4201388888888889</v>
      </c>
      <c r="I367" s="152" t="s">
        <v>18</v>
      </c>
      <c r="J367" s="155">
        <v>46193</v>
      </c>
      <c r="K367" s="155"/>
      <c r="L367" s="151" t="str">
        <f>IF(ISBLANK(DATA[[#This Row],[DISCHARGE DATE]]),"NO DATE", DATA[[#This Row],[DISCHARGE DATE]]-DATA[[#This Row],[ADMISSION DATE]]+1)</f>
        <v>NO DATE</v>
      </c>
      <c r="M367" s="156">
        <v>350</v>
      </c>
      <c r="N367" s="156"/>
      <c r="O367" s="157">
        <v>371</v>
      </c>
      <c r="P367" s="157"/>
      <c r="Q367" s="158" t="e">
        <f>IF(DATA[[#This Row],[STORAGE FEE]]=0,"NULL",DATA[[#This Row],[COLDROOM FEE]])-DATA[[#This Row],[STORAGE FEE]]</f>
        <v>#VALUE!</v>
      </c>
      <c r="R367" s="158">
        <f>IF(ISBLANK(DATA[[#This Row],[DISCHARGE DATE]]),0,IF(DATA[[#This Row],[TYPE]]="VIP",20*DATA[[#This Row],[STORAGE DAYS]],13*DATA[[#This Row],[STORAGE DAYS]]))</f>
        <v>0</v>
      </c>
      <c r="S367" s="71" t="str">
        <f>IF(ISBLANK(DATA[[#This Row],[COLDROOM RECEIPT]]), "IN CUSTODY", "DISCHARGED")</f>
        <v>IN CUSTODY</v>
      </c>
      <c r="T367" s="58">
        <f>COUNTA(A:A)-2</f>
        <v>419</v>
      </c>
      <c r="U367" s="59">
        <f>YEAR(DATA[[#This Row],[ADMISSION DATE]])</f>
        <v>2026</v>
      </c>
      <c r="V367" s="60" t="str">
        <f>TEXT(DATA[[#This Row],[ADMISSION DATE]],"mmm")</f>
        <v>Jun</v>
      </c>
      <c r="W367" s="59">
        <f>YEAR(DATA[[#This Row],[DISCHARGE DATE]])</f>
        <v>1900</v>
      </c>
      <c r="X367" s="60" t="str">
        <f>TEXT(DATA[[#This Row],[DISCHARGE DATE]],"mmm")</f>
        <v>Jan</v>
      </c>
    </row>
    <row r="368" spans="1:24" s="27" customFormat="1" ht="16.5" customHeight="1">
      <c r="A368" s="150" t="s">
        <v>1514</v>
      </c>
      <c r="B368" s="151" t="s">
        <v>1515</v>
      </c>
      <c r="C368" s="151">
        <v>55</v>
      </c>
      <c r="D368" s="152" t="s">
        <v>11</v>
      </c>
      <c r="E368" s="152" t="s">
        <v>108</v>
      </c>
      <c r="F368" s="159">
        <v>241185137</v>
      </c>
      <c r="G368" s="152" t="s">
        <v>16</v>
      </c>
      <c r="H368" s="154">
        <v>0.42222222222222222</v>
      </c>
      <c r="I368" s="152" t="s">
        <v>18</v>
      </c>
      <c r="J368" s="155">
        <v>46195</v>
      </c>
      <c r="K368" s="155"/>
      <c r="L368" s="151" t="str">
        <f>IF(ISBLANK(DATA[[#This Row],[DISCHARGE DATE]]),"NO DATE", DATA[[#This Row],[DISCHARGE DATE]]-DATA[[#This Row],[ADMISSION DATE]]+1)</f>
        <v>NO DATE</v>
      </c>
      <c r="M368" s="156">
        <v>350</v>
      </c>
      <c r="N368" s="156"/>
      <c r="O368" s="157">
        <v>372</v>
      </c>
      <c r="P368" s="157"/>
      <c r="Q368" s="158" t="e">
        <f>IF(DATA[[#This Row],[STORAGE FEE]]=0,"NULL",DATA[[#This Row],[COLDROOM FEE]])-DATA[[#This Row],[STORAGE FEE]]</f>
        <v>#VALUE!</v>
      </c>
      <c r="R368" s="158">
        <f>IF(ISBLANK(DATA[[#This Row],[DISCHARGE DATE]]),0,IF(DATA[[#This Row],[TYPE]]="VIP",20*DATA[[#This Row],[STORAGE DAYS]],13*DATA[[#This Row],[STORAGE DAYS]]))</f>
        <v>0</v>
      </c>
      <c r="S368" s="71" t="str">
        <f>IF(ISBLANK(DATA[[#This Row],[COLDROOM RECEIPT]]), "IN CUSTODY", "DISCHARGED")</f>
        <v>IN CUSTODY</v>
      </c>
      <c r="T368" s="58">
        <f>COUNTA(A:A)-2</f>
        <v>419</v>
      </c>
      <c r="U368" s="59">
        <f>YEAR(DATA[[#This Row],[ADMISSION DATE]])</f>
        <v>2026</v>
      </c>
      <c r="V368" s="60" t="str">
        <f>TEXT(DATA[[#This Row],[ADMISSION DATE]],"mmm")</f>
        <v>Jun</v>
      </c>
      <c r="W368" s="59">
        <f>YEAR(DATA[[#This Row],[DISCHARGE DATE]])</f>
        <v>1900</v>
      </c>
      <c r="X368" s="60" t="str">
        <f>TEXT(DATA[[#This Row],[DISCHARGE DATE]],"mmm")</f>
        <v>Jan</v>
      </c>
    </row>
    <row r="369" spans="1:24" s="27" customFormat="1" ht="16.5" hidden="1" customHeight="1">
      <c r="A369" s="150" t="s">
        <v>1516</v>
      </c>
      <c r="B369" s="151" t="s">
        <v>1517</v>
      </c>
      <c r="C369" s="151">
        <v>66</v>
      </c>
      <c r="D369" s="152" t="s">
        <v>12</v>
      </c>
      <c r="E369" s="152" t="s">
        <v>1518</v>
      </c>
      <c r="F369" s="159">
        <v>533468634</v>
      </c>
      <c r="G369" s="152" t="s">
        <v>15</v>
      </c>
      <c r="H369" s="154">
        <v>0.95833333333333337</v>
      </c>
      <c r="I369" s="152" t="s">
        <v>20</v>
      </c>
      <c r="J369" s="155">
        <v>46200</v>
      </c>
      <c r="K369" s="155">
        <v>46297</v>
      </c>
      <c r="L369" s="151">
        <f>IF(ISBLANK(DATA[[#This Row],[DISCHARGE DATE]]),"NO DATE", DATA[[#This Row],[DISCHARGE DATE]]-DATA[[#This Row],[ADMISSION DATE]]+1)</f>
        <v>98</v>
      </c>
      <c r="M369" s="156">
        <v>350</v>
      </c>
      <c r="N369" s="156">
        <v>1960</v>
      </c>
      <c r="O369" s="157">
        <v>374</v>
      </c>
      <c r="P369" s="157">
        <v>367</v>
      </c>
      <c r="Q369" s="158">
        <f>IF(DATA[[#This Row],[STORAGE FEE]]=0,"NULL",DATA[[#This Row],[COLDROOM FEE]])-DATA[[#This Row],[STORAGE FEE]]</f>
        <v>0</v>
      </c>
      <c r="R369" s="158">
        <f>IF(ISBLANK(DATA[[#This Row],[DISCHARGE DATE]]),0,IF(DATA[[#This Row],[TYPE]]="VIP",20*DATA[[#This Row],[STORAGE DAYS]],13*DATA[[#This Row],[STORAGE DAYS]]))</f>
        <v>1960</v>
      </c>
      <c r="S369" s="71" t="str">
        <f>IF(ISBLANK(DATA[[#This Row],[COLDROOM RECEIPT]]), "IN CUSTODY", "DISCHARGED")</f>
        <v>DISCHARGED</v>
      </c>
      <c r="T369" s="58">
        <f>COUNTA(A:A)-2</f>
        <v>419</v>
      </c>
      <c r="U369" s="59">
        <f>YEAR(DATA[[#This Row],[ADMISSION DATE]])</f>
        <v>2026</v>
      </c>
      <c r="V369" s="60" t="str">
        <f>TEXT(DATA[[#This Row],[ADMISSION DATE]],"mmm")</f>
        <v>Jun</v>
      </c>
      <c r="W369" s="59">
        <f>YEAR(DATA[[#This Row],[DISCHARGE DATE]])</f>
        <v>2026</v>
      </c>
      <c r="X369" s="60" t="str">
        <f>TEXT(DATA[[#This Row],[DISCHARGE DATE]],"mmm")</f>
        <v>Oct</v>
      </c>
    </row>
    <row r="370" spans="1:24" s="27" customFormat="1" ht="16.5" hidden="1" customHeight="1">
      <c r="A370" s="150" t="s">
        <v>1519</v>
      </c>
      <c r="B370" s="151" t="s">
        <v>1520</v>
      </c>
      <c r="C370" s="151">
        <v>87</v>
      </c>
      <c r="D370" s="152" t="s">
        <v>11</v>
      </c>
      <c r="E370" s="152" t="s">
        <v>1521</v>
      </c>
      <c r="F370" s="153">
        <v>546336966</v>
      </c>
      <c r="G370" s="152" t="s">
        <v>16</v>
      </c>
      <c r="H370" s="154">
        <v>0.75</v>
      </c>
      <c r="I370" s="152" t="s">
        <v>18</v>
      </c>
      <c r="J370" s="155">
        <v>46099</v>
      </c>
      <c r="K370" s="155">
        <v>46290</v>
      </c>
      <c r="L370" s="151">
        <f>IF(ISBLANK(DATA[[#This Row],[DISCHARGE DATE]]),"NO DATE", DATA[[#This Row],[DISCHARGE DATE]]-DATA[[#This Row],[ADMISSION DATE]]+1)</f>
        <v>192</v>
      </c>
      <c r="M370" s="156">
        <v>350</v>
      </c>
      <c r="N370" s="156">
        <v>2496</v>
      </c>
      <c r="O370" s="157">
        <v>323</v>
      </c>
      <c r="P370" s="157">
        <v>364</v>
      </c>
      <c r="Q370" s="158">
        <f>IF(DATA[[#This Row],[STORAGE FEE]]=0,"NULL",DATA[[#This Row],[COLDROOM FEE]])-DATA[[#This Row],[STORAGE FEE]]</f>
        <v>0</v>
      </c>
      <c r="R370" s="158">
        <f>IF(ISBLANK(DATA[[#This Row],[DISCHARGE DATE]]),0,IF(DATA[[#This Row],[TYPE]]="VIP",20*DATA[[#This Row],[STORAGE DAYS]],13*DATA[[#This Row],[STORAGE DAYS]]))</f>
        <v>2496</v>
      </c>
      <c r="S370" s="71" t="str">
        <f>IF(ISBLANK(DATA[[#This Row],[COLDROOM RECEIPT]]), "IN CUSTODY", "DISCHARGED")</f>
        <v>DISCHARGED</v>
      </c>
      <c r="T370" s="58">
        <f>COUNTA(A:A)-2</f>
        <v>419</v>
      </c>
      <c r="U370" s="59">
        <f>YEAR(DATA[[#This Row],[ADMISSION DATE]])</f>
        <v>2026</v>
      </c>
      <c r="V370" s="60" t="str">
        <f>TEXT(DATA[[#This Row],[ADMISSION DATE]],"mmm")</f>
        <v>Mar</v>
      </c>
      <c r="W370" s="59">
        <f>YEAR(DATA[[#This Row],[DISCHARGE DATE]])</f>
        <v>2026</v>
      </c>
      <c r="X370" s="60" t="str">
        <f>TEXT(DATA[[#This Row],[DISCHARGE DATE]],"mmm")</f>
        <v>Sep</v>
      </c>
    </row>
    <row r="371" spans="1:24" s="27" customFormat="1" ht="16.5" hidden="1" customHeight="1">
      <c r="A371" s="150" t="s">
        <v>1522</v>
      </c>
      <c r="B371" s="151" t="s">
        <v>1523</v>
      </c>
      <c r="C371" s="151">
        <v>70</v>
      </c>
      <c r="D371" s="152" t="s">
        <v>12</v>
      </c>
      <c r="E371" s="152" t="s">
        <v>1524</v>
      </c>
      <c r="F371" s="159">
        <v>533486141</v>
      </c>
      <c r="G371" s="152" t="s">
        <v>16</v>
      </c>
      <c r="H371" s="154">
        <v>0.29166666666666669</v>
      </c>
      <c r="I371" s="152" t="s">
        <v>18</v>
      </c>
      <c r="J371" s="155">
        <v>46155</v>
      </c>
      <c r="K371" s="155">
        <v>46290</v>
      </c>
      <c r="L371" s="151">
        <f>IF(ISBLANK(DATA[[#This Row],[DISCHARGE DATE]]),"NO DATE", DATA[[#This Row],[DISCHARGE DATE]]-DATA[[#This Row],[ADMISSION DATE]]+1)</f>
        <v>136</v>
      </c>
      <c r="M371" s="156">
        <v>350</v>
      </c>
      <c r="N371" s="156">
        <v>1768</v>
      </c>
      <c r="O371" s="157">
        <v>352</v>
      </c>
      <c r="P371" s="157">
        <v>358</v>
      </c>
      <c r="Q371" s="158">
        <f>IF(DATA[[#This Row],[STORAGE FEE]]=0,"NULL",DATA[[#This Row],[COLDROOM FEE]])-DATA[[#This Row],[STORAGE FEE]]</f>
        <v>0</v>
      </c>
      <c r="R371" s="158">
        <f>IF(ISBLANK(DATA[[#This Row],[DISCHARGE DATE]]),0,IF(DATA[[#This Row],[TYPE]]="VIP",20*DATA[[#This Row],[STORAGE DAYS]],13*DATA[[#This Row],[STORAGE DAYS]]))</f>
        <v>1768</v>
      </c>
      <c r="S371" s="71" t="str">
        <f>IF(ISBLANK(DATA[[#This Row],[COLDROOM RECEIPT]]), "IN CUSTODY", "DISCHARGED")</f>
        <v>DISCHARGED</v>
      </c>
      <c r="T371" s="58">
        <f>COUNTA(A:A)-2</f>
        <v>419</v>
      </c>
      <c r="U371" s="59">
        <f>YEAR(DATA[[#This Row],[ADMISSION DATE]])</f>
        <v>2026</v>
      </c>
      <c r="V371" s="60" t="str">
        <f>TEXT(DATA[[#This Row],[ADMISSION DATE]],"mmm")</f>
        <v>May</v>
      </c>
      <c r="W371" s="59">
        <f>YEAR(DATA[[#This Row],[DISCHARGE DATE]])</f>
        <v>2026</v>
      </c>
      <c r="X371" s="60" t="str">
        <f>TEXT(DATA[[#This Row],[DISCHARGE DATE]],"mmm")</f>
        <v>Sep</v>
      </c>
    </row>
    <row r="372" spans="1:24" s="27" customFormat="1" ht="16.5" hidden="1" customHeight="1">
      <c r="A372" s="150" t="s">
        <v>1525</v>
      </c>
      <c r="B372" s="151" t="s">
        <v>1005</v>
      </c>
      <c r="C372" s="151">
        <v>48</v>
      </c>
      <c r="D372" s="152" t="s">
        <v>11</v>
      </c>
      <c r="E372" s="152" t="s">
        <v>1045</v>
      </c>
      <c r="F372" s="159">
        <v>599498650</v>
      </c>
      <c r="G372" s="152" t="s">
        <v>15</v>
      </c>
      <c r="H372" s="154">
        <v>0.375</v>
      </c>
      <c r="I372" s="152" t="s">
        <v>18</v>
      </c>
      <c r="J372" s="155">
        <v>46192</v>
      </c>
      <c r="K372" s="155">
        <v>46290</v>
      </c>
      <c r="L372" s="151">
        <f>IF(ISBLANK(DATA[[#This Row],[DISCHARGE DATE]]),"NO DATE", DATA[[#This Row],[DISCHARGE DATE]]-DATA[[#This Row],[ADMISSION DATE]]+1)</f>
        <v>99</v>
      </c>
      <c r="M372" s="156">
        <v>350</v>
      </c>
      <c r="N372" s="156">
        <v>1287</v>
      </c>
      <c r="O372" s="157">
        <v>369</v>
      </c>
      <c r="P372" s="157">
        <v>363</v>
      </c>
      <c r="Q372" s="158">
        <f>IF(DATA[[#This Row],[STORAGE FEE]]=0,"NULL",DATA[[#This Row],[COLDROOM FEE]])-DATA[[#This Row],[STORAGE FEE]]</f>
        <v>0</v>
      </c>
      <c r="R372" s="158">
        <f>IF(ISBLANK(DATA[[#This Row],[DISCHARGE DATE]]),0,IF(DATA[[#This Row],[TYPE]]="VIP",20*DATA[[#This Row],[STORAGE DAYS]],13*DATA[[#This Row],[STORAGE DAYS]]))</f>
        <v>1287</v>
      </c>
      <c r="S372" s="71" t="str">
        <f>IF(ISBLANK(DATA[[#This Row],[COLDROOM RECEIPT]]), "IN CUSTODY", "DISCHARGED")</f>
        <v>DISCHARGED</v>
      </c>
      <c r="T372" s="58">
        <f>COUNTA(A:A)-2</f>
        <v>419</v>
      </c>
      <c r="U372" s="59">
        <f>YEAR(DATA[[#This Row],[ADMISSION DATE]])</f>
        <v>2026</v>
      </c>
      <c r="V372" s="60" t="str">
        <f>TEXT(DATA[[#This Row],[ADMISSION DATE]],"mmm")</f>
        <v>Jun</v>
      </c>
      <c r="W372" s="59">
        <f>YEAR(DATA[[#This Row],[DISCHARGE DATE]])</f>
        <v>2026</v>
      </c>
      <c r="X372" s="60" t="str">
        <f>TEXT(DATA[[#This Row],[DISCHARGE DATE]],"mmm")</f>
        <v>Sep</v>
      </c>
    </row>
    <row r="373" spans="1:24" s="27" customFormat="1" ht="16.5" customHeight="1">
      <c r="A373" s="150" t="s">
        <v>1526</v>
      </c>
      <c r="B373" s="151" t="s">
        <v>1527</v>
      </c>
      <c r="C373" s="151">
        <v>67</v>
      </c>
      <c r="D373" s="152" t="s">
        <v>12</v>
      </c>
      <c r="E373" s="152" t="s">
        <v>1340</v>
      </c>
      <c r="F373" s="159">
        <v>541712845</v>
      </c>
      <c r="G373" s="152" t="s">
        <v>21</v>
      </c>
      <c r="H373" s="154">
        <v>0.52083333333333337</v>
      </c>
      <c r="I373" s="152" t="s">
        <v>18</v>
      </c>
      <c r="J373" s="155">
        <v>46205</v>
      </c>
      <c r="K373" s="155"/>
      <c r="L373" s="151" t="str">
        <f>IF(ISBLANK(DATA[[#This Row],[DISCHARGE DATE]]),"NO DATE", DATA[[#This Row],[DISCHARGE DATE]]-DATA[[#This Row],[ADMISSION DATE]]+1)</f>
        <v>NO DATE</v>
      </c>
      <c r="M373" s="156">
        <v>350</v>
      </c>
      <c r="N373" s="156"/>
      <c r="O373" s="157">
        <v>378</v>
      </c>
      <c r="P373" s="157"/>
      <c r="Q373" s="158" t="e">
        <f>IF(DATA[[#This Row],[STORAGE FEE]]=0,"NULL",DATA[[#This Row],[COLDROOM FEE]])-DATA[[#This Row],[STORAGE FEE]]</f>
        <v>#VALUE!</v>
      </c>
      <c r="R373" s="158">
        <f>IF(ISBLANK(DATA[[#This Row],[DISCHARGE DATE]]),0,IF(DATA[[#This Row],[TYPE]]="VIP",20*DATA[[#This Row],[STORAGE DAYS]],13*DATA[[#This Row],[STORAGE DAYS]]))</f>
        <v>0</v>
      </c>
      <c r="S373" s="71" t="str">
        <f>IF(ISBLANK(DATA[[#This Row],[COLDROOM RECEIPT]]), "IN CUSTODY", "DISCHARGED")</f>
        <v>IN CUSTODY</v>
      </c>
      <c r="T373" s="58">
        <f>COUNTA(A:A)-2</f>
        <v>419</v>
      </c>
      <c r="U373" s="59">
        <f>YEAR(DATA[[#This Row],[ADMISSION DATE]])</f>
        <v>2026</v>
      </c>
      <c r="V373" s="60" t="str">
        <f>TEXT(DATA[[#This Row],[ADMISSION DATE]],"mmm")</f>
        <v>Jul</v>
      </c>
      <c r="W373" s="59">
        <f>YEAR(DATA[[#This Row],[DISCHARGE DATE]])</f>
        <v>1900</v>
      </c>
      <c r="X373" s="60" t="str">
        <f>TEXT(DATA[[#This Row],[DISCHARGE DATE]],"mmm")</f>
        <v>Jan</v>
      </c>
    </row>
    <row r="374" spans="1:24" s="27" customFormat="1" ht="16.5" hidden="1" customHeight="1">
      <c r="A374" s="150" t="s">
        <v>1528</v>
      </c>
      <c r="B374" s="151" t="s">
        <v>1529</v>
      </c>
      <c r="C374" s="151">
        <v>34</v>
      </c>
      <c r="D374" s="152" t="s">
        <v>12</v>
      </c>
      <c r="E374" s="152" t="s">
        <v>1530</v>
      </c>
      <c r="F374" s="159">
        <v>538388483</v>
      </c>
      <c r="G374" s="152" t="s">
        <v>19</v>
      </c>
      <c r="H374" s="154">
        <v>0.54166666666666663</v>
      </c>
      <c r="I374" s="152" t="s">
        <v>20</v>
      </c>
      <c r="J374" s="155">
        <v>46205</v>
      </c>
      <c r="K374" s="155">
        <v>46210</v>
      </c>
      <c r="L374" s="151">
        <f>IF(ISBLANK(DATA[[#This Row],[DISCHARGE DATE]]),"NO DATE", DATA[[#This Row],[DISCHARGE DATE]]-DATA[[#This Row],[ADMISSION DATE]]+1)</f>
        <v>6</v>
      </c>
      <c r="M374" s="156">
        <v>350</v>
      </c>
      <c r="N374" s="156">
        <v>120</v>
      </c>
      <c r="O374" s="157">
        <v>379</v>
      </c>
      <c r="P374" s="157">
        <v>332</v>
      </c>
      <c r="Q374" s="158">
        <f>IF(DATA[[#This Row],[STORAGE FEE]]=0,"NULL",DATA[[#This Row],[COLDROOM FEE]])-DATA[[#This Row],[STORAGE FEE]]</f>
        <v>0</v>
      </c>
      <c r="R374" s="158">
        <f>IF(ISBLANK(DATA[[#This Row],[DISCHARGE DATE]]),0,IF(DATA[[#This Row],[TYPE]]="VIP",20*DATA[[#This Row],[STORAGE DAYS]],13*DATA[[#This Row],[STORAGE DAYS]]))</f>
        <v>120</v>
      </c>
      <c r="S374" s="71" t="str">
        <f>IF(ISBLANK(DATA[[#This Row],[COLDROOM RECEIPT]]), "IN CUSTODY", "DISCHARGED")</f>
        <v>DISCHARGED</v>
      </c>
      <c r="T374" s="58">
        <f>COUNTA(A:A)-2</f>
        <v>419</v>
      </c>
      <c r="U374" s="59">
        <f>YEAR(DATA[[#This Row],[ADMISSION DATE]])</f>
        <v>2026</v>
      </c>
      <c r="V374" s="60" t="str">
        <f>TEXT(DATA[[#This Row],[ADMISSION DATE]],"mmm")</f>
        <v>Jul</v>
      </c>
      <c r="W374" s="59">
        <f>YEAR(DATA[[#This Row],[DISCHARGE DATE]])</f>
        <v>2026</v>
      </c>
      <c r="X374" s="60" t="str">
        <f>TEXT(DATA[[#This Row],[DISCHARGE DATE]],"mmm")</f>
        <v>Jul</v>
      </c>
    </row>
    <row r="375" spans="1:24" s="27" customFormat="1" ht="16.5" hidden="1" customHeight="1">
      <c r="A375" s="150" t="s">
        <v>1531</v>
      </c>
      <c r="B375" s="151" t="s">
        <v>1532</v>
      </c>
      <c r="C375" s="151">
        <v>53</v>
      </c>
      <c r="D375" s="152" t="s">
        <v>11</v>
      </c>
      <c r="E375" s="152" t="s">
        <v>1533</v>
      </c>
      <c r="F375" s="159">
        <v>543262468</v>
      </c>
      <c r="G375" s="152" t="s">
        <v>16</v>
      </c>
      <c r="H375" s="154">
        <v>0.69444444444444442</v>
      </c>
      <c r="I375" s="152" t="s">
        <v>18</v>
      </c>
      <c r="J375" s="155">
        <v>46210</v>
      </c>
      <c r="K375" s="155">
        <v>46290</v>
      </c>
      <c r="L375" s="151">
        <f>IF(ISBLANK(DATA[[#This Row],[DISCHARGE DATE]]),"NO DATE", DATA[[#This Row],[DISCHARGE DATE]]-DATA[[#This Row],[ADMISSION DATE]]+1)</f>
        <v>81</v>
      </c>
      <c r="M375" s="156">
        <v>350</v>
      </c>
      <c r="N375" s="156">
        <v>1053</v>
      </c>
      <c r="O375" s="157">
        <v>380</v>
      </c>
      <c r="P375" s="157">
        <v>361</v>
      </c>
      <c r="Q375" s="158">
        <f>IF(DATA[[#This Row],[STORAGE FEE]]=0,"NULL",DATA[[#This Row],[COLDROOM FEE]])-DATA[[#This Row],[STORAGE FEE]]</f>
        <v>0</v>
      </c>
      <c r="R375" s="158">
        <f>IF(ISBLANK(DATA[[#This Row],[DISCHARGE DATE]]),0,IF(DATA[[#This Row],[TYPE]]="VIP",20*DATA[[#This Row],[STORAGE DAYS]],13*DATA[[#This Row],[STORAGE DAYS]]))</f>
        <v>1053</v>
      </c>
      <c r="S375" s="71" t="str">
        <f>IF(ISBLANK(DATA[[#This Row],[COLDROOM RECEIPT]]), "IN CUSTODY", "DISCHARGED")</f>
        <v>DISCHARGED</v>
      </c>
      <c r="T375" s="58">
        <f>COUNTA(A:A)-2</f>
        <v>419</v>
      </c>
      <c r="U375" s="59">
        <f>YEAR(DATA[[#This Row],[ADMISSION DATE]])</f>
        <v>2026</v>
      </c>
      <c r="V375" s="60" t="str">
        <f>TEXT(DATA[[#This Row],[ADMISSION DATE]],"mmm")</f>
        <v>Jul</v>
      </c>
      <c r="W375" s="59">
        <f>YEAR(DATA[[#This Row],[DISCHARGE DATE]])</f>
        <v>2026</v>
      </c>
      <c r="X375" s="60" t="str">
        <f>TEXT(DATA[[#This Row],[DISCHARGE DATE]],"mmm")</f>
        <v>Sep</v>
      </c>
    </row>
    <row r="376" spans="1:24" s="27" customFormat="1" ht="16.5" hidden="1" customHeight="1">
      <c r="A376" s="150" t="s">
        <v>1534</v>
      </c>
      <c r="B376" s="151" t="s">
        <v>1535</v>
      </c>
      <c r="C376" s="151">
        <v>34</v>
      </c>
      <c r="D376" s="152" t="s">
        <v>12</v>
      </c>
      <c r="E376" s="152" t="s">
        <v>1536</v>
      </c>
      <c r="F376" s="159">
        <v>241866637</v>
      </c>
      <c r="G376" s="152" t="s">
        <v>13</v>
      </c>
      <c r="H376" s="154">
        <v>0.6875</v>
      </c>
      <c r="I376" s="152" t="s">
        <v>20</v>
      </c>
      <c r="J376" s="155">
        <v>46212</v>
      </c>
      <c r="K376" s="155">
        <v>46241</v>
      </c>
      <c r="L376" s="151">
        <f>IF(ISBLANK(DATA[[#This Row],[DISCHARGE DATE]]),"NO DATE", DATA[[#This Row],[DISCHARGE DATE]]-DATA[[#This Row],[ADMISSION DATE]]+1)</f>
        <v>30</v>
      </c>
      <c r="M376" s="156">
        <v>350</v>
      </c>
      <c r="N376" s="156">
        <v>600</v>
      </c>
      <c r="O376" s="157">
        <v>381</v>
      </c>
      <c r="P376" s="157">
        <v>341</v>
      </c>
      <c r="Q376" s="158">
        <f>IF(DATA[[#This Row],[STORAGE FEE]]=0,"NULL",DATA[[#This Row],[COLDROOM FEE]])-DATA[[#This Row],[STORAGE FEE]]</f>
        <v>0</v>
      </c>
      <c r="R376" s="158">
        <f>IF(ISBLANK(DATA[[#This Row],[DISCHARGE DATE]]),0,IF(DATA[[#This Row],[TYPE]]="VIP",20*DATA[[#This Row],[STORAGE DAYS]],13*DATA[[#This Row],[STORAGE DAYS]]))</f>
        <v>600</v>
      </c>
      <c r="S376" s="71" t="str">
        <f>IF(ISBLANK(DATA[[#This Row],[COLDROOM RECEIPT]]), "IN CUSTODY", "DISCHARGED")</f>
        <v>DISCHARGED</v>
      </c>
      <c r="T376" s="58">
        <f>COUNTA(A:A)-2</f>
        <v>419</v>
      </c>
      <c r="U376" s="59">
        <f>YEAR(DATA[[#This Row],[ADMISSION DATE]])</f>
        <v>2026</v>
      </c>
      <c r="V376" s="60" t="str">
        <f>TEXT(DATA[[#This Row],[ADMISSION DATE]],"mmm")</f>
        <v>Jul</v>
      </c>
      <c r="W376" s="59">
        <f>YEAR(DATA[[#This Row],[DISCHARGE DATE]])</f>
        <v>2026</v>
      </c>
      <c r="X376" s="60" t="str">
        <f>TEXT(DATA[[#This Row],[DISCHARGE DATE]],"mmm")</f>
        <v>Aug</v>
      </c>
    </row>
    <row r="377" spans="1:24" s="27" customFormat="1" ht="16.5" hidden="1" customHeight="1">
      <c r="A377" s="150" t="s">
        <v>1537</v>
      </c>
      <c r="B377" s="151" t="s">
        <v>1538</v>
      </c>
      <c r="C377" s="151">
        <v>62</v>
      </c>
      <c r="D377" s="152" t="s">
        <v>12</v>
      </c>
      <c r="E377" s="152" t="s">
        <v>1539</v>
      </c>
      <c r="F377" s="159">
        <v>593919641</v>
      </c>
      <c r="G377" s="152" t="s">
        <v>16</v>
      </c>
      <c r="H377" s="154">
        <v>0.64583333333333337</v>
      </c>
      <c r="I377" s="152" t="s">
        <v>18</v>
      </c>
      <c r="J377" s="155">
        <v>46213</v>
      </c>
      <c r="K377" s="155">
        <v>46290</v>
      </c>
      <c r="L377" s="151">
        <f>IF(ISBLANK(DATA[[#This Row],[DISCHARGE DATE]]),"NO DATE", DATA[[#This Row],[DISCHARGE DATE]]-DATA[[#This Row],[ADMISSION DATE]]+1)</f>
        <v>78</v>
      </c>
      <c r="M377" s="156">
        <v>350</v>
      </c>
      <c r="N377" s="156">
        <v>1014</v>
      </c>
      <c r="O377" s="157">
        <v>382</v>
      </c>
      <c r="P377" s="157">
        <v>362</v>
      </c>
      <c r="Q377" s="158">
        <f>IF(DATA[[#This Row],[STORAGE FEE]]=0,"NULL",DATA[[#This Row],[COLDROOM FEE]])-DATA[[#This Row],[STORAGE FEE]]</f>
        <v>0</v>
      </c>
      <c r="R377" s="158">
        <f>IF(ISBLANK(DATA[[#This Row],[DISCHARGE DATE]]),0,IF(DATA[[#This Row],[TYPE]]="VIP",20*DATA[[#This Row],[STORAGE DAYS]],13*DATA[[#This Row],[STORAGE DAYS]]))</f>
        <v>1014</v>
      </c>
      <c r="S377" s="71" t="str">
        <f>IF(ISBLANK(DATA[[#This Row],[COLDROOM RECEIPT]]), "IN CUSTODY", "DISCHARGED")</f>
        <v>DISCHARGED</v>
      </c>
      <c r="T377" s="58">
        <f>COUNTA(A:A)-2</f>
        <v>419</v>
      </c>
      <c r="U377" s="59">
        <f>YEAR(DATA[[#This Row],[ADMISSION DATE]])</f>
        <v>2026</v>
      </c>
      <c r="V377" s="60" t="str">
        <f>TEXT(DATA[[#This Row],[ADMISSION DATE]],"mmm")</f>
        <v>Jul</v>
      </c>
      <c r="W377" s="59">
        <f>YEAR(DATA[[#This Row],[DISCHARGE DATE]])</f>
        <v>2026</v>
      </c>
      <c r="X377" s="60" t="str">
        <f>TEXT(DATA[[#This Row],[DISCHARGE DATE]],"mmm")</f>
        <v>Sep</v>
      </c>
    </row>
    <row r="378" spans="1:24" s="27" customFormat="1" ht="16.5" customHeight="1">
      <c r="A378" s="150" t="s">
        <v>1540</v>
      </c>
      <c r="B378" s="151" t="s">
        <v>1541</v>
      </c>
      <c r="C378" s="151">
        <v>65</v>
      </c>
      <c r="D378" s="152" t="s">
        <v>12</v>
      </c>
      <c r="E378" s="152" t="s">
        <v>1542</v>
      </c>
      <c r="F378" s="159">
        <v>245262585</v>
      </c>
      <c r="G378" s="152" t="s">
        <v>17</v>
      </c>
      <c r="H378" s="154">
        <v>0.57638888888888884</v>
      </c>
      <c r="I378" s="152" t="s">
        <v>18</v>
      </c>
      <c r="J378" s="155">
        <v>46216</v>
      </c>
      <c r="K378" s="155"/>
      <c r="L378" s="151" t="str">
        <f>IF(ISBLANK(DATA[[#This Row],[DISCHARGE DATE]]),"NO DATE", DATA[[#This Row],[DISCHARGE DATE]]-DATA[[#This Row],[ADMISSION DATE]]+1)</f>
        <v>NO DATE</v>
      </c>
      <c r="M378" s="156">
        <v>350</v>
      </c>
      <c r="N378" s="156"/>
      <c r="O378" s="157">
        <v>383</v>
      </c>
      <c r="P378" s="157"/>
      <c r="Q378" s="158" t="e">
        <f>IF(DATA[[#This Row],[STORAGE FEE]]=0,"NULL",DATA[[#This Row],[COLDROOM FEE]])-DATA[[#This Row],[STORAGE FEE]]</f>
        <v>#VALUE!</v>
      </c>
      <c r="R378" s="158">
        <f>IF(ISBLANK(DATA[[#This Row],[DISCHARGE DATE]]),0,IF(DATA[[#This Row],[TYPE]]="VIP",20*DATA[[#This Row],[STORAGE DAYS]],13*DATA[[#This Row],[STORAGE DAYS]]))</f>
        <v>0</v>
      </c>
      <c r="S378" s="71" t="str">
        <f>IF(ISBLANK(DATA[[#This Row],[COLDROOM RECEIPT]]), "IN CUSTODY", "DISCHARGED")</f>
        <v>IN CUSTODY</v>
      </c>
      <c r="T378" s="58">
        <f>COUNTA(A:A)-2</f>
        <v>419</v>
      </c>
      <c r="U378" s="59">
        <f>YEAR(DATA[[#This Row],[ADMISSION DATE]])</f>
        <v>2026</v>
      </c>
      <c r="V378" s="60" t="str">
        <f>TEXT(DATA[[#This Row],[ADMISSION DATE]],"mmm")</f>
        <v>Jul</v>
      </c>
      <c r="W378" s="59">
        <f>YEAR(DATA[[#This Row],[DISCHARGE DATE]])</f>
        <v>1900</v>
      </c>
      <c r="X378" s="60" t="str">
        <f>TEXT(DATA[[#This Row],[DISCHARGE DATE]],"mmm")</f>
        <v>Jan</v>
      </c>
    </row>
    <row r="379" spans="1:24" s="27" customFormat="1" ht="16.5" customHeight="1">
      <c r="A379" s="150" t="s">
        <v>1543</v>
      </c>
      <c r="B379" s="151" t="s">
        <v>1544</v>
      </c>
      <c r="C379" s="151">
        <v>87</v>
      </c>
      <c r="D379" s="152" t="s">
        <v>11</v>
      </c>
      <c r="E379" s="152" t="s">
        <v>1545</v>
      </c>
      <c r="F379" s="159">
        <v>241868763</v>
      </c>
      <c r="G379" s="152" t="s">
        <v>13</v>
      </c>
      <c r="H379" s="154">
        <v>0.66666666666666663</v>
      </c>
      <c r="I379" s="152" t="s">
        <v>18</v>
      </c>
      <c r="J379" s="155">
        <v>46217</v>
      </c>
      <c r="K379" s="155"/>
      <c r="L379" s="151" t="str">
        <f>IF(ISBLANK(DATA[[#This Row],[DISCHARGE DATE]]),"NO DATE", DATA[[#This Row],[DISCHARGE DATE]]-DATA[[#This Row],[ADMISSION DATE]]+1)</f>
        <v>NO DATE</v>
      </c>
      <c r="M379" s="156">
        <v>350</v>
      </c>
      <c r="N379" s="156"/>
      <c r="O379" s="157">
        <v>384</v>
      </c>
      <c r="P379" s="157"/>
      <c r="Q379" s="158" t="e">
        <f>IF(DATA[[#This Row],[STORAGE FEE]]=0,"NULL",DATA[[#This Row],[COLDROOM FEE]])-DATA[[#This Row],[STORAGE FEE]]</f>
        <v>#VALUE!</v>
      </c>
      <c r="R379" s="158">
        <f>IF(ISBLANK(DATA[[#This Row],[DISCHARGE DATE]]),0,IF(DATA[[#This Row],[TYPE]]="VIP",20*DATA[[#This Row],[STORAGE DAYS]],13*DATA[[#This Row],[STORAGE DAYS]]))</f>
        <v>0</v>
      </c>
      <c r="S379" s="71" t="str">
        <f>IF(ISBLANK(DATA[[#This Row],[COLDROOM RECEIPT]]), "IN CUSTODY", "DISCHARGED")</f>
        <v>IN CUSTODY</v>
      </c>
      <c r="T379" s="58">
        <f>COUNTA(A:A)-2</f>
        <v>419</v>
      </c>
      <c r="U379" s="59">
        <f>YEAR(DATA[[#This Row],[ADMISSION DATE]])</f>
        <v>2026</v>
      </c>
      <c r="V379" s="60" t="str">
        <f>TEXT(DATA[[#This Row],[ADMISSION DATE]],"mmm")</f>
        <v>Jul</v>
      </c>
      <c r="W379" s="59">
        <f>YEAR(DATA[[#This Row],[DISCHARGE DATE]])</f>
        <v>1900</v>
      </c>
      <c r="X379" s="60" t="str">
        <f>TEXT(DATA[[#This Row],[DISCHARGE DATE]],"mmm")</f>
        <v>Jan</v>
      </c>
    </row>
    <row r="380" spans="1:24" s="27" customFormat="1" ht="16.5" hidden="1" customHeight="1">
      <c r="A380" s="150" t="s">
        <v>1546</v>
      </c>
      <c r="B380" s="151" t="s">
        <v>1547</v>
      </c>
      <c r="C380" s="151">
        <v>53</v>
      </c>
      <c r="D380" s="152" t="s">
        <v>12</v>
      </c>
      <c r="E380" s="152" t="s">
        <v>1548</v>
      </c>
      <c r="F380" s="159">
        <v>246575341</v>
      </c>
      <c r="G380" s="152" t="s">
        <v>13</v>
      </c>
      <c r="H380" s="154">
        <v>0.97916666666666663</v>
      </c>
      <c r="I380" s="152" t="s">
        <v>18</v>
      </c>
      <c r="J380" s="155">
        <v>46222</v>
      </c>
      <c r="K380" s="155">
        <v>46246</v>
      </c>
      <c r="L380" s="151">
        <f>IF(ISBLANK(DATA[[#This Row],[DISCHARGE DATE]]),"NO DATE", DATA[[#This Row],[DISCHARGE DATE]]-DATA[[#This Row],[ADMISSION DATE]]+1)</f>
        <v>25</v>
      </c>
      <c r="M380" s="156">
        <v>350</v>
      </c>
      <c r="N380" s="156">
        <v>325</v>
      </c>
      <c r="O380" s="157">
        <v>385</v>
      </c>
      <c r="P380" s="157">
        <v>343</v>
      </c>
      <c r="Q380" s="158">
        <f>IF(DATA[[#This Row],[STORAGE FEE]]=0,"NULL",DATA[[#This Row],[COLDROOM FEE]])-DATA[[#This Row],[STORAGE FEE]]</f>
        <v>0</v>
      </c>
      <c r="R380" s="158">
        <f>IF(ISBLANK(DATA[[#This Row],[DISCHARGE DATE]]),0,IF(DATA[[#This Row],[TYPE]]="VIP",20*DATA[[#This Row],[STORAGE DAYS]],13*DATA[[#This Row],[STORAGE DAYS]]))</f>
        <v>325</v>
      </c>
      <c r="S380" s="71" t="str">
        <f>IF(ISBLANK(DATA[[#This Row],[COLDROOM RECEIPT]]), "IN CUSTODY", "DISCHARGED")</f>
        <v>DISCHARGED</v>
      </c>
      <c r="T380" s="58">
        <f>COUNTA(A:A)-2</f>
        <v>419</v>
      </c>
      <c r="U380" s="59">
        <f>YEAR(DATA[[#This Row],[ADMISSION DATE]])</f>
        <v>2026</v>
      </c>
      <c r="V380" s="60" t="str">
        <f>TEXT(DATA[[#This Row],[ADMISSION DATE]],"mmm")</f>
        <v>Jul</v>
      </c>
      <c r="W380" s="59">
        <f>YEAR(DATA[[#This Row],[DISCHARGE DATE]])</f>
        <v>2026</v>
      </c>
      <c r="X380" s="60" t="str">
        <f>TEXT(DATA[[#This Row],[DISCHARGE DATE]],"mmm")</f>
        <v>Aug</v>
      </c>
    </row>
    <row r="381" spans="1:24" s="27" customFormat="1" ht="16.5" hidden="1" customHeight="1">
      <c r="A381" s="150" t="s">
        <v>1549</v>
      </c>
      <c r="B381" s="151" t="s">
        <v>1550</v>
      </c>
      <c r="C381" s="151">
        <v>90</v>
      </c>
      <c r="D381" s="152" t="s">
        <v>11</v>
      </c>
      <c r="E381" s="152" t="s">
        <v>1551</v>
      </c>
      <c r="F381" s="159">
        <v>248279286</v>
      </c>
      <c r="G381" s="152" t="s">
        <v>15</v>
      </c>
      <c r="H381" s="154">
        <v>0.375</v>
      </c>
      <c r="I381" s="152" t="s">
        <v>18</v>
      </c>
      <c r="J381" s="155">
        <v>46224</v>
      </c>
      <c r="K381" s="155">
        <v>46297</v>
      </c>
      <c r="L381" s="151">
        <f>IF(ISBLANK(DATA[[#This Row],[DISCHARGE DATE]]),"NO DATE", DATA[[#This Row],[DISCHARGE DATE]]-DATA[[#This Row],[ADMISSION DATE]]+1)</f>
        <v>74</v>
      </c>
      <c r="M381" s="156">
        <v>350</v>
      </c>
      <c r="N381" s="156">
        <v>962</v>
      </c>
      <c r="O381" s="157">
        <v>386</v>
      </c>
      <c r="P381" s="157">
        <v>369</v>
      </c>
      <c r="Q381" s="158">
        <f>IF(DATA[[#This Row],[STORAGE FEE]]=0,"NULL",DATA[[#This Row],[COLDROOM FEE]])-DATA[[#This Row],[STORAGE FEE]]</f>
        <v>0</v>
      </c>
      <c r="R381" s="158">
        <f>IF(ISBLANK(DATA[[#This Row],[DISCHARGE DATE]]),0,IF(DATA[[#This Row],[TYPE]]="VIP",20*DATA[[#This Row],[STORAGE DAYS]],13*DATA[[#This Row],[STORAGE DAYS]]))</f>
        <v>962</v>
      </c>
      <c r="S381" s="71" t="str">
        <f>IF(ISBLANK(DATA[[#This Row],[COLDROOM RECEIPT]]), "IN CUSTODY", "DISCHARGED")</f>
        <v>DISCHARGED</v>
      </c>
      <c r="T381" s="58">
        <f>COUNTA(A:A)-2</f>
        <v>419</v>
      </c>
      <c r="U381" s="59">
        <f>YEAR(DATA[[#This Row],[ADMISSION DATE]])</f>
        <v>2026</v>
      </c>
      <c r="V381" s="60" t="str">
        <f>TEXT(DATA[[#This Row],[ADMISSION DATE]],"mmm")</f>
        <v>Jul</v>
      </c>
      <c r="W381" s="59">
        <f>YEAR(DATA[[#This Row],[DISCHARGE DATE]])</f>
        <v>2026</v>
      </c>
      <c r="X381" s="60" t="str">
        <f>TEXT(DATA[[#This Row],[DISCHARGE DATE]],"mmm")</f>
        <v>Oct</v>
      </c>
    </row>
    <row r="382" spans="1:24" s="27" customFormat="1" ht="16.5" customHeight="1">
      <c r="A382" s="150" t="s">
        <v>1552</v>
      </c>
      <c r="B382" s="151" t="s">
        <v>1553</v>
      </c>
      <c r="C382" s="151">
        <v>101</v>
      </c>
      <c r="D382" s="152" t="s">
        <v>11</v>
      </c>
      <c r="E382" s="152" t="s">
        <v>1554</v>
      </c>
      <c r="F382" s="159">
        <v>542518512</v>
      </c>
      <c r="G382" s="152" t="s">
        <v>13</v>
      </c>
      <c r="H382" s="154">
        <v>0.16666666666666666</v>
      </c>
      <c r="I382" s="152" t="s">
        <v>18</v>
      </c>
      <c r="J382" s="155">
        <v>46224</v>
      </c>
      <c r="K382" s="155"/>
      <c r="L382" s="151" t="str">
        <f>IF(ISBLANK(DATA[[#This Row],[DISCHARGE DATE]]),"NO DATE", DATA[[#This Row],[DISCHARGE DATE]]-DATA[[#This Row],[ADMISSION DATE]]+1)</f>
        <v>NO DATE</v>
      </c>
      <c r="M382" s="156">
        <v>350</v>
      </c>
      <c r="N382" s="156"/>
      <c r="O382" s="157">
        <v>387</v>
      </c>
      <c r="P382" s="157"/>
      <c r="Q382" s="158" t="e">
        <f>IF(DATA[[#This Row],[STORAGE FEE]]=0,"NULL",DATA[[#This Row],[COLDROOM FEE]])-DATA[[#This Row],[STORAGE FEE]]</f>
        <v>#VALUE!</v>
      </c>
      <c r="R382" s="158">
        <f>IF(ISBLANK(DATA[[#This Row],[DISCHARGE DATE]]),0,IF(DATA[[#This Row],[TYPE]]="VIP",20*DATA[[#This Row],[STORAGE DAYS]],13*DATA[[#This Row],[STORAGE DAYS]]))</f>
        <v>0</v>
      </c>
      <c r="S382" s="71" t="str">
        <f>IF(ISBLANK(DATA[[#This Row],[COLDROOM RECEIPT]]), "IN CUSTODY", "DISCHARGED")</f>
        <v>IN CUSTODY</v>
      </c>
      <c r="T382" s="58">
        <f>COUNTA(A:A)-2</f>
        <v>419</v>
      </c>
      <c r="U382" s="59">
        <f>YEAR(DATA[[#This Row],[ADMISSION DATE]])</f>
        <v>2026</v>
      </c>
      <c r="V382" s="60" t="str">
        <f>TEXT(DATA[[#This Row],[ADMISSION DATE]],"mmm")</f>
        <v>Jul</v>
      </c>
      <c r="W382" s="59">
        <f>YEAR(DATA[[#This Row],[DISCHARGE DATE]])</f>
        <v>1900</v>
      </c>
      <c r="X382" s="60" t="str">
        <f>TEXT(DATA[[#This Row],[DISCHARGE DATE]],"mmm")</f>
        <v>Jan</v>
      </c>
    </row>
    <row r="383" spans="1:24" s="27" customFormat="1" ht="16.5" customHeight="1">
      <c r="A383" s="150" t="s">
        <v>1555</v>
      </c>
      <c r="B383" s="151" t="s">
        <v>1556</v>
      </c>
      <c r="C383" s="151">
        <v>75</v>
      </c>
      <c r="D383" s="152" t="s">
        <v>12</v>
      </c>
      <c r="E383" s="152" t="s">
        <v>1557</v>
      </c>
      <c r="F383" s="159">
        <v>539843182</v>
      </c>
      <c r="G383" s="152" t="s">
        <v>13</v>
      </c>
      <c r="H383" s="154">
        <v>0.4375</v>
      </c>
      <c r="I383" s="152" t="s">
        <v>20</v>
      </c>
      <c r="J383" s="155">
        <v>46224</v>
      </c>
      <c r="K383" s="155"/>
      <c r="L383" s="151" t="str">
        <f>IF(ISBLANK(DATA[[#This Row],[DISCHARGE DATE]]),"NO DATE", DATA[[#This Row],[DISCHARGE DATE]]-DATA[[#This Row],[ADMISSION DATE]]+1)</f>
        <v>NO DATE</v>
      </c>
      <c r="M383" s="156">
        <v>350</v>
      </c>
      <c r="N383" s="156"/>
      <c r="O383" s="157">
        <v>388</v>
      </c>
      <c r="P383" s="157"/>
      <c r="Q383" s="158" t="e">
        <f>IF(DATA[[#This Row],[STORAGE FEE]]=0,"NULL",DATA[[#This Row],[COLDROOM FEE]])-DATA[[#This Row],[STORAGE FEE]]</f>
        <v>#VALUE!</v>
      </c>
      <c r="R383" s="158">
        <f>IF(ISBLANK(DATA[[#This Row],[DISCHARGE DATE]]),0,IF(DATA[[#This Row],[TYPE]]="VIP",20*DATA[[#This Row],[STORAGE DAYS]],13*DATA[[#This Row],[STORAGE DAYS]]))</f>
        <v>0</v>
      </c>
      <c r="S383" s="71" t="str">
        <f>IF(ISBLANK(DATA[[#This Row],[COLDROOM RECEIPT]]), "IN CUSTODY", "DISCHARGED")</f>
        <v>IN CUSTODY</v>
      </c>
      <c r="T383" s="58">
        <f>COUNTA(A:A)-2</f>
        <v>419</v>
      </c>
      <c r="U383" s="59">
        <f>YEAR(DATA[[#This Row],[ADMISSION DATE]])</f>
        <v>2026</v>
      </c>
      <c r="V383" s="60" t="str">
        <f>TEXT(DATA[[#This Row],[ADMISSION DATE]],"mmm")</f>
        <v>Jul</v>
      </c>
      <c r="W383" s="59">
        <f>YEAR(DATA[[#This Row],[DISCHARGE DATE]])</f>
        <v>1900</v>
      </c>
      <c r="X383" s="60" t="str">
        <f>TEXT(DATA[[#This Row],[DISCHARGE DATE]],"mmm")</f>
        <v>Jan</v>
      </c>
    </row>
    <row r="384" spans="1:24" s="27" customFormat="1" ht="16.5" customHeight="1">
      <c r="A384" s="150" t="s">
        <v>1558</v>
      </c>
      <c r="B384" s="151" t="s">
        <v>1559</v>
      </c>
      <c r="C384" s="151">
        <v>61</v>
      </c>
      <c r="D384" s="152" t="s">
        <v>12</v>
      </c>
      <c r="E384" s="152" t="s">
        <v>425</v>
      </c>
      <c r="F384" s="159">
        <v>246408159</v>
      </c>
      <c r="G384" s="152" t="s">
        <v>19</v>
      </c>
      <c r="H384" s="154">
        <v>0.45833333333333331</v>
      </c>
      <c r="I384" s="152" t="s">
        <v>18</v>
      </c>
      <c r="J384" s="155">
        <v>46227</v>
      </c>
      <c r="K384" s="155"/>
      <c r="L384" s="151" t="str">
        <f>IF(ISBLANK(DATA[[#This Row],[DISCHARGE DATE]]),"NO DATE", DATA[[#This Row],[DISCHARGE DATE]]-DATA[[#This Row],[ADMISSION DATE]]+1)</f>
        <v>NO DATE</v>
      </c>
      <c r="M384" s="156">
        <v>350</v>
      </c>
      <c r="N384" s="156"/>
      <c r="O384" s="157">
        <v>389</v>
      </c>
      <c r="P384" s="157"/>
      <c r="Q384" s="158" t="e">
        <f>IF(DATA[[#This Row],[STORAGE FEE]]=0,"NULL",DATA[[#This Row],[COLDROOM FEE]])-DATA[[#This Row],[STORAGE FEE]]</f>
        <v>#VALUE!</v>
      </c>
      <c r="R384" s="158">
        <f>IF(ISBLANK(DATA[[#This Row],[DISCHARGE DATE]]),0,IF(DATA[[#This Row],[TYPE]]="VIP",20*DATA[[#This Row],[STORAGE DAYS]],13*DATA[[#This Row],[STORAGE DAYS]]))</f>
        <v>0</v>
      </c>
      <c r="S384" s="71" t="str">
        <f>IF(ISBLANK(DATA[[#This Row],[COLDROOM RECEIPT]]), "IN CUSTODY", "DISCHARGED")</f>
        <v>IN CUSTODY</v>
      </c>
      <c r="T384" s="58">
        <f>COUNTA(A:A)-2</f>
        <v>419</v>
      </c>
      <c r="U384" s="59">
        <f>YEAR(DATA[[#This Row],[ADMISSION DATE]])</f>
        <v>2026</v>
      </c>
      <c r="V384" s="60" t="str">
        <f>TEXT(DATA[[#This Row],[ADMISSION DATE]],"mmm")</f>
        <v>Jul</v>
      </c>
      <c r="W384" s="59">
        <f>YEAR(DATA[[#This Row],[DISCHARGE DATE]])</f>
        <v>1900</v>
      </c>
      <c r="X384" s="60" t="str">
        <f>TEXT(DATA[[#This Row],[DISCHARGE DATE]],"mmm")</f>
        <v>Jan</v>
      </c>
    </row>
    <row r="385" spans="1:24" s="27" customFormat="1" ht="16.5" customHeight="1">
      <c r="A385" s="150" t="s">
        <v>1560</v>
      </c>
      <c r="B385" s="151" t="s">
        <v>1561</v>
      </c>
      <c r="C385" s="151">
        <v>70</v>
      </c>
      <c r="D385" s="152" t="s">
        <v>12</v>
      </c>
      <c r="E385" s="152" t="s">
        <v>1562</v>
      </c>
      <c r="F385" s="159">
        <v>543425788</v>
      </c>
      <c r="G385" s="152" t="s">
        <v>13</v>
      </c>
      <c r="H385" s="154">
        <v>0.77083333333333337</v>
      </c>
      <c r="I385" s="152" t="s">
        <v>18</v>
      </c>
      <c r="J385" s="155">
        <v>46228</v>
      </c>
      <c r="K385" s="155"/>
      <c r="L385" s="151" t="str">
        <f>IF(ISBLANK(DATA[[#This Row],[DISCHARGE DATE]]),"NO DATE", DATA[[#This Row],[DISCHARGE DATE]]-DATA[[#This Row],[ADMISSION DATE]]+1)</f>
        <v>NO DATE</v>
      </c>
      <c r="M385" s="156">
        <v>350</v>
      </c>
      <c r="N385" s="156"/>
      <c r="O385" s="157">
        <v>390</v>
      </c>
      <c r="P385" s="157"/>
      <c r="Q385" s="158" t="e">
        <f>IF(DATA[[#This Row],[STORAGE FEE]]=0,"NULL",DATA[[#This Row],[COLDROOM FEE]])-DATA[[#This Row],[STORAGE FEE]]</f>
        <v>#VALUE!</v>
      </c>
      <c r="R385" s="158">
        <f>IF(ISBLANK(DATA[[#This Row],[DISCHARGE DATE]]),0,IF(DATA[[#This Row],[TYPE]]="VIP",20*DATA[[#This Row],[STORAGE DAYS]],13*DATA[[#This Row],[STORAGE DAYS]]))</f>
        <v>0</v>
      </c>
      <c r="S385" s="71" t="str">
        <f>IF(ISBLANK(DATA[[#This Row],[COLDROOM RECEIPT]]), "IN CUSTODY", "DISCHARGED")</f>
        <v>IN CUSTODY</v>
      </c>
      <c r="T385" s="58">
        <f>COUNTA(A:A)-2</f>
        <v>419</v>
      </c>
      <c r="U385" s="59">
        <f>YEAR(DATA[[#This Row],[ADMISSION DATE]])</f>
        <v>2026</v>
      </c>
      <c r="V385" s="60" t="str">
        <f>TEXT(DATA[[#This Row],[ADMISSION DATE]],"mmm")</f>
        <v>Jul</v>
      </c>
      <c r="W385" s="59">
        <f>YEAR(DATA[[#This Row],[DISCHARGE DATE]])</f>
        <v>1900</v>
      </c>
      <c r="X385" s="60" t="str">
        <f>TEXT(DATA[[#This Row],[DISCHARGE DATE]],"mmm")</f>
        <v>Jan</v>
      </c>
    </row>
    <row r="386" spans="1:24" s="27" customFormat="1" ht="16.5" customHeight="1">
      <c r="A386" s="150" t="s">
        <v>1563</v>
      </c>
      <c r="B386" s="151" t="s">
        <v>1564</v>
      </c>
      <c r="C386" s="151">
        <v>70</v>
      </c>
      <c r="D386" s="152" t="s">
        <v>11</v>
      </c>
      <c r="E386" s="152" t="s">
        <v>1565</v>
      </c>
      <c r="F386" s="159">
        <v>548328433</v>
      </c>
      <c r="G386" s="152" t="s">
        <v>13</v>
      </c>
      <c r="H386" s="154">
        <v>0.6875</v>
      </c>
      <c r="I386" s="152" t="s">
        <v>18</v>
      </c>
      <c r="J386" s="155">
        <v>46231</v>
      </c>
      <c r="K386" s="155"/>
      <c r="L386" s="151" t="str">
        <f>IF(ISBLANK(DATA[[#This Row],[DISCHARGE DATE]]),"NO DATE", DATA[[#This Row],[DISCHARGE DATE]]-DATA[[#This Row],[ADMISSION DATE]]+1)</f>
        <v>NO DATE</v>
      </c>
      <c r="M386" s="156">
        <v>350</v>
      </c>
      <c r="N386" s="156"/>
      <c r="O386" s="157">
        <v>391</v>
      </c>
      <c r="P386" s="157"/>
      <c r="Q386" s="158" t="e">
        <f>IF(DATA[[#This Row],[STORAGE FEE]]=0,"NULL",DATA[[#This Row],[COLDROOM FEE]])-DATA[[#This Row],[STORAGE FEE]]</f>
        <v>#VALUE!</v>
      </c>
      <c r="R386" s="158">
        <f>IF(ISBLANK(DATA[[#This Row],[DISCHARGE DATE]]),0,IF(DATA[[#This Row],[TYPE]]="VIP",20*DATA[[#This Row],[STORAGE DAYS]],13*DATA[[#This Row],[STORAGE DAYS]]))</f>
        <v>0</v>
      </c>
      <c r="S386" s="71" t="str">
        <f>IF(ISBLANK(DATA[[#This Row],[COLDROOM RECEIPT]]), "IN CUSTODY", "DISCHARGED")</f>
        <v>IN CUSTODY</v>
      </c>
      <c r="T386" s="58">
        <f>COUNTA(A:A)-2</f>
        <v>419</v>
      </c>
      <c r="U386" s="59">
        <f>YEAR(DATA[[#This Row],[ADMISSION DATE]])</f>
        <v>2026</v>
      </c>
      <c r="V386" s="60" t="str">
        <f>TEXT(DATA[[#This Row],[ADMISSION DATE]],"mmm")</f>
        <v>Jul</v>
      </c>
      <c r="W386" s="59">
        <f>YEAR(DATA[[#This Row],[DISCHARGE DATE]])</f>
        <v>1900</v>
      </c>
      <c r="X386" s="60" t="str">
        <f>TEXT(DATA[[#This Row],[DISCHARGE DATE]],"mmm")</f>
        <v>Jan</v>
      </c>
    </row>
    <row r="387" spans="1:24" s="27" customFormat="1" ht="16.5" customHeight="1">
      <c r="A387" s="150" t="s">
        <v>1566</v>
      </c>
      <c r="B387" s="151" t="s">
        <v>1567</v>
      </c>
      <c r="C387" s="151">
        <v>100</v>
      </c>
      <c r="D387" s="152" t="s">
        <v>11</v>
      </c>
      <c r="E387" s="152" t="s">
        <v>1568</v>
      </c>
      <c r="F387" s="159">
        <v>547063649</v>
      </c>
      <c r="G387" s="152" t="s">
        <v>15</v>
      </c>
      <c r="H387" s="154">
        <v>0.20833333333333334</v>
      </c>
      <c r="I387" s="152" t="s">
        <v>18</v>
      </c>
      <c r="J387" s="155">
        <v>46233</v>
      </c>
      <c r="K387" s="155"/>
      <c r="L387" s="151" t="str">
        <f>IF(ISBLANK(DATA[[#This Row],[DISCHARGE DATE]]),"NO DATE", DATA[[#This Row],[DISCHARGE DATE]]-DATA[[#This Row],[ADMISSION DATE]]+1)</f>
        <v>NO DATE</v>
      </c>
      <c r="M387" s="156">
        <v>350</v>
      </c>
      <c r="N387" s="156"/>
      <c r="O387" s="157">
        <v>392</v>
      </c>
      <c r="P387" s="157"/>
      <c r="Q387" s="158" t="e">
        <f>IF(DATA[[#This Row],[STORAGE FEE]]=0,"NULL",DATA[[#This Row],[COLDROOM FEE]])-DATA[[#This Row],[STORAGE FEE]]</f>
        <v>#VALUE!</v>
      </c>
      <c r="R387" s="158">
        <f>IF(ISBLANK(DATA[[#This Row],[DISCHARGE DATE]]),0,IF(DATA[[#This Row],[TYPE]]="VIP",20*DATA[[#This Row],[STORAGE DAYS]],13*DATA[[#This Row],[STORAGE DAYS]]))</f>
        <v>0</v>
      </c>
      <c r="S387" s="71" t="str">
        <f>IF(ISBLANK(DATA[[#This Row],[COLDROOM RECEIPT]]), "IN CUSTODY", "DISCHARGED")</f>
        <v>IN CUSTODY</v>
      </c>
      <c r="T387" s="58">
        <f>COUNTA(A:A)-2</f>
        <v>419</v>
      </c>
      <c r="U387" s="59">
        <f>YEAR(DATA[[#This Row],[ADMISSION DATE]])</f>
        <v>2026</v>
      </c>
      <c r="V387" s="60" t="str">
        <f>TEXT(DATA[[#This Row],[ADMISSION DATE]],"mmm")</f>
        <v>Jul</v>
      </c>
      <c r="W387" s="59">
        <f>YEAR(DATA[[#This Row],[DISCHARGE DATE]])</f>
        <v>1900</v>
      </c>
      <c r="X387" s="60" t="str">
        <f>TEXT(DATA[[#This Row],[DISCHARGE DATE]],"mmm")</f>
        <v>Jan</v>
      </c>
    </row>
    <row r="388" spans="1:24" s="27" customFormat="1" ht="16.5" customHeight="1">
      <c r="A388" s="150" t="s">
        <v>1569</v>
      </c>
      <c r="B388" s="151" t="s">
        <v>1570</v>
      </c>
      <c r="C388" s="151">
        <v>98</v>
      </c>
      <c r="D388" s="152" t="s">
        <v>12</v>
      </c>
      <c r="E388" s="152" t="s">
        <v>1571</v>
      </c>
      <c r="F388" s="159">
        <v>540807523</v>
      </c>
      <c r="G388" s="152" t="s">
        <v>47</v>
      </c>
      <c r="H388" s="154">
        <v>0.66666666666666663</v>
      </c>
      <c r="I388" s="152" t="s">
        <v>20</v>
      </c>
      <c r="J388" s="155">
        <v>46236</v>
      </c>
      <c r="K388" s="155"/>
      <c r="L388" s="151" t="str">
        <f>IF(ISBLANK(DATA[[#This Row],[DISCHARGE DATE]]),"NO DATE", DATA[[#This Row],[DISCHARGE DATE]]-DATA[[#This Row],[ADMISSION DATE]]+1)</f>
        <v>NO DATE</v>
      </c>
      <c r="M388" s="156">
        <v>350</v>
      </c>
      <c r="N388" s="156"/>
      <c r="O388" s="157">
        <v>393</v>
      </c>
      <c r="P388" s="157"/>
      <c r="Q388" s="158" t="e">
        <f>IF(DATA[[#This Row],[STORAGE FEE]]=0,"NULL",DATA[[#This Row],[COLDROOM FEE]])-DATA[[#This Row],[STORAGE FEE]]</f>
        <v>#VALUE!</v>
      </c>
      <c r="R388" s="158">
        <f>IF(ISBLANK(DATA[[#This Row],[DISCHARGE DATE]]),0,IF(DATA[[#This Row],[TYPE]]="VIP",20*DATA[[#This Row],[STORAGE DAYS]],13*DATA[[#This Row],[STORAGE DAYS]]))</f>
        <v>0</v>
      </c>
      <c r="S388" s="71" t="str">
        <f>IF(ISBLANK(DATA[[#This Row],[COLDROOM RECEIPT]]), "IN CUSTODY", "DISCHARGED")</f>
        <v>IN CUSTODY</v>
      </c>
      <c r="T388" s="58">
        <f>COUNTA(A:A)-2</f>
        <v>419</v>
      </c>
      <c r="U388" s="59">
        <f>YEAR(DATA[[#This Row],[ADMISSION DATE]])</f>
        <v>2026</v>
      </c>
      <c r="V388" s="60" t="str">
        <f>TEXT(DATA[[#This Row],[ADMISSION DATE]],"mmm")</f>
        <v>Aug</v>
      </c>
      <c r="W388" s="59">
        <f>YEAR(DATA[[#This Row],[DISCHARGE DATE]])</f>
        <v>1900</v>
      </c>
      <c r="X388" s="60" t="str">
        <f>TEXT(DATA[[#This Row],[DISCHARGE DATE]],"mmm")</f>
        <v>Jan</v>
      </c>
    </row>
    <row r="389" spans="1:24" s="27" customFormat="1" ht="16.5" customHeight="1">
      <c r="A389" s="150" t="s">
        <v>1572</v>
      </c>
      <c r="B389" s="151" t="s">
        <v>1573</v>
      </c>
      <c r="C389" s="151">
        <v>41</v>
      </c>
      <c r="D389" s="152" t="s">
        <v>11</v>
      </c>
      <c r="E389" s="152" t="s">
        <v>1387</v>
      </c>
      <c r="F389" s="159">
        <v>545721910</v>
      </c>
      <c r="G389" s="152" t="s">
        <v>17</v>
      </c>
      <c r="H389" s="154">
        <v>0.29166666666666669</v>
      </c>
      <c r="I389" s="152" t="s">
        <v>20</v>
      </c>
      <c r="J389" s="155">
        <v>46239</v>
      </c>
      <c r="K389" s="155"/>
      <c r="L389" s="151" t="str">
        <f>IF(ISBLANK(DATA[[#This Row],[DISCHARGE DATE]]),"NO DATE", DATA[[#This Row],[DISCHARGE DATE]]-DATA[[#This Row],[ADMISSION DATE]]+1)</f>
        <v>NO DATE</v>
      </c>
      <c r="M389" s="156">
        <v>350</v>
      </c>
      <c r="N389" s="156"/>
      <c r="O389" s="157">
        <v>394</v>
      </c>
      <c r="P389" s="157"/>
      <c r="Q389" s="158" t="e">
        <f>IF(DATA[[#This Row],[STORAGE FEE]]=0,"NULL",DATA[[#This Row],[COLDROOM FEE]])-DATA[[#This Row],[STORAGE FEE]]</f>
        <v>#VALUE!</v>
      </c>
      <c r="R389" s="158">
        <f>IF(ISBLANK(DATA[[#This Row],[DISCHARGE DATE]]),0,IF(DATA[[#This Row],[TYPE]]="VIP",20*DATA[[#This Row],[STORAGE DAYS]],13*DATA[[#This Row],[STORAGE DAYS]]))</f>
        <v>0</v>
      </c>
      <c r="S389" s="71" t="str">
        <f>IF(ISBLANK(DATA[[#This Row],[COLDROOM RECEIPT]]), "IN CUSTODY", "DISCHARGED")</f>
        <v>IN CUSTODY</v>
      </c>
      <c r="T389" s="58">
        <f>COUNTA(A:A)-2</f>
        <v>419</v>
      </c>
      <c r="U389" s="59">
        <f>YEAR(DATA[[#This Row],[ADMISSION DATE]])</f>
        <v>2026</v>
      </c>
      <c r="V389" s="60" t="str">
        <f>TEXT(DATA[[#This Row],[ADMISSION DATE]],"mmm")</f>
        <v>Aug</v>
      </c>
      <c r="W389" s="59">
        <f>YEAR(DATA[[#This Row],[DISCHARGE DATE]])</f>
        <v>1900</v>
      </c>
      <c r="X389" s="60" t="str">
        <f>TEXT(DATA[[#This Row],[DISCHARGE DATE]],"mmm")</f>
        <v>Jan</v>
      </c>
    </row>
    <row r="390" spans="1:24" s="27" customFormat="1" ht="16.5" hidden="1" customHeight="1">
      <c r="A390" s="150" t="s">
        <v>1574</v>
      </c>
      <c r="B390" s="151" t="s">
        <v>1575</v>
      </c>
      <c r="C390" s="151">
        <v>55</v>
      </c>
      <c r="D390" s="152" t="s">
        <v>11</v>
      </c>
      <c r="E390" s="152" t="s">
        <v>1576</v>
      </c>
      <c r="F390" s="159">
        <v>550147165</v>
      </c>
      <c r="G390" s="152" t="s">
        <v>15</v>
      </c>
      <c r="H390" s="154">
        <v>0.53125</v>
      </c>
      <c r="I390" s="152" t="s">
        <v>18</v>
      </c>
      <c r="J390" s="155">
        <v>46246</v>
      </c>
      <c r="K390" s="155">
        <v>46297</v>
      </c>
      <c r="L390" s="151">
        <f>IF(ISBLANK(DATA[[#This Row],[DISCHARGE DATE]]),"NO DATE", DATA[[#This Row],[DISCHARGE DATE]]-DATA[[#This Row],[ADMISSION DATE]]+1)</f>
        <v>52</v>
      </c>
      <c r="M390" s="156">
        <v>350</v>
      </c>
      <c r="N390" s="156">
        <v>676</v>
      </c>
      <c r="O390" s="157">
        <v>395</v>
      </c>
      <c r="P390" s="157">
        <v>368</v>
      </c>
      <c r="Q390" s="158">
        <f>IF(DATA[[#This Row],[STORAGE FEE]]=0,"NULL",DATA[[#This Row],[COLDROOM FEE]])-DATA[[#This Row],[STORAGE FEE]]</f>
        <v>0</v>
      </c>
      <c r="R390" s="158">
        <f>IF(ISBLANK(DATA[[#This Row],[DISCHARGE DATE]]),0,IF(DATA[[#This Row],[TYPE]]="VIP",20*DATA[[#This Row],[STORAGE DAYS]],13*DATA[[#This Row],[STORAGE DAYS]]))</f>
        <v>676</v>
      </c>
      <c r="S390" s="71" t="str">
        <f>IF(ISBLANK(DATA[[#This Row],[COLDROOM RECEIPT]]), "IN CUSTODY", "DISCHARGED")</f>
        <v>DISCHARGED</v>
      </c>
      <c r="T390" s="58">
        <f>COUNTA(A:A)-2</f>
        <v>419</v>
      </c>
      <c r="U390" s="59">
        <f>YEAR(DATA[[#This Row],[ADMISSION DATE]])</f>
        <v>2026</v>
      </c>
      <c r="V390" s="60" t="str">
        <f>TEXT(DATA[[#This Row],[ADMISSION DATE]],"mmm")</f>
        <v>Aug</v>
      </c>
      <c r="W390" s="59">
        <f>YEAR(DATA[[#This Row],[DISCHARGE DATE]])</f>
        <v>2026</v>
      </c>
      <c r="X390" s="60" t="str">
        <f>TEXT(DATA[[#This Row],[DISCHARGE DATE]],"mmm")</f>
        <v>Oct</v>
      </c>
    </row>
    <row r="391" spans="1:24" s="27" customFormat="1" ht="16.5" customHeight="1">
      <c r="A391" s="150" t="s">
        <v>1577</v>
      </c>
      <c r="B391" s="151" t="s">
        <v>1578</v>
      </c>
      <c r="C391" s="151">
        <v>43</v>
      </c>
      <c r="D391" s="152" t="s">
        <v>12</v>
      </c>
      <c r="E391" s="152" t="s">
        <v>1579</v>
      </c>
      <c r="F391" s="159">
        <v>245040725</v>
      </c>
      <c r="G391" s="152" t="s">
        <v>13</v>
      </c>
      <c r="H391" s="154">
        <v>0.625</v>
      </c>
      <c r="I391" s="152" t="s">
        <v>18</v>
      </c>
      <c r="J391" s="155">
        <v>46246</v>
      </c>
      <c r="K391" s="155"/>
      <c r="L391" s="151" t="str">
        <f>IF(ISBLANK(DATA[[#This Row],[DISCHARGE DATE]]),"NO DATE", DATA[[#This Row],[DISCHARGE DATE]]-DATA[[#This Row],[ADMISSION DATE]]+1)</f>
        <v>NO DATE</v>
      </c>
      <c r="M391" s="156">
        <v>350</v>
      </c>
      <c r="N391" s="156"/>
      <c r="O391" s="157">
        <v>396</v>
      </c>
      <c r="P391" s="157"/>
      <c r="Q391" s="158" t="e">
        <f>IF(DATA[[#This Row],[STORAGE FEE]]=0,"NULL",DATA[[#This Row],[COLDROOM FEE]])-DATA[[#This Row],[STORAGE FEE]]</f>
        <v>#VALUE!</v>
      </c>
      <c r="R391" s="158">
        <f>IF(ISBLANK(DATA[[#This Row],[DISCHARGE DATE]]),0,IF(DATA[[#This Row],[TYPE]]="VIP",20*DATA[[#This Row],[STORAGE DAYS]],13*DATA[[#This Row],[STORAGE DAYS]]))</f>
        <v>0</v>
      </c>
      <c r="S391" s="71" t="str">
        <f>IF(ISBLANK(DATA[[#This Row],[COLDROOM RECEIPT]]), "IN CUSTODY", "DISCHARGED")</f>
        <v>IN CUSTODY</v>
      </c>
      <c r="T391" s="58">
        <f>COUNTA(A:A)-2</f>
        <v>419</v>
      </c>
      <c r="U391" s="59">
        <f>YEAR(DATA[[#This Row],[ADMISSION DATE]])</f>
        <v>2026</v>
      </c>
      <c r="V391" s="60" t="str">
        <f>TEXT(DATA[[#This Row],[ADMISSION DATE]],"mmm")</f>
        <v>Aug</v>
      </c>
      <c r="W391" s="59">
        <f>YEAR(DATA[[#This Row],[DISCHARGE DATE]])</f>
        <v>1900</v>
      </c>
      <c r="X391" s="60" t="str">
        <f>TEXT(DATA[[#This Row],[DISCHARGE DATE]],"mmm")</f>
        <v>Jan</v>
      </c>
    </row>
    <row r="392" spans="1:24" s="27" customFormat="1" ht="16.5" customHeight="1">
      <c r="A392" s="150" t="s">
        <v>1580</v>
      </c>
      <c r="B392" s="151" t="s">
        <v>1581</v>
      </c>
      <c r="C392" s="151">
        <v>71</v>
      </c>
      <c r="D392" s="152" t="s">
        <v>11</v>
      </c>
      <c r="E392" s="152" t="s">
        <v>1582</v>
      </c>
      <c r="F392" s="159">
        <v>246254357</v>
      </c>
      <c r="G392" s="152" t="s">
        <v>16</v>
      </c>
      <c r="H392" s="154">
        <v>0.6875</v>
      </c>
      <c r="I392" s="152" t="s">
        <v>18</v>
      </c>
      <c r="J392" s="155">
        <v>46254</v>
      </c>
      <c r="K392" s="155"/>
      <c r="L392" s="151" t="str">
        <f>IF(ISBLANK(DATA[[#This Row],[DISCHARGE DATE]]),"NO DATE", DATA[[#This Row],[DISCHARGE DATE]]-DATA[[#This Row],[ADMISSION DATE]]+1)</f>
        <v>NO DATE</v>
      </c>
      <c r="M392" s="156">
        <v>350</v>
      </c>
      <c r="N392" s="156"/>
      <c r="O392" s="157">
        <v>398</v>
      </c>
      <c r="P392" s="157"/>
      <c r="Q392" s="158" t="e">
        <f>IF(DATA[[#This Row],[STORAGE FEE]]=0,"NULL",DATA[[#This Row],[COLDROOM FEE]])-DATA[[#This Row],[STORAGE FEE]]</f>
        <v>#VALUE!</v>
      </c>
      <c r="R392" s="158">
        <f>IF(ISBLANK(DATA[[#This Row],[DISCHARGE DATE]]),0,IF(DATA[[#This Row],[TYPE]]="VIP",20*DATA[[#This Row],[STORAGE DAYS]],13*DATA[[#This Row],[STORAGE DAYS]]))</f>
        <v>0</v>
      </c>
      <c r="S392" s="71" t="str">
        <f>IF(ISBLANK(DATA[[#This Row],[COLDROOM RECEIPT]]), "IN CUSTODY", "DISCHARGED")</f>
        <v>IN CUSTODY</v>
      </c>
      <c r="T392" s="58">
        <f>COUNTA(A:A)-2</f>
        <v>419</v>
      </c>
      <c r="U392" s="59">
        <f>YEAR(DATA[[#This Row],[ADMISSION DATE]])</f>
        <v>2026</v>
      </c>
      <c r="V392" s="60" t="str">
        <f>TEXT(DATA[[#This Row],[ADMISSION DATE]],"mmm")</f>
        <v>Aug</v>
      </c>
      <c r="W392" s="59">
        <f>YEAR(DATA[[#This Row],[DISCHARGE DATE]])</f>
        <v>1900</v>
      </c>
      <c r="X392" s="60" t="str">
        <f>TEXT(DATA[[#This Row],[DISCHARGE DATE]],"mmm")</f>
        <v>Jan</v>
      </c>
    </row>
    <row r="393" spans="1:24" s="27" customFormat="1" ht="16.5" hidden="1" customHeight="1">
      <c r="A393" s="150" t="s">
        <v>1583</v>
      </c>
      <c r="B393" s="151" t="s">
        <v>1584</v>
      </c>
      <c r="C393" s="151">
        <v>66</v>
      </c>
      <c r="D393" s="152" t="s">
        <v>12</v>
      </c>
      <c r="E393" s="152" t="s">
        <v>1585</v>
      </c>
      <c r="F393" s="159">
        <v>246287356</v>
      </c>
      <c r="G393" s="152" t="s">
        <v>19</v>
      </c>
      <c r="H393" s="154">
        <v>0.6875</v>
      </c>
      <c r="I393" s="152" t="s">
        <v>18</v>
      </c>
      <c r="J393" s="155">
        <v>46255</v>
      </c>
      <c r="K393" s="155">
        <v>46290</v>
      </c>
      <c r="L393" s="151">
        <f>IF(ISBLANK(DATA[[#This Row],[DISCHARGE DATE]]),"NO DATE", DATA[[#This Row],[DISCHARGE DATE]]-DATA[[#This Row],[ADMISSION DATE]]+1)</f>
        <v>36</v>
      </c>
      <c r="M393" s="156">
        <v>350</v>
      </c>
      <c r="N393" s="156">
        <v>468</v>
      </c>
      <c r="O393" s="157">
        <v>399</v>
      </c>
      <c r="P393" s="157">
        <v>360</v>
      </c>
      <c r="Q393" s="158">
        <f>IF(DATA[[#This Row],[STORAGE FEE]]=0,"NULL",DATA[[#This Row],[COLDROOM FEE]])-DATA[[#This Row],[STORAGE FEE]]</f>
        <v>0</v>
      </c>
      <c r="R393" s="158">
        <f>IF(ISBLANK(DATA[[#This Row],[DISCHARGE DATE]]),0,IF(DATA[[#This Row],[TYPE]]="VIP",20*DATA[[#This Row],[STORAGE DAYS]],13*DATA[[#This Row],[STORAGE DAYS]]))</f>
        <v>468</v>
      </c>
      <c r="S393" s="71" t="str">
        <f>IF(ISBLANK(DATA[[#This Row],[COLDROOM RECEIPT]]), "IN CUSTODY", "DISCHARGED")</f>
        <v>DISCHARGED</v>
      </c>
      <c r="T393" s="58">
        <f>COUNTA(A:A)-2</f>
        <v>419</v>
      </c>
      <c r="U393" s="59">
        <f>YEAR(DATA[[#This Row],[ADMISSION DATE]])</f>
        <v>2026</v>
      </c>
      <c r="V393" s="60" t="str">
        <f>TEXT(DATA[[#This Row],[ADMISSION DATE]],"mmm")</f>
        <v>Aug</v>
      </c>
      <c r="W393" s="59">
        <f>YEAR(DATA[[#This Row],[DISCHARGE DATE]])</f>
        <v>2026</v>
      </c>
      <c r="X393" s="60" t="str">
        <f>TEXT(DATA[[#This Row],[DISCHARGE DATE]],"mmm")</f>
        <v>Sep</v>
      </c>
    </row>
    <row r="394" spans="1:24" s="27" customFormat="1" ht="16.5" customHeight="1">
      <c r="A394" s="150" t="s">
        <v>1586</v>
      </c>
      <c r="B394" s="151" t="s">
        <v>1587</v>
      </c>
      <c r="C394" s="151">
        <v>61</v>
      </c>
      <c r="D394" s="152" t="s">
        <v>11</v>
      </c>
      <c r="E394" s="152" t="s">
        <v>1475</v>
      </c>
      <c r="F394" s="159">
        <v>248085327</v>
      </c>
      <c r="G394" s="152" t="s">
        <v>13</v>
      </c>
      <c r="H394" s="154">
        <v>0.72916666666666663</v>
      </c>
      <c r="I394" s="152" t="s">
        <v>18</v>
      </c>
      <c r="J394" s="155">
        <v>46256</v>
      </c>
      <c r="K394" s="155"/>
      <c r="L394" s="151" t="str">
        <f>IF(ISBLANK(DATA[[#This Row],[DISCHARGE DATE]]),"NO DATE", DATA[[#This Row],[DISCHARGE DATE]]-DATA[[#This Row],[ADMISSION DATE]]+1)</f>
        <v>NO DATE</v>
      </c>
      <c r="M394" s="156">
        <v>350</v>
      </c>
      <c r="N394" s="156"/>
      <c r="O394" s="157">
        <v>400</v>
      </c>
      <c r="P394" s="157"/>
      <c r="Q394" s="158" t="e">
        <f>IF(DATA[[#This Row],[STORAGE FEE]]=0,"NULL",DATA[[#This Row],[COLDROOM FEE]])-DATA[[#This Row],[STORAGE FEE]]</f>
        <v>#VALUE!</v>
      </c>
      <c r="R394" s="158">
        <f>IF(ISBLANK(DATA[[#This Row],[DISCHARGE DATE]]),0,IF(DATA[[#This Row],[TYPE]]="VIP",20*DATA[[#This Row],[STORAGE DAYS]],13*DATA[[#This Row],[STORAGE DAYS]]))</f>
        <v>0</v>
      </c>
      <c r="S394" s="71" t="str">
        <f>IF(ISBLANK(DATA[[#This Row],[COLDROOM RECEIPT]]), "IN CUSTODY", "DISCHARGED")</f>
        <v>IN CUSTODY</v>
      </c>
      <c r="T394" s="58">
        <f>COUNTA(A:A)-2</f>
        <v>419</v>
      </c>
      <c r="U394" s="59">
        <f>YEAR(DATA[[#This Row],[ADMISSION DATE]])</f>
        <v>2026</v>
      </c>
      <c r="V394" s="60" t="str">
        <f>TEXT(DATA[[#This Row],[ADMISSION DATE]],"mmm")</f>
        <v>Aug</v>
      </c>
      <c r="W394" s="59">
        <f>YEAR(DATA[[#This Row],[DISCHARGE DATE]])</f>
        <v>1900</v>
      </c>
      <c r="X394" s="60" t="str">
        <f>TEXT(DATA[[#This Row],[DISCHARGE DATE]],"mmm")</f>
        <v>Jan</v>
      </c>
    </row>
    <row r="395" spans="1:24" s="27" customFormat="1" ht="16.5" customHeight="1">
      <c r="A395" s="150" t="s">
        <v>1588</v>
      </c>
      <c r="B395" s="151" t="s">
        <v>1589</v>
      </c>
      <c r="C395" s="151">
        <v>74</v>
      </c>
      <c r="D395" s="152" t="s">
        <v>12</v>
      </c>
      <c r="E395" s="152" t="s">
        <v>1590</v>
      </c>
      <c r="F395" s="159">
        <v>247018069</v>
      </c>
      <c r="G395" s="152" t="s">
        <v>13</v>
      </c>
      <c r="H395" s="154">
        <v>0.39583333333333331</v>
      </c>
      <c r="I395" s="152" t="s">
        <v>18</v>
      </c>
      <c r="J395" s="155">
        <v>46257</v>
      </c>
      <c r="K395" s="155"/>
      <c r="L395" s="151" t="str">
        <f>IF(ISBLANK(DATA[[#This Row],[DISCHARGE DATE]]),"NO DATE", DATA[[#This Row],[DISCHARGE DATE]]-DATA[[#This Row],[ADMISSION DATE]]+1)</f>
        <v>NO DATE</v>
      </c>
      <c r="M395" s="156">
        <v>350</v>
      </c>
      <c r="N395" s="156"/>
      <c r="O395" s="157">
        <v>401</v>
      </c>
      <c r="P395" s="157"/>
      <c r="Q395" s="158" t="e">
        <f>IF(DATA[[#This Row],[STORAGE FEE]]=0,"NULL",DATA[[#This Row],[COLDROOM FEE]])-DATA[[#This Row],[STORAGE FEE]]</f>
        <v>#VALUE!</v>
      </c>
      <c r="R395" s="158">
        <f>IF(ISBLANK(DATA[[#This Row],[DISCHARGE DATE]]),0,IF(DATA[[#This Row],[TYPE]]="VIP",20*DATA[[#This Row],[STORAGE DAYS]],13*DATA[[#This Row],[STORAGE DAYS]]))</f>
        <v>0</v>
      </c>
      <c r="S395" s="71" t="str">
        <f>IF(ISBLANK(DATA[[#This Row],[COLDROOM RECEIPT]]), "IN CUSTODY", "DISCHARGED")</f>
        <v>IN CUSTODY</v>
      </c>
      <c r="T395" s="58">
        <f>COUNTA(A:A)-2</f>
        <v>419</v>
      </c>
      <c r="U395" s="59">
        <f>YEAR(DATA[[#This Row],[ADMISSION DATE]])</f>
        <v>2026</v>
      </c>
      <c r="V395" s="60" t="str">
        <f>TEXT(DATA[[#This Row],[ADMISSION DATE]],"mmm")</f>
        <v>Aug</v>
      </c>
      <c r="W395" s="59">
        <f>YEAR(DATA[[#This Row],[DISCHARGE DATE]])</f>
        <v>1900</v>
      </c>
      <c r="X395" s="60" t="str">
        <f>TEXT(DATA[[#This Row],[DISCHARGE DATE]],"mmm")</f>
        <v>Jan</v>
      </c>
    </row>
    <row r="396" spans="1:24" s="27" customFormat="1" ht="16.5" customHeight="1">
      <c r="A396" s="150" t="s">
        <v>1591</v>
      </c>
      <c r="B396" s="151" t="s">
        <v>1592</v>
      </c>
      <c r="C396" s="151">
        <v>49</v>
      </c>
      <c r="D396" s="152" t="s">
        <v>11</v>
      </c>
      <c r="E396" s="152" t="s">
        <v>1593</v>
      </c>
      <c r="F396" s="159">
        <v>248859249</v>
      </c>
      <c r="G396" s="152" t="s">
        <v>13</v>
      </c>
      <c r="H396" s="154">
        <v>0.6875</v>
      </c>
      <c r="I396" s="152" t="s">
        <v>18</v>
      </c>
      <c r="J396" s="155">
        <v>46258</v>
      </c>
      <c r="K396" s="155"/>
      <c r="L396" s="151" t="str">
        <f>IF(ISBLANK(DATA[[#This Row],[DISCHARGE DATE]]),"NO DATE", DATA[[#This Row],[DISCHARGE DATE]]-DATA[[#This Row],[ADMISSION DATE]]+1)</f>
        <v>NO DATE</v>
      </c>
      <c r="M396" s="156">
        <v>350</v>
      </c>
      <c r="N396" s="156"/>
      <c r="O396" s="157">
        <v>402</v>
      </c>
      <c r="P396" s="157"/>
      <c r="Q396" s="158" t="e">
        <f>IF(DATA[[#This Row],[STORAGE FEE]]=0,"NULL",DATA[[#This Row],[COLDROOM FEE]])-DATA[[#This Row],[STORAGE FEE]]</f>
        <v>#VALUE!</v>
      </c>
      <c r="R396" s="158">
        <f>IF(ISBLANK(DATA[[#This Row],[DISCHARGE DATE]]),0,IF(DATA[[#This Row],[TYPE]]="VIP",20*DATA[[#This Row],[STORAGE DAYS]],13*DATA[[#This Row],[STORAGE DAYS]]))</f>
        <v>0</v>
      </c>
      <c r="S396" s="71" t="str">
        <f>IF(ISBLANK(DATA[[#This Row],[COLDROOM RECEIPT]]), "IN CUSTODY", "DISCHARGED")</f>
        <v>IN CUSTODY</v>
      </c>
      <c r="T396" s="58">
        <f>COUNTA(A:A)-2</f>
        <v>419</v>
      </c>
      <c r="U396" s="59">
        <f>YEAR(DATA[[#This Row],[ADMISSION DATE]])</f>
        <v>2026</v>
      </c>
      <c r="V396" s="60" t="str">
        <f>TEXT(DATA[[#This Row],[ADMISSION DATE]],"mmm")</f>
        <v>Aug</v>
      </c>
      <c r="W396" s="59">
        <f>YEAR(DATA[[#This Row],[DISCHARGE DATE]])</f>
        <v>1900</v>
      </c>
      <c r="X396" s="60" t="str">
        <f>TEXT(DATA[[#This Row],[DISCHARGE DATE]],"mmm")</f>
        <v>Jan</v>
      </c>
    </row>
    <row r="397" spans="1:24" s="27" customFormat="1" ht="16.5" customHeight="1">
      <c r="A397" s="150" t="s">
        <v>1594</v>
      </c>
      <c r="B397" s="151" t="s">
        <v>1595</v>
      </c>
      <c r="C397" s="151">
        <v>62</v>
      </c>
      <c r="D397" s="152" t="s">
        <v>12</v>
      </c>
      <c r="E397" s="152" t="s">
        <v>1596</v>
      </c>
      <c r="F397" s="159">
        <v>594120618</v>
      </c>
      <c r="G397" s="152" t="s">
        <v>15</v>
      </c>
      <c r="H397" s="154">
        <v>0</v>
      </c>
      <c r="I397" s="152" t="s">
        <v>18</v>
      </c>
      <c r="J397" s="155">
        <v>46259</v>
      </c>
      <c r="K397" s="155"/>
      <c r="L397" s="151" t="str">
        <f>IF(ISBLANK(DATA[[#This Row],[DISCHARGE DATE]]),"NO DATE", DATA[[#This Row],[DISCHARGE DATE]]-DATA[[#This Row],[ADMISSION DATE]]+1)</f>
        <v>NO DATE</v>
      </c>
      <c r="M397" s="156">
        <v>350</v>
      </c>
      <c r="N397" s="156"/>
      <c r="O397" s="157">
        <v>403</v>
      </c>
      <c r="P397" s="157"/>
      <c r="Q397" s="158" t="e">
        <f>IF(DATA[[#This Row],[STORAGE FEE]]=0,"NULL",DATA[[#This Row],[COLDROOM FEE]])-DATA[[#This Row],[STORAGE FEE]]</f>
        <v>#VALUE!</v>
      </c>
      <c r="R397" s="158">
        <f>IF(ISBLANK(DATA[[#This Row],[DISCHARGE DATE]]),0,IF(DATA[[#This Row],[TYPE]]="VIP",20*DATA[[#This Row],[STORAGE DAYS]],13*DATA[[#This Row],[STORAGE DAYS]]))</f>
        <v>0</v>
      </c>
      <c r="S397" s="71" t="str">
        <f>IF(ISBLANK(DATA[[#This Row],[COLDROOM RECEIPT]]), "IN CUSTODY", "DISCHARGED")</f>
        <v>IN CUSTODY</v>
      </c>
      <c r="T397" s="58">
        <f>COUNTA(A:A)-2</f>
        <v>419</v>
      </c>
      <c r="U397" s="59">
        <f>YEAR(DATA[[#This Row],[ADMISSION DATE]])</f>
        <v>2026</v>
      </c>
      <c r="V397" s="60" t="str">
        <f>TEXT(DATA[[#This Row],[ADMISSION DATE]],"mmm")</f>
        <v>Aug</v>
      </c>
      <c r="W397" s="59">
        <f>YEAR(DATA[[#This Row],[DISCHARGE DATE]])</f>
        <v>1900</v>
      </c>
      <c r="X397" s="60" t="str">
        <f>TEXT(DATA[[#This Row],[DISCHARGE DATE]],"mmm")</f>
        <v>Jan</v>
      </c>
    </row>
    <row r="398" spans="1:24" s="27" customFormat="1" ht="16.5" customHeight="1">
      <c r="A398" s="150" t="s">
        <v>1597</v>
      </c>
      <c r="B398" s="151" t="s">
        <v>1598</v>
      </c>
      <c r="C398" s="151">
        <v>105</v>
      </c>
      <c r="D398" s="152" t="s">
        <v>11</v>
      </c>
      <c r="E398" s="152" t="s">
        <v>1599</v>
      </c>
      <c r="F398" s="159">
        <v>538370778</v>
      </c>
      <c r="G398" s="152" t="s">
        <v>23</v>
      </c>
      <c r="H398" s="154">
        <v>0.44930555555555557</v>
      </c>
      <c r="I398" s="152" t="s">
        <v>18</v>
      </c>
      <c r="J398" s="155">
        <v>46258</v>
      </c>
      <c r="K398" s="155"/>
      <c r="L398" s="151" t="str">
        <f>IF(ISBLANK(DATA[[#This Row],[DISCHARGE DATE]]),"NO DATE", DATA[[#This Row],[DISCHARGE DATE]]-DATA[[#This Row],[ADMISSION DATE]]+1)</f>
        <v>NO DATE</v>
      </c>
      <c r="M398" s="156">
        <v>350</v>
      </c>
      <c r="N398" s="156"/>
      <c r="O398" s="157">
        <v>404</v>
      </c>
      <c r="P398" s="157"/>
      <c r="Q398" s="158" t="e">
        <f>IF(DATA[[#This Row],[STORAGE FEE]]=0,"NULL",DATA[[#This Row],[COLDROOM FEE]])-DATA[[#This Row],[STORAGE FEE]]</f>
        <v>#VALUE!</v>
      </c>
      <c r="R398" s="158">
        <f>IF(ISBLANK(DATA[[#This Row],[DISCHARGE DATE]]),0,IF(DATA[[#This Row],[TYPE]]="VIP",20*DATA[[#This Row],[STORAGE DAYS]],13*DATA[[#This Row],[STORAGE DAYS]]))</f>
        <v>0</v>
      </c>
      <c r="S398" s="71" t="str">
        <f>IF(ISBLANK(DATA[[#This Row],[COLDROOM RECEIPT]]), "IN CUSTODY", "DISCHARGED")</f>
        <v>IN CUSTODY</v>
      </c>
      <c r="T398" s="58">
        <f>COUNTA(A:A)-2</f>
        <v>419</v>
      </c>
      <c r="U398" s="59">
        <f>YEAR(DATA[[#This Row],[ADMISSION DATE]])</f>
        <v>2026</v>
      </c>
      <c r="V398" s="60" t="str">
        <f>TEXT(DATA[[#This Row],[ADMISSION DATE]],"mmm")</f>
        <v>Aug</v>
      </c>
      <c r="W398" s="59">
        <f>YEAR(DATA[[#This Row],[DISCHARGE DATE]])</f>
        <v>1900</v>
      </c>
      <c r="X398" s="60" t="str">
        <f>TEXT(DATA[[#This Row],[DISCHARGE DATE]],"mmm")</f>
        <v>Jan</v>
      </c>
    </row>
    <row r="399" spans="1:24" s="27" customFormat="1" ht="16.5" customHeight="1">
      <c r="A399" s="150" t="s">
        <v>1600</v>
      </c>
      <c r="B399" s="151" t="s">
        <v>1601</v>
      </c>
      <c r="C399" s="151">
        <v>68</v>
      </c>
      <c r="D399" s="152" t="s">
        <v>11</v>
      </c>
      <c r="E399" s="152" t="s">
        <v>1602</v>
      </c>
      <c r="F399" s="159">
        <v>550888595</v>
      </c>
      <c r="G399" s="152" t="s">
        <v>13</v>
      </c>
      <c r="H399" s="154">
        <v>0.40625</v>
      </c>
      <c r="I399" s="152" t="s">
        <v>18</v>
      </c>
      <c r="J399" s="155">
        <v>46262</v>
      </c>
      <c r="K399" s="155">
        <v>46360</v>
      </c>
      <c r="L399" s="151">
        <f>IF(ISBLANK(DATA[[#This Row],[DISCHARGE DATE]]),"NO DATE", DATA[[#This Row],[DISCHARGE DATE]]-DATA[[#This Row],[ADMISSION DATE]]+1)</f>
        <v>99</v>
      </c>
      <c r="M399" s="156">
        <v>350</v>
      </c>
      <c r="N399" s="156"/>
      <c r="O399" s="157">
        <v>405</v>
      </c>
      <c r="P399" s="157"/>
      <c r="Q399" s="158">
        <f>IF(DATA[[#This Row],[STORAGE FEE]]=0,"NULL",DATA[[#This Row],[COLDROOM FEE]])-DATA[[#This Row],[STORAGE FEE]]</f>
        <v>-1287</v>
      </c>
      <c r="R399" s="158">
        <f>IF(ISBLANK(DATA[[#This Row],[DISCHARGE DATE]]),0,IF(DATA[[#This Row],[TYPE]]="VIP",20*DATA[[#This Row],[STORAGE DAYS]],13*DATA[[#This Row],[STORAGE DAYS]]))</f>
        <v>1287</v>
      </c>
      <c r="S399" s="71" t="str">
        <f>IF(ISBLANK(DATA[[#This Row],[COLDROOM RECEIPT]]), "IN CUSTODY", "DISCHARGED")</f>
        <v>IN CUSTODY</v>
      </c>
      <c r="T399" s="58">
        <f>COUNTA(A:A)-2</f>
        <v>419</v>
      </c>
      <c r="U399" s="59">
        <f>YEAR(DATA[[#This Row],[ADMISSION DATE]])</f>
        <v>2026</v>
      </c>
      <c r="V399" s="60" t="str">
        <f>TEXT(DATA[[#This Row],[ADMISSION DATE]],"mmm")</f>
        <v>Aug</v>
      </c>
      <c r="W399" s="59">
        <f>YEAR(DATA[[#This Row],[DISCHARGE DATE]])</f>
        <v>2026</v>
      </c>
      <c r="X399" s="60" t="str">
        <f>TEXT(DATA[[#This Row],[DISCHARGE DATE]],"mmm")</f>
        <v>Dec</v>
      </c>
    </row>
    <row r="400" spans="1:24" s="27" customFormat="1" ht="16.5" customHeight="1">
      <c r="A400" s="150" t="s">
        <v>1603</v>
      </c>
      <c r="B400" s="151" t="s">
        <v>1604</v>
      </c>
      <c r="C400" s="151">
        <v>66</v>
      </c>
      <c r="D400" s="152" t="s">
        <v>11</v>
      </c>
      <c r="E400" s="152" t="s">
        <v>806</v>
      </c>
      <c r="F400" s="159">
        <v>543050921</v>
      </c>
      <c r="G400" s="152" t="s">
        <v>13</v>
      </c>
      <c r="H400" s="154">
        <v>4.1666666666666664E-2</v>
      </c>
      <c r="I400" s="152" t="s">
        <v>18</v>
      </c>
      <c r="J400" s="155">
        <v>46266</v>
      </c>
      <c r="K400" s="155"/>
      <c r="L400" s="151" t="str">
        <f>IF(ISBLANK(DATA[[#This Row],[DISCHARGE DATE]]),"NO DATE", DATA[[#This Row],[DISCHARGE DATE]]-DATA[[#This Row],[ADMISSION DATE]]+1)</f>
        <v>NO DATE</v>
      </c>
      <c r="M400" s="156">
        <v>350</v>
      </c>
      <c r="N400" s="156"/>
      <c r="O400" s="157">
        <v>406</v>
      </c>
      <c r="P400" s="157"/>
      <c r="Q400" s="158" t="e">
        <f>IF(DATA[[#This Row],[STORAGE FEE]]=0,"NULL",DATA[[#This Row],[COLDROOM FEE]])-DATA[[#This Row],[STORAGE FEE]]</f>
        <v>#VALUE!</v>
      </c>
      <c r="R400" s="158">
        <f>IF(ISBLANK(DATA[[#This Row],[DISCHARGE DATE]]),0,IF(DATA[[#This Row],[TYPE]]="VIP",20*DATA[[#This Row],[STORAGE DAYS]],13*DATA[[#This Row],[STORAGE DAYS]]))</f>
        <v>0</v>
      </c>
      <c r="S400" s="71" t="str">
        <f>IF(ISBLANK(DATA[[#This Row],[COLDROOM RECEIPT]]), "IN CUSTODY", "DISCHARGED")</f>
        <v>IN CUSTODY</v>
      </c>
      <c r="T400" s="58">
        <f>COUNTA(A:A)-2</f>
        <v>419</v>
      </c>
      <c r="U400" s="59">
        <f>YEAR(DATA[[#This Row],[ADMISSION DATE]])</f>
        <v>2026</v>
      </c>
      <c r="V400" s="60" t="str">
        <f>TEXT(DATA[[#This Row],[ADMISSION DATE]],"mmm")</f>
        <v>Sep</v>
      </c>
      <c r="W400" s="59">
        <f>YEAR(DATA[[#This Row],[DISCHARGE DATE]])</f>
        <v>1900</v>
      </c>
      <c r="X400" s="60" t="str">
        <f>TEXT(DATA[[#This Row],[DISCHARGE DATE]],"mmm")</f>
        <v>Jan</v>
      </c>
    </row>
    <row r="401" spans="1:24" s="27" customFormat="1" ht="16.5" customHeight="1">
      <c r="A401" s="150" t="s">
        <v>1605</v>
      </c>
      <c r="B401" s="151" t="s">
        <v>1606</v>
      </c>
      <c r="C401" s="151">
        <v>73</v>
      </c>
      <c r="D401" s="152" t="s">
        <v>12</v>
      </c>
      <c r="E401" s="152" t="s">
        <v>1607</v>
      </c>
      <c r="F401" s="159">
        <v>555395989</v>
      </c>
      <c r="G401" s="152" t="s">
        <v>15</v>
      </c>
      <c r="H401" s="154">
        <v>0.3888888888888889</v>
      </c>
      <c r="I401" s="152" t="s">
        <v>18</v>
      </c>
      <c r="J401" s="155">
        <v>46267</v>
      </c>
      <c r="K401" s="155">
        <v>46416</v>
      </c>
      <c r="L401" s="151">
        <f>IF(ISBLANK(DATA[[#This Row],[DISCHARGE DATE]]),"NO DATE", DATA[[#This Row],[DISCHARGE DATE]]-DATA[[#This Row],[ADMISSION DATE]]+1)</f>
        <v>150</v>
      </c>
      <c r="M401" s="156">
        <v>350</v>
      </c>
      <c r="N401" s="156"/>
      <c r="O401" s="157">
        <v>407</v>
      </c>
      <c r="P401" s="157"/>
      <c r="Q401" s="158">
        <f>IF(DATA[[#This Row],[STORAGE FEE]]=0,"NULL",DATA[[#This Row],[COLDROOM FEE]])-DATA[[#This Row],[STORAGE FEE]]</f>
        <v>-1950</v>
      </c>
      <c r="R401" s="158">
        <f>IF(ISBLANK(DATA[[#This Row],[DISCHARGE DATE]]),0,IF(DATA[[#This Row],[TYPE]]="VIP",20*DATA[[#This Row],[STORAGE DAYS]],13*DATA[[#This Row],[STORAGE DAYS]]))</f>
        <v>1950</v>
      </c>
      <c r="S401" s="71" t="str">
        <f>IF(ISBLANK(DATA[[#This Row],[COLDROOM RECEIPT]]), "IN CUSTODY", "DISCHARGED")</f>
        <v>IN CUSTODY</v>
      </c>
      <c r="T401" s="58">
        <f>COUNTA(A:A)-2</f>
        <v>419</v>
      </c>
      <c r="U401" s="59">
        <f>YEAR(DATA[[#This Row],[ADMISSION DATE]])</f>
        <v>2026</v>
      </c>
      <c r="V401" s="60" t="str">
        <f>TEXT(DATA[[#This Row],[ADMISSION DATE]],"mmm")</f>
        <v>Sep</v>
      </c>
      <c r="W401" s="59">
        <f>YEAR(DATA[[#This Row],[DISCHARGE DATE]])</f>
        <v>2027</v>
      </c>
      <c r="X401" s="60" t="str">
        <f>TEXT(DATA[[#This Row],[DISCHARGE DATE]],"mmm")</f>
        <v>Jan</v>
      </c>
    </row>
    <row r="402" spans="1:24" s="27" customFormat="1" ht="16.5" customHeight="1">
      <c r="A402" s="150" t="s">
        <v>1608</v>
      </c>
      <c r="B402" s="151" t="s">
        <v>1609</v>
      </c>
      <c r="C402" s="151">
        <v>58</v>
      </c>
      <c r="D402" s="152" t="s">
        <v>12</v>
      </c>
      <c r="E402" s="152" t="s">
        <v>525</v>
      </c>
      <c r="F402" s="159" t="s">
        <v>1610</v>
      </c>
      <c r="G402" s="152" t="s">
        <v>15</v>
      </c>
      <c r="H402" s="154">
        <v>0.34722222222222221</v>
      </c>
      <c r="I402" s="152" t="s">
        <v>18</v>
      </c>
      <c r="J402" s="155">
        <v>46271</v>
      </c>
      <c r="K402" s="155"/>
      <c r="L402" s="151" t="str">
        <f>IF(ISBLANK(DATA[[#This Row],[DISCHARGE DATE]]),"NO DATE", DATA[[#This Row],[DISCHARGE DATE]]-DATA[[#This Row],[ADMISSION DATE]]+1)</f>
        <v>NO DATE</v>
      </c>
      <c r="M402" s="156">
        <v>350</v>
      </c>
      <c r="N402" s="156"/>
      <c r="O402" s="157">
        <v>408</v>
      </c>
      <c r="P402" s="157"/>
      <c r="Q402" s="158" t="e">
        <f>IF(DATA[[#This Row],[STORAGE FEE]]=0,"NULL",DATA[[#This Row],[COLDROOM FEE]])-DATA[[#This Row],[STORAGE FEE]]</f>
        <v>#VALUE!</v>
      </c>
      <c r="R402" s="158">
        <f>IF(ISBLANK(DATA[[#This Row],[DISCHARGE DATE]]),0,IF(DATA[[#This Row],[TYPE]]="VIP",20*DATA[[#This Row],[STORAGE DAYS]],13*DATA[[#This Row],[STORAGE DAYS]]))</f>
        <v>0</v>
      </c>
      <c r="S402" s="71" t="str">
        <f>IF(ISBLANK(DATA[[#This Row],[COLDROOM RECEIPT]]), "IN CUSTODY", "DISCHARGED")</f>
        <v>IN CUSTODY</v>
      </c>
      <c r="T402" s="58">
        <f>COUNTA(A:A)-2</f>
        <v>419</v>
      </c>
      <c r="U402" s="59">
        <f>YEAR(DATA[[#This Row],[ADMISSION DATE]])</f>
        <v>2026</v>
      </c>
      <c r="V402" s="60" t="str">
        <f>TEXT(DATA[[#This Row],[ADMISSION DATE]],"mmm")</f>
        <v>Sep</v>
      </c>
      <c r="W402" s="59">
        <f>YEAR(DATA[[#This Row],[DISCHARGE DATE]])</f>
        <v>1900</v>
      </c>
      <c r="X402" s="60" t="str">
        <f>TEXT(DATA[[#This Row],[DISCHARGE DATE]],"mmm")</f>
        <v>Jan</v>
      </c>
    </row>
    <row r="403" spans="1:24" s="27" customFormat="1" ht="16.5" customHeight="1">
      <c r="A403" s="150" t="s">
        <v>1611</v>
      </c>
      <c r="B403" s="151" t="s">
        <v>1612</v>
      </c>
      <c r="C403" s="151">
        <v>77</v>
      </c>
      <c r="D403" s="152" t="s">
        <v>12</v>
      </c>
      <c r="E403" s="152" t="s">
        <v>1613</v>
      </c>
      <c r="F403" s="159">
        <v>543347502</v>
      </c>
      <c r="G403" s="152" t="s">
        <v>13</v>
      </c>
      <c r="H403" s="154">
        <v>0.61111111111111116</v>
      </c>
      <c r="I403" s="152" t="s">
        <v>18</v>
      </c>
      <c r="J403" s="155">
        <v>46272</v>
      </c>
      <c r="K403" s="155"/>
      <c r="L403" s="151" t="str">
        <f>IF(ISBLANK(DATA[[#This Row],[DISCHARGE DATE]]),"NO DATE", DATA[[#This Row],[DISCHARGE DATE]]-DATA[[#This Row],[ADMISSION DATE]]+1)</f>
        <v>NO DATE</v>
      </c>
      <c r="M403" s="156">
        <v>350</v>
      </c>
      <c r="N403" s="156"/>
      <c r="O403" s="157">
        <v>410</v>
      </c>
      <c r="P403" s="157"/>
      <c r="Q403" s="158" t="e">
        <f>IF(DATA[[#This Row],[STORAGE FEE]]=0,"NULL",DATA[[#This Row],[COLDROOM FEE]])-DATA[[#This Row],[STORAGE FEE]]</f>
        <v>#VALUE!</v>
      </c>
      <c r="R403" s="158">
        <f>IF(ISBLANK(DATA[[#This Row],[DISCHARGE DATE]]),0,IF(DATA[[#This Row],[TYPE]]="VIP",20*DATA[[#This Row],[STORAGE DAYS]],13*DATA[[#This Row],[STORAGE DAYS]]))</f>
        <v>0</v>
      </c>
      <c r="S403" s="71" t="str">
        <f>IF(ISBLANK(DATA[[#This Row],[COLDROOM RECEIPT]]), "IN CUSTODY", "DISCHARGED")</f>
        <v>IN CUSTODY</v>
      </c>
      <c r="T403" s="58">
        <f>COUNTA(A:A)-2</f>
        <v>419</v>
      </c>
      <c r="U403" s="59">
        <f>YEAR(DATA[[#This Row],[ADMISSION DATE]])</f>
        <v>2026</v>
      </c>
      <c r="V403" s="60" t="str">
        <f>TEXT(DATA[[#This Row],[ADMISSION DATE]],"mmm")</f>
        <v>Sep</v>
      </c>
      <c r="W403" s="59">
        <f>YEAR(DATA[[#This Row],[DISCHARGE DATE]])</f>
        <v>1900</v>
      </c>
      <c r="X403" s="60" t="str">
        <f>TEXT(DATA[[#This Row],[DISCHARGE DATE]],"mmm")</f>
        <v>Jan</v>
      </c>
    </row>
    <row r="404" spans="1:24" s="27" customFormat="1" ht="16.5" customHeight="1">
      <c r="A404" s="150" t="s">
        <v>1614</v>
      </c>
      <c r="B404" s="151" t="s">
        <v>1615</v>
      </c>
      <c r="C404" s="151">
        <v>68</v>
      </c>
      <c r="D404" s="152" t="s">
        <v>11</v>
      </c>
      <c r="E404" s="152" t="s">
        <v>1616</v>
      </c>
      <c r="F404" s="159">
        <v>246668960</v>
      </c>
      <c r="G404" s="152" t="s">
        <v>13</v>
      </c>
      <c r="H404" s="154">
        <v>0.60416666666666663</v>
      </c>
      <c r="I404" s="152" t="s">
        <v>18</v>
      </c>
      <c r="J404" s="155">
        <v>46272</v>
      </c>
      <c r="K404" s="155"/>
      <c r="L404" s="151" t="str">
        <f>IF(ISBLANK(DATA[[#This Row],[DISCHARGE DATE]]),"NO DATE", DATA[[#This Row],[DISCHARGE DATE]]-DATA[[#This Row],[ADMISSION DATE]]+1)</f>
        <v>NO DATE</v>
      </c>
      <c r="M404" s="156">
        <v>350</v>
      </c>
      <c r="N404" s="156"/>
      <c r="O404" s="157">
        <v>409</v>
      </c>
      <c r="P404" s="157"/>
      <c r="Q404" s="158" t="e">
        <f>IF(DATA[[#This Row],[STORAGE FEE]]=0,"NULL",DATA[[#This Row],[COLDROOM FEE]])-DATA[[#This Row],[STORAGE FEE]]</f>
        <v>#VALUE!</v>
      </c>
      <c r="R404" s="158">
        <f>IF(ISBLANK(DATA[[#This Row],[DISCHARGE DATE]]),0,IF(DATA[[#This Row],[TYPE]]="VIP",20*DATA[[#This Row],[STORAGE DAYS]],13*DATA[[#This Row],[STORAGE DAYS]]))</f>
        <v>0</v>
      </c>
      <c r="S404" s="71" t="str">
        <f>IF(ISBLANK(DATA[[#This Row],[COLDROOM RECEIPT]]), "IN CUSTODY", "DISCHARGED")</f>
        <v>IN CUSTODY</v>
      </c>
      <c r="T404" s="58">
        <f>COUNTA(A:A)-2</f>
        <v>419</v>
      </c>
      <c r="U404" s="59">
        <f>YEAR(DATA[[#This Row],[ADMISSION DATE]])</f>
        <v>2026</v>
      </c>
      <c r="V404" s="60" t="str">
        <f>TEXT(DATA[[#This Row],[ADMISSION DATE]],"mmm")</f>
        <v>Sep</v>
      </c>
      <c r="W404" s="59">
        <f>YEAR(DATA[[#This Row],[DISCHARGE DATE]])</f>
        <v>1900</v>
      </c>
      <c r="X404" s="60" t="str">
        <f>TEXT(DATA[[#This Row],[DISCHARGE DATE]],"mmm")</f>
        <v>Jan</v>
      </c>
    </row>
    <row r="405" spans="1:24" s="27" customFormat="1" ht="16.5" customHeight="1">
      <c r="A405" s="150" t="s">
        <v>1617</v>
      </c>
      <c r="B405" s="151" t="s">
        <v>1618</v>
      </c>
      <c r="C405" s="151">
        <v>73</v>
      </c>
      <c r="D405" s="152" t="s">
        <v>12</v>
      </c>
      <c r="E405" s="152" t="s">
        <v>1619</v>
      </c>
      <c r="F405" s="159">
        <v>244062835</v>
      </c>
      <c r="G405" s="152" t="s">
        <v>16</v>
      </c>
      <c r="H405" s="154">
        <v>0.40416666666666667</v>
      </c>
      <c r="I405" s="152" t="s">
        <v>20</v>
      </c>
      <c r="J405" s="155">
        <v>46274</v>
      </c>
      <c r="K405" s="155"/>
      <c r="L405" s="151" t="str">
        <f>IF(ISBLANK(DATA[[#This Row],[DISCHARGE DATE]]),"NO DATE", DATA[[#This Row],[DISCHARGE DATE]]-DATA[[#This Row],[ADMISSION DATE]]+1)</f>
        <v>NO DATE</v>
      </c>
      <c r="M405" s="156">
        <v>350</v>
      </c>
      <c r="N405" s="156"/>
      <c r="O405" s="157">
        <v>411</v>
      </c>
      <c r="P405" s="157"/>
      <c r="Q405" s="158" t="e">
        <f>IF(DATA[[#This Row],[STORAGE FEE]]=0,"NULL",DATA[[#This Row],[COLDROOM FEE]])-DATA[[#This Row],[STORAGE FEE]]</f>
        <v>#VALUE!</v>
      </c>
      <c r="R405" s="158">
        <f>IF(ISBLANK(DATA[[#This Row],[DISCHARGE DATE]]),0,IF(DATA[[#This Row],[TYPE]]="VIP",20*DATA[[#This Row],[STORAGE DAYS]],13*DATA[[#This Row],[STORAGE DAYS]]))</f>
        <v>0</v>
      </c>
      <c r="S405" s="71" t="str">
        <f>IF(ISBLANK(DATA[[#This Row],[COLDROOM RECEIPT]]), "IN CUSTODY", "DISCHARGED")</f>
        <v>IN CUSTODY</v>
      </c>
      <c r="T405" s="58">
        <f>COUNTA(A:A)-2</f>
        <v>419</v>
      </c>
      <c r="U405" s="59">
        <f>YEAR(DATA[[#This Row],[ADMISSION DATE]])</f>
        <v>2026</v>
      </c>
      <c r="V405" s="60" t="str">
        <f>TEXT(DATA[[#This Row],[ADMISSION DATE]],"mmm")</f>
        <v>Sep</v>
      </c>
      <c r="W405" s="59">
        <f>YEAR(DATA[[#This Row],[DISCHARGE DATE]])</f>
        <v>1900</v>
      </c>
      <c r="X405" s="60" t="str">
        <f>TEXT(DATA[[#This Row],[DISCHARGE DATE]],"mmm")</f>
        <v>Jan</v>
      </c>
    </row>
    <row r="406" spans="1:24" s="27" customFormat="1" ht="16.5" customHeight="1">
      <c r="A406" s="150" t="s">
        <v>1620</v>
      </c>
      <c r="B406" s="151" t="s">
        <v>1621</v>
      </c>
      <c r="C406" s="151">
        <v>41</v>
      </c>
      <c r="D406" s="152" t="s">
        <v>12</v>
      </c>
      <c r="E406" s="152" t="s">
        <v>1040</v>
      </c>
      <c r="F406" s="159">
        <v>249174910</v>
      </c>
      <c r="G406" s="152" t="s">
        <v>13</v>
      </c>
      <c r="H406" s="154">
        <v>0.72916666666666663</v>
      </c>
      <c r="I406" s="152" t="s">
        <v>18</v>
      </c>
      <c r="J406" s="155">
        <v>46274</v>
      </c>
      <c r="K406" s="155"/>
      <c r="L406" s="151" t="str">
        <f>IF(ISBLANK(DATA[[#This Row],[DISCHARGE DATE]]),"NO DATE", DATA[[#This Row],[DISCHARGE DATE]]-DATA[[#This Row],[ADMISSION DATE]]+1)</f>
        <v>NO DATE</v>
      </c>
      <c r="M406" s="156">
        <v>350</v>
      </c>
      <c r="N406" s="156"/>
      <c r="O406" s="157">
        <v>412</v>
      </c>
      <c r="P406" s="157"/>
      <c r="Q406" s="158" t="e">
        <f>IF(DATA[[#This Row],[STORAGE FEE]]=0,"NULL",DATA[[#This Row],[COLDROOM FEE]])-DATA[[#This Row],[STORAGE FEE]]</f>
        <v>#VALUE!</v>
      </c>
      <c r="R406" s="158">
        <f>IF(ISBLANK(DATA[[#This Row],[DISCHARGE DATE]]),0,IF(DATA[[#This Row],[TYPE]]="VIP",20*DATA[[#This Row],[STORAGE DAYS]],13*DATA[[#This Row],[STORAGE DAYS]]))</f>
        <v>0</v>
      </c>
      <c r="S406" s="71" t="str">
        <f>IF(ISBLANK(DATA[[#This Row],[COLDROOM RECEIPT]]), "IN CUSTODY", "DISCHARGED")</f>
        <v>IN CUSTODY</v>
      </c>
      <c r="T406" s="58">
        <f>COUNTA(A:A)-2</f>
        <v>419</v>
      </c>
      <c r="U406" s="59">
        <f>YEAR(DATA[[#This Row],[ADMISSION DATE]])</f>
        <v>2026</v>
      </c>
      <c r="V406" s="60" t="str">
        <f>TEXT(DATA[[#This Row],[ADMISSION DATE]],"mmm")</f>
        <v>Sep</v>
      </c>
      <c r="W406" s="59">
        <f>YEAR(DATA[[#This Row],[DISCHARGE DATE]])</f>
        <v>1900</v>
      </c>
      <c r="X406" s="60" t="str">
        <f>TEXT(DATA[[#This Row],[DISCHARGE DATE]],"mmm")</f>
        <v>Jan</v>
      </c>
    </row>
    <row r="407" spans="1:24" s="27" customFormat="1" ht="16.5" customHeight="1">
      <c r="A407" s="150" t="s">
        <v>1622</v>
      </c>
      <c r="B407" s="151" t="s">
        <v>1623</v>
      </c>
      <c r="C407" s="151">
        <v>72</v>
      </c>
      <c r="D407" s="152" t="s">
        <v>11</v>
      </c>
      <c r="E407" s="152" t="s">
        <v>1624</v>
      </c>
      <c r="F407" s="159">
        <v>248256394</v>
      </c>
      <c r="G407" s="152" t="s">
        <v>33</v>
      </c>
      <c r="H407" s="154">
        <v>0.97916666666666663</v>
      </c>
      <c r="I407" s="152" t="s">
        <v>18</v>
      </c>
      <c r="J407" s="155">
        <v>46274</v>
      </c>
      <c r="K407" s="155"/>
      <c r="L407" s="151" t="str">
        <f>IF(ISBLANK(DATA[[#This Row],[DISCHARGE DATE]]),"NO DATE", DATA[[#This Row],[DISCHARGE DATE]]-DATA[[#This Row],[ADMISSION DATE]]+1)</f>
        <v>NO DATE</v>
      </c>
      <c r="M407" s="156">
        <v>350</v>
      </c>
      <c r="N407" s="156"/>
      <c r="O407" s="157">
        <v>413</v>
      </c>
      <c r="P407" s="157"/>
      <c r="Q407" s="158" t="e">
        <f>IF(DATA[[#This Row],[STORAGE FEE]]=0,"NULL",DATA[[#This Row],[COLDROOM FEE]])-DATA[[#This Row],[STORAGE FEE]]</f>
        <v>#VALUE!</v>
      </c>
      <c r="R407" s="158">
        <f>IF(ISBLANK(DATA[[#This Row],[DISCHARGE DATE]]),0,IF(DATA[[#This Row],[TYPE]]="VIP",20*DATA[[#This Row],[STORAGE DAYS]],13*DATA[[#This Row],[STORAGE DAYS]]))</f>
        <v>0</v>
      </c>
      <c r="S407" s="71" t="str">
        <f>IF(ISBLANK(DATA[[#This Row],[COLDROOM RECEIPT]]), "IN CUSTODY", "DISCHARGED")</f>
        <v>IN CUSTODY</v>
      </c>
      <c r="T407" s="58">
        <f>COUNTA(A:A)-2</f>
        <v>419</v>
      </c>
      <c r="U407" s="59">
        <f>YEAR(DATA[[#This Row],[ADMISSION DATE]])</f>
        <v>2026</v>
      </c>
      <c r="V407" s="60" t="str">
        <f>TEXT(DATA[[#This Row],[ADMISSION DATE]],"mmm")</f>
        <v>Sep</v>
      </c>
      <c r="W407" s="59">
        <f>YEAR(DATA[[#This Row],[DISCHARGE DATE]])</f>
        <v>1900</v>
      </c>
      <c r="X407" s="60" t="str">
        <f>TEXT(DATA[[#This Row],[DISCHARGE DATE]],"mmm")</f>
        <v>Jan</v>
      </c>
    </row>
    <row r="408" spans="1:24" s="27" customFormat="1" ht="16.5" hidden="1" customHeight="1">
      <c r="A408" s="150" t="s">
        <v>1625</v>
      </c>
      <c r="B408" s="151" t="s">
        <v>1626</v>
      </c>
      <c r="C408" s="151">
        <v>60</v>
      </c>
      <c r="D408" s="152" t="s">
        <v>12</v>
      </c>
      <c r="E408" s="152" t="s">
        <v>1627</v>
      </c>
      <c r="F408" s="159">
        <v>541477751</v>
      </c>
      <c r="G408" s="152" t="s">
        <v>13</v>
      </c>
      <c r="H408" s="154">
        <v>0.89583333333333337</v>
      </c>
      <c r="I408" s="152" t="s">
        <v>18</v>
      </c>
      <c r="J408" s="155">
        <v>46275</v>
      </c>
      <c r="K408" s="155">
        <v>46290</v>
      </c>
      <c r="L408" s="151">
        <f>IF(ISBLANK(DATA[[#This Row],[DISCHARGE DATE]]),"NO DATE", DATA[[#This Row],[DISCHARGE DATE]]-DATA[[#This Row],[ADMISSION DATE]]+1)</f>
        <v>16</v>
      </c>
      <c r="M408" s="156">
        <v>350</v>
      </c>
      <c r="N408" s="156">
        <v>208</v>
      </c>
      <c r="O408" s="157">
        <v>414</v>
      </c>
      <c r="P408" s="157">
        <v>365</v>
      </c>
      <c r="Q408" s="158">
        <f>IF(DATA[[#This Row],[STORAGE FEE]]=0,"NULL",DATA[[#This Row],[COLDROOM FEE]])-DATA[[#This Row],[STORAGE FEE]]</f>
        <v>0</v>
      </c>
      <c r="R408" s="158">
        <f>IF(ISBLANK(DATA[[#This Row],[DISCHARGE DATE]]),0,IF(DATA[[#This Row],[TYPE]]="VIP",20*DATA[[#This Row],[STORAGE DAYS]],13*DATA[[#This Row],[STORAGE DAYS]]))</f>
        <v>208</v>
      </c>
      <c r="S408" s="71" t="str">
        <f>IF(ISBLANK(DATA[[#This Row],[COLDROOM RECEIPT]]), "IN CUSTODY", "DISCHARGED")</f>
        <v>DISCHARGED</v>
      </c>
      <c r="T408" s="58">
        <f>COUNTA(A:A)-2</f>
        <v>419</v>
      </c>
      <c r="U408" s="59">
        <f>YEAR(DATA[[#This Row],[ADMISSION DATE]])</f>
        <v>2026</v>
      </c>
      <c r="V408" s="60" t="str">
        <f>TEXT(DATA[[#This Row],[ADMISSION DATE]],"mmm")</f>
        <v>Sep</v>
      </c>
      <c r="W408" s="59">
        <f>YEAR(DATA[[#This Row],[DISCHARGE DATE]])</f>
        <v>2026</v>
      </c>
      <c r="X408" s="60" t="str">
        <f>TEXT(DATA[[#This Row],[DISCHARGE DATE]],"mmm")</f>
        <v>Sep</v>
      </c>
    </row>
    <row r="409" spans="1:24" s="27" customFormat="1" ht="16.5" customHeight="1">
      <c r="A409" s="150" t="s">
        <v>1628</v>
      </c>
      <c r="B409" s="151" t="s">
        <v>1629</v>
      </c>
      <c r="C409" s="151">
        <v>70</v>
      </c>
      <c r="D409" s="152" t="s">
        <v>11</v>
      </c>
      <c r="E409" s="152" t="s">
        <v>1630</v>
      </c>
      <c r="F409" s="159">
        <v>591958944</v>
      </c>
      <c r="G409" s="152" t="s">
        <v>13</v>
      </c>
      <c r="H409" s="154">
        <v>0.23958333333333334</v>
      </c>
      <c r="I409" s="152" t="s">
        <v>18</v>
      </c>
      <c r="J409" s="155">
        <v>46277</v>
      </c>
      <c r="K409" s="155"/>
      <c r="L409" s="151" t="str">
        <f>IF(ISBLANK(DATA[[#This Row],[DISCHARGE DATE]]),"NO DATE", DATA[[#This Row],[DISCHARGE DATE]]-DATA[[#This Row],[ADMISSION DATE]]+1)</f>
        <v>NO DATE</v>
      </c>
      <c r="M409" s="156">
        <v>350</v>
      </c>
      <c r="N409" s="156"/>
      <c r="O409" s="157">
        <v>415</v>
      </c>
      <c r="P409" s="157"/>
      <c r="Q409" s="158" t="e">
        <f>IF(DATA[[#This Row],[STORAGE FEE]]=0,"NULL",DATA[[#This Row],[COLDROOM FEE]])-DATA[[#This Row],[STORAGE FEE]]</f>
        <v>#VALUE!</v>
      </c>
      <c r="R409" s="158">
        <f>IF(ISBLANK(DATA[[#This Row],[DISCHARGE DATE]]),0,IF(DATA[[#This Row],[TYPE]]="VIP",20*DATA[[#This Row],[STORAGE DAYS]],13*DATA[[#This Row],[STORAGE DAYS]]))</f>
        <v>0</v>
      </c>
      <c r="S409" s="71" t="str">
        <f>IF(ISBLANK(DATA[[#This Row],[COLDROOM RECEIPT]]), "IN CUSTODY", "DISCHARGED")</f>
        <v>IN CUSTODY</v>
      </c>
      <c r="T409" s="58">
        <f>COUNTA(A:A)-2</f>
        <v>419</v>
      </c>
      <c r="U409" s="59">
        <f>YEAR(DATA[[#This Row],[ADMISSION DATE]])</f>
        <v>2026</v>
      </c>
      <c r="V409" s="60" t="str">
        <f>TEXT(DATA[[#This Row],[ADMISSION DATE]],"mmm")</f>
        <v>Sep</v>
      </c>
      <c r="W409" s="59">
        <f>YEAR(DATA[[#This Row],[DISCHARGE DATE]])</f>
        <v>1900</v>
      </c>
      <c r="X409" s="60" t="str">
        <f>TEXT(DATA[[#This Row],[DISCHARGE DATE]],"mmm")</f>
        <v>Jan</v>
      </c>
    </row>
    <row r="410" spans="1:24" s="27" customFormat="1" ht="16.5" customHeight="1">
      <c r="A410" s="150" t="s">
        <v>1631</v>
      </c>
      <c r="B410" s="151" t="s">
        <v>1632</v>
      </c>
      <c r="C410" s="151">
        <v>92</v>
      </c>
      <c r="D410" s="152" t="s">
        <v>11</v>
      </c>
      <c r="E410" s="152" t="s">
        <v>1633</v>
      </c>
      <c r="F410" s="159">
        <v>555852813</v>
      </c>
      <c r="G410" s="152" t="s">
        <v>43</v>
      </c>
      <c r="H410" s="154">
        <v>0.22916666666666666</v>
      </c>
      <c r="I410" s="152" t="s">
        <v>18</v>
      </c>
      <c r="J410" s="155">
        <v>46282</v>
      </c>
      <c r="K410" s="155"/>
      <c r="L410" s="151" t="str">
        <f>IF(ISBLANK(DATA[[#This Row],[DISCHARGE DATE]]),"NO DATE", DATA[[#This Row],[DISCHARGE DATE]]-DATA[[#This Row],[ADMISSION DATE]]+1)</f>
        <v>NO DATE</v>
      </c>
      <c r="M410" s="156">
        <v>350</v>
      </c>
      <c r="N410" s="156"/>
      <c r="O410" s="157">
        <v>416</v>
      </c>
      <c r="P410" s="157"/>
      <c r="Q410" s="158" t="e">
        <f>IF(DATA[[#This Row],[STORAGE FEE]]=0,"NULL",DATA[[#This Row],[COLDROOM FEE]])-DATA[[#This Row],[STORAGE FEE]]</f>
        <v>#VALUE!</v>
      </c>
      <c r="R410" s="158">
        <f>IF(ISBLANK(DATA[[#This Row],[DISCHARGE DATE]]),0,IF(DATA[[#This Row],[TYPE]]="VIP",20*DATA[[#This Row],[STORAGE DAYS]],13*DATA[[#This Row],[STORAGE DAYS]]))</f>
        <v>0</v>
      </c>
      <c r="S410" s="71" t="str">
        <f>IF(ISBLANK(DATA[[#This Row],[COLDROOM RECEIPT]]), "IN CUSTODY", "DISCHARGED")</f>
        <v>IN CUSTODY</v>
      </c>
      <c r="T410" s="58">
        <f>COUNTA(A:A)-2</f>
        <v>419</v>
      </c>
      <c r="U410" s="59">
        <f>YEAR(DATA[[#This Row],[ADMISSION DATE]])</f>
        <v>2026</v>
      </c>
      <c r="V410" s="60" t="str">
        <f>TEXT(DATA[[#This Row],[ADMISSION DATE]],"mmm")</f>
        <v>Sep</v>
      </c>
      <c r="W410" s="59">
        <f>YEAR(DATA[[#This Row],[DISCHARGE DATE]])</f>
        <v>1900</v>
      </c>
      <c r="X410" s="60" t="str">
        <f>TEXT(DATA[[#This Row],[DISCHARGE DATE]],"mmm")</f>
        <v>Jan</v>
      </c>
    </row>
    <row r="411" spans="1:24" s="27" customFormat="1" ht="16.5" customHeight="1">
      <c r="A411" s="184" t="s">
        <v>1634</v>
      </c>
      <c r="B411" s="185" t="s">
        <v>1635</v>
      </c>
      <c r="C411" s="186">
        <v>40</v>
      </c>
      <c r="D411" s="187" t="s">
        <v>12</v>
      </c>
      <c r="E411" s="187" t="s">
        <v>1636</v>
      </c>
      <c r="F411" s="188">
        <v>555390455</v>
      </c>
      <c r="G411" s="187" t="s">
        <v>26</v>
      </c>
      <c r="H411" s="189">
        <v>0.30555555555555558</v>
      </c>
      <c r="I411" s="187" t="s">
        <v>20</v>
      </c>
      <c r="J411" s="190">
        <v>46286</v>
      </c>
      <c r="K411" s="190"/>
      <c r="L411" s="186" t="str">
        <f>IF(ISBLANK(DATA[[#This Row],[DISCHARGE DATE]]),"NO DATE", DATA[[#This Row],[DISCHARGE DATE]]-DATA[[#This Row],[ADMISSION DATE]]+1)</f>
        <v>NO DATE</v>
      </c>
      <c r="M411" s="156">
        <v>350</v>
      </c>
      <c r="N411" s="191"/>
      <c r="O411" s="192">
        <v>417</v>
      </c>
      <c r="P411" s="192"/>
      <c r="Q411" s="193" t="e">
        <f>IF(DATA[[#This Row],[STORAGE FEE]]=0,"NULL",DATA[[#This Row],[COLDROOM FEE]])-DATA[[#This Row],[STORAGE FEE]]</f>
        <v>#VALUE!</v>
      </c>
      <c r="R411" s="193">
        <f>IF(ISBLANK(DATA[[#This Row],[DISCHARGE DATE]]),0,IF(DATA[[#This Row],[TYPE]]="VIP",20*DATA[[#This Row],[STORAGE DAYS]],13*DATA[[#This Row],[STORAGE DAYS]]))</f>
        <v>0</v>
      </c>
      <c r="S411" s="194" t="str">
        <f>IF(ISBLANK(DATA[[#This Row],[COLDROOM RECEIPT]]), "IN CUSTODY", "DISCHARGED")</f>
        <v>IN CUSTODY</v>
      </c>
      <c r="T411" s="195">
        <f>COUNTA(A:A)-2</f>
        <v>419</v>
      </c>
      <c r="U411" s="196">
        <f>YEAR(DATA[[#This Row],[ADMISSION DATE]])</f>
        <v>2026</v>
      </c>
      <c r="V411" s="197" t="str">
        <f>TEXT(DATA[[#This Row],[ADMISSION DATE]],"mmm")</f>
        <v>Sep</v>
      </c>
      <c r="W411" s="196">
        <f>YEAR(DATA[[#This Row],[DISCHARGE DATE]])</f>
        <v>1900</v>
      </c>
      <c r="X411" s="198" t="str">
        <f>TEXT(DATA[[#This Row],[DISCHARGE DATE]],"mmm")</f>
        <v>Jan</v>
      </c>
    </row>
    <row r="412" spans="1:24" s="27" customFormat="1" ht="16.5" customHeight="1">
      <c r="A412" s="184" t="s">
        <v>1637</v>
      </c>
      <c r="B412" s="185" t="s">
        <v>1638</v>
      </c>
      <c r="C412" s="186">
        <v>81</v>
      </c>
      <c r="D412" s="187" t="s">
        <v>11</v>
      </c>
      <c r="E412" s="187" t="s">
        <v>1639</v>
      </c>
      <c r="F412" s="188">
        <v>244965402</v>
      </c>
      <c r="G412" s="187" t="s">
        <v>15</v>
      </c>
      <c r="H412" s="189">
        <v>0.77083333333333337</v>
      </c>
      <c r="I412" s="187" t="s">
        <v>18</v>
      </c>
      <c r="J412" s="190">
        <v>46284</v>
      </c>
      <c r="K412" s="190"/>
      <c r="L412" s="186" t="str">
        <f>IF(ISBLANK(DATA[[#This Row],[DISCHARGE DATE]]),"NO DATE", DATA[[#This Row],[DISCHARGE DATE]]-DATA[[#This Row],[ADMISSION DATE]]+1)</f>
        <v>NO DATE</v>
      </c>
      <c r="M412" s="156">
        <v>350</v>
      </c>
      <c r="N412" s="191"/>
      <c r="O412" s="192">
        <v>418</v>
      </c>
      <c r="P412" s="192"/>
      <c r="Q412" s="193" t="e">
        <f>IF(DATA[[#This Row],[STORAGE FEE]]=0,"NULL",DATA[[#This Row],[COLDROOM FEE]])-DATA[[#This Row],[STORAGE FEE]]</f>
        <v>#VALUE!</v>
      </c>
      <c r="R412" s="193">
        <f>IF(ISBLANK(DATA[[#This Row],[DISCHARGE DATE]]),0,IF(DATA[[#This Row],[TYPE]]="VIP",20*DATA[[#This Row],[STORAGE DAYS]],13*DATA[[#This Row],[STORAGE DAYS]]))</f>
        <v>0</v>
      </c>
      <c r="S412" s="194" t="str">
        <f>IF(ISBLANK(DATA[[#This Row],[COLDROOM RECEIPT]]), "IN CUSTODY", "DISCHARGED")</f>
        <v>IN CUSTODY</v>
      </c>
      <c r="T412" s="195">
        <f>COUNTA(A:A)-2</f>
        <v>419</v>
      </c>
      <c r="U412" s="196">
        <f>YEAR(DATA[[#This Row],[ADMISSION DATE]])</f>
        <v>2026</v>
      </c>
      <c r="V412" s="197" t="str">
        <f>TEXT(DATA[[#This Row],[ADMISSION DATE]],"mmm")</f>
        <v>Sep</v>
      </c>
      <c r="W412" s="196">
        <f>YEAR(DATA[[#This Row],[DISCHARGE DATE]])</f>
        <v>1900</v>
      </c>
      <c r="X412" s="198" t="str">
        <f>TEXT(DATA[[#This Row],[DISCHARGE DATE]],"mmm")</f>
        <v>Jan</v>
      </c>
    </row>
    <row r="413" spans="1:24" s="27" customFormat="1" ht="16.5" customHeight="1">
      <c r="A413" s="184" t="s">
        <v>1640</v>
      </c>
      <c r="B413" s="185" t="s">
        <v>1641</v>
      </c>
      <c r="C413" s="186">
        <v>44</v>
      </c>
      <c r="D413" s="187" t="s">
        <v>12</v>
      </c>
      <c r="E413" s="187" t="s">
        <v>545</v>
      </c>
      <c r="F413" s="188">
        <v>534104665</v>
      </c>
      <c r="G413" s="187" t="s">
        <v>13</v>
      </c>
      <c r="H413" s="189">
        <v>0.30833333333333335</v>
      </c>
      <c r="I413" s="187" t="s">
        <v>18</v>
      </c>
      <c r="J413" s="190">
        <v>46285</v>
      </c>
      <c r="K413" s="190"/>
      <c r="L413" s="186" t="str">
        <f>IF(ISBLANK(DATA[[#This Row],[DISCHARGE DATE]]),"NO DATE", DATA[[#This Row],[DISCHARGE DATE]]-DATA[[#This Row],[ADMISSION DATE]]+1)</f>
        <v>NO DATE</v>
      </c>
      <c r="M413" s="156">
        <v>350</v>
      </c>
      <c r="N413" s="191"/>
      <c r="O413" s="192">
        <v>419</v>
      </c>
      <c r="P413" s="192"/>
      <c r="Q413" s="193" t="e">
        <f>IF(DATA[[#This Row],[STORAGE FEE]]=0,"NULL",DATA[[#This Row],[COLDROOM FEE]])-DATA[[#This Row],[STORAGE FEE]]</f>
        <v>#VALUE!</v>
      </c>
      <c r="R413" s="193">
        <f>IF(ISBLANK(DATA[[#This Row],[DISCHARGE DATE]]),0,IF(DATA[[#This Row],[TYPE]]="VIP",20*DATA[[#This Row],[STORAGE DAYS]],13*DATA[[#This Row],[STORAGE DAYS]]))</f>
        <v>0</v>
      </c>
      <c r="S413" s="194" t="str">
        <f>IF(ISBLANK(DATA[[#This Row],[COLDROOM RECEIPT]]), "IN CUSTODY", "DISCHARGED")</f>
        <v>IN CUSTODY</v>
      </c>
      <c r="T413" s="195">
        <f>COUNTA(A:A)-2</f>
        <v>419</v>
      </c>
      <c r="U413" s="196">
        <f>YEAR(DATA[[#This Row],[ADMISSION DATE]])</f>
        <v>2026</v>
      </c>
      <c r="V413" s="197" t="str">
        <f>TEXT(DATA[[#This Row],[ADMISSION DATE]],"mmm")</f>
        <v>Sep</v>
      </c>
      <c r="W413" s="196">
        <f>YEAR(DATA[[#This Row],[DISCHARGE DATE]])</f>
        <v>1900</v>
      </c>
      <c r="X413" s="198" t="str">
        <f>TEXT(DATA[[#This Row],[DISCHARGE DATE]],"mmm")</f>
        <v>Jan</v>
      </c>
    </row>
    <row r="414" spans="1:24" s="27" customFormat="1" ht="16.5" customHeight="1">
      <c r="A414" s="184" t="s">
        <v>1642</v>
      </c>
      <c r="B414" s="185" t="s">
        <v>1643</v>
      </c>
      <c r="C414" s="186">
        <v>98</v>
      </c>
      <c r="D414" s="187" t="s">
        <v>11</v>
      </c>
      <c r="E414" s="187" t="s">
        <v>1644</v>
      </c>
      <c r="F414" s="188">
        <v>543906640</v>
      </c>
      <c r="G414" s="187" t="s">
        <v>13</v>
      </c>
      <c r="H414" s="189">
        <v>0.58333333333333337</v>
      </c>
      <c r="I414" s="187" t="s">
        <v>18</v>
      </c>
      <c r="J414" s="190">
        <v>46292</v>
      </c>
      <c r="K414" s="190"/>
      <c r="L414" s="186" t="str">
        <f>IF(ISBLANK(DATA[[#This Row],[DISCHARGE DATE]]),"NO DATE", DATA[[#This Row],[DISCHARGE DATE]]-DATA[[#This Row],[ADMISSION DATE]]+1)</f>
        <v>NO DATE</v>
      </c>
      <c r="M414" s="156">
        <v>350</v>
      </c>
      <c r="N414" s="191"/>
      <c r="O414" s="192">
        <v>420</v>
      </c>
      <c r="P414" s="192"/>
      <c r="Q414" s="193" t="e">
        <f>IF(DATA[[#This Row],[STORAGE FEE]]=0,"NULL",DATA[[#This Row],[COLDROOM FEE]])-DATA[[#This Row],[STORAGE FEE]]</f>
        <v>#VALUE!</v>
      </c>
      <c r="R414" s="193">
        <f>IF(ISBLANK(DATA[[#This Row],[DISCHARGE DATE]]),0,IF(DATA[[#This Row],[TYPE]]="VIP",20*DATA[[#This Row],[STORAGE DAYS]],13*DATA[[#This Row],[STORAGE DAYS]]))</f>
        <v>0</v>
      </c>
      <c r="S414" s="194" t="str">
        <f>IF(ISBLANK(DATA[[#This Row],[COLDROOM RECEIPT]]), "IN CUSTODY", "DISCHARGED")</f>
        <v>IN CUSTODY</v>
      </c>
      <c r="T414" s="195">
        <f>COUNTA(A:A)-2</f>
        <v>419</v>
      </c>
      <c r="U414" s="196">
        <f>YEAR(DATA[[#This Row],[ADMISSION DATE]])</f>
        <v>2026</v>
      </c>
      <c r="V414" s="197" t="str">
        <f>TEXT(DATA[[#This Row],[ADMISSION DATE]],"mmm")</f>
        <v>Sep</v>
      </c>
      <c r="W414" s="196">
        <f>YEAR(DATA[[#This Row],[DISCHARGE DATE]])</f>
        <v>1900</v>
      </c>
      <c r="X414" s="198" t="str">
        <f>TEXT(DATA[[#This Row],[DISCHARGE DATE]],"mmm")</f>
        <v>Jan</v>
      </c>
    </row>
    <row r="415" spans="1:24" s="27" customFormat="1" ht="16.5" customHeight="1">
      <c r="A415" s="184" t="s">
        <v>1645</v>
      </c>
      <c r="B415" s="185" t="s">
        <v>1646</v>
      </c>
      <c r="C415" s="186">
        <v>64</v>
      </c>
      <c r="D415" s="187" t="s">
        <v>12</v>
      </c>
      <c r="E415" s="187" t="s">
        <v>1647</v>
      </c>
      <c r="F415" s="188">
        <v>241185137</v>
      </c>
      <c r="G415" s="187" t="s">
        <v>16</v>
      </c>
      <c r="H415" s="189">
        <v>0.59722222222222221</v>
      </c>
      <c r="I415" s="187" t="s">
        <v>18</v>
      </c>
      <c r="J415" s="190">
        <v>46293</v>
      </c>
      <c r="K415" s="190"/>
      <c r="L415" s="186" t="str">
        <f>IF(ISBLANK(DATA[[#This Row],[DISCHARGE DATE]]),"NO DATE", DATA[[#This Row],[DISCHARGE DATE]]-DATA[[#This Row],[ADMISSION DATE]]+1)</f>
        <v>NO DATE</v>
      </c>
      <c r="M415" s="156">
        <v>350</v>
      </c>
      <c r="N415" s="191"/>
      <c r="O415" s="192">
        <v>421</v>
      </c>
      <c r="P415" s="192"/>
      <c r="Q415" s="193" t="e">
        <f>IF(DATA[[#This Row],[STORAGE FEE]]=0,"NULL",DATA[[#This Row],[COLDROOM FEE]])-DATA[[#This Row],[STORAGE FEE]]</f>
        <v>#VALUE!</v>
      </c>
      <c r="R415" s="193">
        <f>IF(ISBLANK(DATA[[#This Row],[DISCHARGE DATE]]),0,IF(DATA[[#This Row],[TYPE]]="VIP",20*DATA[[#This Row],[STORAGE DAYS]],13*DATA[[#This Row],[STORAGE DAYS]]))</f>
        <v>0</v>
      </c>
      <c r="S415" s="194" t="str">
        <f>IF(ISBLANK(DATA[[#This Row],[COLDROOM RECEIPT]]), "IN CUSTODY", "DISCHARGED")</f>
        <v>IN CUSTODY</v>
      </c>
      <c r="T415" s="195">
        <f>COUNTA(A:A)-2</f>
        <v>419</v>
      </c>
      <c r="U415" s="196">
        <f>YEAR(DATA[[#This Row],[ADMISSION DATE]])</f>
        <v>2026</v>
      </c>
      <c r="V415" s="197" t="str">
        <f>TEXT(DATA[[#This Row],[ADMISSION DATE]],"mmm")</f>
        <v>Sep</v>
      </c>
      <c r="W415" s="196">
        <f>YEAR(DATA[[#This Row],[DISCHARGE DATE]])</f>
        <v>1900</v>
      </c>
      <c r="X415" s="198" t="str">
        <f>TEXT(DATA[[#This Row],[DISCHARGE DATE]],"mmm")</f>
        <v>Jan</v>
      </c>
    </row>
    <row r="416" spans="1:24" s="27" customFormat="1" ht="16.5" customHeight="1">
      <c r="A416" s="184" t="s">
        <v>1648</v>
      </c>
      <c r="B416" s="185" t="s">
        <v>1649</v>
      </c>
      <c r="C416" s="186">
        <v>63</v>
      </c>
      <c r="D416" s="187" t="s">
        <v>12</v>
      </c>
      <c r="E416" s="187" t="s">
        <v>1650</v>
      </c>
      <c r="F416" s="188">
        <v>537639564</v>
      </c>
      <c r="G416" s="187" t="s">
        <v>16</v>
      </c>
      <c r="H416" s="189">
        <v>0.4375</v>
      </c>
      <c r="I416" s="187" t="s">
        <v>18</v>
      </c>
      <c r="J416" s="190">
        <v>46294</v>
      </c>
      <c r="K416" s="190"/>
      <c r="L416" s="186" t="str">
        <f>IF(ISBLANK(DATA[[#This Row],[DISCHARGE DATE]]),"NO DATE", DATA[[#This Row],[DISCHARGE DATE]]-DATA[[#This Row],[ADMISSION DATE]]+1)</f>
        <v>NO DATE</v>
      </c>
      <c r="M416" s="156">
        <v>350</v>
      </c>
      <c r="N416" s="191"/>
      <c r="O416" s="192">
        <v>422</v>
      </c>
      <c r="P416" s="192"/>
      <c r="Q416" s="193" t="e">
        <f>IF(DATA[[#This Row],[STORAGE FEE]]=0,"NULL",DATA[[#This Row],[COLDROOM FEE]])-DATA[[#This Row],[STORAGE FEE]]</f>
        <v>#VALUE!</v>
      </c>
      <c r="R416" s="193">
        <f>IF(ISBLANK(DATA[[#This Row],[DISCHARGE DATE]]),0,IF(DATA[[#This Row],[TYPE]]="VIP",20*DATA[[#This Row],[STORAGE DAYS]],13*DATA[[#This Row],[STORAGE DAYS]]))</f>
        <v>0</v>
      </c>
      <c r="S416" s="194" t="str">
        <f>IF(ISBLANK(DATA[[#This Row],[COLDROOM RECEIPT]]), "IN CUSTODY", "DISCHARGED")</f>
        <v>IN CUSTODY</v>
      </c>
      <c r="T416" s="195">
        <f>COUNTA(A:A)-2</f>
        <v>419</v>
      </c>
      <c r="U416" s="196">
        <f>YEAR(DATA[[#This Row],[ADMISSION DATE]])</f>
        <v>2026</v>
      </c>
      <c r="V416" s="197" t="str">
        <f>TEXT(DATA[[#This Row],[ADMISSION DATE]],"mmm")</f>
        <v>Sep</v>
      </c>
      <c r="W416" s="196">
        <f>YEAR(DATA[[#This Row],[DISCHARGE DATE]])</f>
        <v>1900</v>
      </c>
      <c r="X416" s="198" t="str">
        <f>TEXT(DATA[[#This Row],[DISCHARGE DATE]],"mmm")</f>
        <v>Jan</v>
      </c>
    </row>
    <row r="417" spans="1:24" s="27" customFormat="1" ht="16.5" customHeight="1">
      <c r="A417" s="184" t="s">
        <v>1651</v>
      </c>
      <c r="B417" s="185" t="s">
        <v>1652</v>
      </c>
      <c r="C417" s="186">
        <v>51</v>
      </c>
      <c r="D417" s="187" t="s">
        <v>11</v>
      </c>
      <c r="E417" s="187" t="s">
        <v>1653</v>
      </c>
      <c r="F417" s="188">
        <v>241210334</v>
      </c>
      <c r="G417" s="187" t="s">
        <v>16</v>
      </c>
      <c r="H417" s="189">
        <v>0.97916666666666663</v>
      </c>
      <c r="I417" s="187" t="s">
        <v>18</v>
      </c>
      <c r="J417" s="190">
        <v>46294</v>
      </c>
      <c r="K417" s="190"/>
      <c r="L417" s="186" t="str">
        <f>IF(ISBLANK(DATA[[#This Row],[DISCHARGE DATE]]),"NO DATE", DATA[[#This Row],[DISCHARGE DATE]]-DATA[[#This Row],[ADMISSION DATE]]+1)</f>
        <v>NO DATE</v>
      </c>
      <c r="M417" s="156">
        <v>350</v>
      </c>
      <c r="N417" s="191"/>
      <c r="O417" s="192">
        <v>423</v>
      </c>
      <c r="P417" s="192"/>
      <c r="Q417" s="193" t="e">
        <f>IF(DATA[[#This Row],[STORAGE FEE]]=0,"NULL",DATA[[#This Row],[COLDROOM FEE]])-DATA[[#This Row],[STORAGE FEE]]</f>
        <v>#VALUE!</v>
      </c>
      <c r="R417" s="193">
        <f>IF(ISBLANK(DATA[[#This Row],[DISCHARGE DATE]]),0,IF(DATA[[#This Row],[TYPE]]="VIP",20*DATA[[#This Row],[STORAGE DAYS]],13*DATA[[#This Row],[STORAGE DAYS]]))</f>
        <v>0</v>
      </c>
      <c r="S417" s="194" t="str">
        <f>IF(ISBLANK(DATA[[#This Row],[COLDROOM RECEIPT]]), "IN CUSTODY", "DISCHARGED")</f>
        <v>IN CUSTODY</v>
      </c>
      <c r="T417" s="195">
        <f>COUNTA(A:A)-2</f>
        <v>419</v>
      </c>
      <c r="U417" s="196">
        <f>YEAR(DATA[[#This Row],[ADMISSION DATE]])</f>
        <v>2026</v>
      </c>
      <c r="V417" s="197" t="str">
        <f>TEXT(DATA[[#This Row],[ADMISSION DATE]],"mmm")</f>
        <v>Sep</v>
      </c>
      <c r="W417" s="196">
        <f>YEAR(DATA[[#This Row],[DISCHARGE DATE]])</f>
        <v>1900</v>
      </c>
      <c r="X417" s="198" t="str">
        <f>TEXT(DATA[[#This Row],[DISCHARGE DATE]],"mmm")</f>
        <v>Jan</v>
      </c>
    </row>
    <row r="418" spans="1:24" s="27" customFormat="1" ht="16.5" customHeight="1">
      <c r="A418" s="184">
        <v>417</v>
      </c>
      <c r="B418" s="185" t="s">
        <v>1654</v>
      </c>
      <c r="C418" s="186">
        <v>37</v>
      </c>
      <c r="D418" s="187" t="s">
        <v>12</v>
      </c>
      <c r="E418" s="187" t="s">
        <v>1655</v>
      </c>
      <c r="F418" s="188">
        <v>241878596</v>
      </c>
      <c r="G418" s="187" t="s">
        <v>19</v>
      </c>
      <c r="H418" s="189">
        <v>0.33333333333333331</v>
      </c>
      <c r="I418" s="187" t="s">
        <v>18</v>
      </c>
      <c r="J418" s="190">
        <v>46296</v>
      </c>
      <c r="K418" s="190"/>
      <c r="L418" s="186" t="str">
        <f>IF(ISBLANK(DATA[[#This Row],[DISCHARGE DATE]]),"NO DATE", DATA[[#This Row],[DISCHARGE DATE]]-DATA[[#This Row],[ADMISSION DATE]]+1)</f>
        <v>NO DATE</v>
      </c>
      <c r="M418" s="156">
        <v>350</v>
      </c>
      <c r="N418" s="191"/>
      <c r="O418" s="192">
        <v>424</v>
      </c>
      <c r="P418" s="192"/>
      <c r="Q418" s="193" t="e">
        <f>IF(DATA[[#This Row],[STORAGE FEE]]=0,"NULL",DATA[[#This Row],[COLDROOM FEE]])-DATA[[#This Row],[STORAGE FEE]]</f>
        <v>#VALUE!</v>
      </c>
      <c r="R418" s="193">
        <f>IF(ISBLANK(DATA[[#This Row],[DISCHARGE DATE]]),0,IF(DATA[[#This Row],[TYPE]]="VIP",20*DATA[[#This Row],[STORAGE DAYS]],13*DATA[[#This Row],[STORAGE DAYS]]))</f>
        <v>0</v>
      </c>
      <c r="S418" s="194" t="str">
        <f>IF(ISBLANK(DATA[[#This Row],[COLDROOM RECEIPT]]), "IN CUSTODY", "DISCHARGED")</f>
        <v>IN CUSTODY</v>
      </c>
      <c r="T418" s="195">
        <f>COUNTA(A:A)-2</f>
        <v>419</v>
      </c>
      <c r="U418" s="196">
        <f>YEAR(DATA[[#This Row],[ADMISSION DATE]])</f>
        <v>2026</v>
      </c>
      <c r="V418" s="197" t="str">
        <f>TEXT(DATA[[#This Row],[ADMISSION DATE]],"mmm")</f>
        <v>Oct</v>
      </c>
      <c r="W418" s="196">
        <f>YEAR(DATA[[#This Row],[DISCHARGE DATE]])</f>
        <v>1900</v>
      </c>
      <c r="X418" s="198" t="str">
        <f>TEXT(DATA[[#This Row],[DISCHARGE DATE]],"mmm")</f>
        <v>Jan</v>
      </c>
    </row>
    <row r="419" spans="1:24" s="27" customFormat="1" ht="16.5" customHeight="1">
      <c r="A419" s="184">
        <v>418</v>
      </c>
      <c r="B419" s="185" t="s">
        <v>1656</v>
      </c>
      <c r="C419" s="186">
        <v>40</v>
      </c>
      <c r="D419" s="187" t="s">
        <v>11</v>
      </c>
      <c r="E419" s="187" t="s">
        <v>1657</v>
      </c>
      <c r="F419" s="188">
        <v>256885798</v>
      </c>
      <c r="G419" s="187" t="s">
        <v>13</v>
      </c>
      <c r="H419" s="189">
        <v>0.8125</v>
      </c>
      <c r="I419" s="187" t="s">
        <v>20</v>
      </c>
      <c r="J419" s="190">
        <v>46295</v>
      </c>
      <c r="K419" s="190"/>
      <c r="L419" s="186" t="str">
        <f>IF(ISBLANK(DATA[[#This Row],[DISCHARGE DATE]]),"NO DATE", DATA[[#This Row],[DISCHARGE DATE]]-DATA[[#This Row],[ADMISSION DATE]]+1)</f>
        <v>NO DATE</v>
      </c>
      <c r="M419" s="156">
        <v>350</v>
      </c>
      <c r="N419" s="191"/>
      <c r="O419" s="192">
        <v>425</v>
      </c>
      <c r="P419" s="192"/>
      <c r="Q419" s="193" t="e">
        <f>IF(DATA[[#This Row],[STORAGE FEE]]=0,"NULL",DATA[[#This Row],[COLDROOM FEE]])-DATA[[#This Row],[STORAGE FEE]]</f>
        <v>#VALUE!</v>
      </c>
      <c r="R419" s="193">
        <f>IF(ISBLANK(DATA[[#This Row],[DISCHARGE DATE]]),0,IF(DATA[[#This Row],[TYPE]]="VIP",20*DATA[[#This Row],[STORAGE DAYS]],13*DATA[[#This Row],[STORAGE DAYS]]))</f>
        <v>0</v>
      </c>
      <c r="S419" s="194" t="str">
        <f>IF(ISBLANK(DATA[[#This Row],[COLDROOM RECEIPT]]), "IN CUSTODY", "DISCHARGED")</f>
        <v>IN CUSTODY</v>
      </c>
      <c r="T419" s="195">
        <f>COUNTA(A:A)-2</f>
        <v>419</v>
      </c>
      <c r="U419" s="196">
        <f>YEAR(DATA[[#This Row],[ADMISSION DATE]])</f>
        <v>2026</v>
      </c>
      <c r="V419" s="197" t="str">
        <f>TEXT(DATA[[#This Row],[ADMISSION DATE]],"mmm")</f>
        <v>Sep</v>
      </c>
      <c r="W419" s="196">
        <f>YEAR(DATA[[#This Row],[DISCHARGE DATE]])</f>
        <v>1900</v>
      </c>
      <c r="X419" s="198" t="str">
        <f>TEXT(DATA[[#This Row],[DISCHARGE DATE]],"mmm")</f>
        <v>Jan</v>
      </c>
    </row>
    <row r="420" spans="1:24" s="27" customFormat="1" ht="16.5" customHeight="1">
      <c r="A420" s="184">
        <v>419</v>
      </c>
      <c r="B420" s="185" t="s">
        <v>1658</v>
      </c>
      <c r="C420" s="186">
        <v>82</v>
      </c>
      <c r="D420" s="187" t="s">
        <v>12</v>
      </c>
      <c r="E420" s="187" t="s">
        <v>1659</v>
      </c>
      <c r="F420" s="188">
        <v>244788073</v>
      </c>
      <c r="G420" s="187" t="s">
        <v>15</v>
      </c>
      <c r="H420" s="189">
        <v>0.8125</v>
      </c>
      <c r="I420" s="187" t="s">
        <v>18</v>
      </c>
      <c r="J420" s="190">
        <v>46295</v>
      </c>
      <c r="K420" s="190"/>
      <c r="L420" s="186" t="str">
        <f>IF(ISBLANK(DATA[[#This Row],[DISCHARGE DATE]]),"NO DATE", DATA[[#This Row],[DISCHARGE DATE]]-DATA[[#This Row],[ADMISSION DATE]]+1)</f>
        <v>NO DATE</v>
      </c>
      <c r="M420" s="156">
        <v>350</v>
      </c>
      <c r="N420" s="191"/>
      <c r="O420" s="192">
        <v>426</v>
      </c>
      <c r="P420" s="192"/>
      <c r="Q420" s="193" t="e">
        <f>IF(DATA[[#This Row],[STORAGE FEE]]=0,"NULL",DATA[[#This Row],[COLDROOM FEE]])-DATA[[#This Row],[STORAGE FEE]]</f>
        <v>#VALUE!</v>
      </c>
      <c r="R420" s="193">
        <f>IF(ISBLANK(DATA[[#This Row],[DISCHARGE DATE]]),0,IF(DATA[[#This Row],[TYPE]]="VIP",20*DATA[[#This Row],[STORAGE DAYS]],13*DATA[[#This Row],[STORAGE DAYS]]))</f>
        <v>0</v>
      </c>
      <c r="S420" s="194" t="str">
        <f>IF(ISBLANK(DATA[[#This Row],[COLDROOM RECEIPT]]), "IN CUSTODY", "DISCHARGED")</f>
        <v>IN CUSTODY</v>
      </c>
      <c r="T420" s="195">
        <f>COUNTA(A:A)-2</f>
        <v>419</v>
      </c>
      <c r="U420" s="196">
        <f>YEAR(DATA[[#This Row],[ADMISSION DATE]])</f>
        <v>2026</v>
      </c>
      <c r="V420" s="197" t="str">
        <f>TEXT(DATA[[#This Row],[ADMISSION DATE]],"mmm")</f>
        <v>Sep</v>
      </c>
      <c r="W420" s="196">
        <f>YEAR(DATA[[#This Row],[DISCHARGE DATE]])</f>
        <v>1900</v>
      </c>
      <c r="X420" s="198" t="str">
        <f>TEXT(DATA[[#This Row],[DISCHARGE DATE]],"mmm")</f>
        <v>Jan</v>
      </c>
    </row>
    <row r="421" spans="1:24" s="27" customFormat="1" ht="16.5" customHeight="1">
      <c r="A421" s="152" t="s">
        <v>1660</v>
      </c>
      <c r="B421" s="151" t="s">
        <v>1661</v>
      </c>
      <c r="C421" s="151"/>
      <c r="D421" s="152"/>
      <c r="E421" s="152"/>
      <c r="F421" s="153"/>
      <c r="G421" s="152"/>
      <c r="H421" s="154"/>
      <c r="I421" s="152"/>
      <c r="J421" s="155"/>
      <c r="K421" s="155"/>
      <c r="L421" s="151"/>
      <c r="M421" s="156">
        <f>SUBTOTAL(109,DATA[EMBALMING FEE])</f>
        <v>22750</v>
      </c>
      <c r="N421" s="156">
        <f>SUBTOTAL(109,DATA[COLDROOM FEE])</f>
        <v>0</v>
      </c>
      <c r="O421" s="157"/>
      <c r="P421" s="157"/>
      <c r="Q421" s="158"/>
      <c r="R421" s="158">
        <f>SUBTOTAL(109,DATA[STORAGE FEE])</f>
        <v>34647</v>
      </c>
      <c r="S421" s="71"/>
      <c r="T421" s="58"/>
      <c r="U421" s="59"/>
      <c r="V421" s="60"/>
      <c r="W421" s="59"/>
      <c r="X421" s="60"/>
    </row>
    <row r="422" spans="1:24" s="27" customFormat="1" ht="16.5" customHeight="1">
      <c r="A422" s="31"/>
      <c r="B422" s="24"/>
      <c r="C422" s="30"/>
      <c r="D422" s="28"/>
      <c r="E422" s="31"/>
      <c r="F422" s="31"/>
      <c r="G422" s="31"/>
      <c r="I422" s="28"/>
      <c r="J422" s="62"/>
      <c r="K422" s="62"/>
      <c r="L422" s="33"/>
      <c r="M422" s="32"/>
      <c r="N422" s="34"/>
      <c r="P422" s="63"/>
      <c r="Q422" s="24"/>
      <c r="R422" s="24"/>
      <c r="S422" s="64"/>
      <c r="V422" s="65"/>
      <c r="X422" s="65"/>
    </row>
    <row r="423" spans="1:24" s="27" customFormat="1" ht="16.5" customHeight="1">
      <c r="A423" s="31"/>
      <c r="B423" s="24"/>
      <c r="C423" s="30"/>
      <c r="D423" s="28"/>
      <c r="E423" s="31"/>
      <c r="F423" s="31"/>
      <c r="G423" s="31"/>
      <c r="I423" s="28"/>
      <c r="J423" s="62"/>
      <c r="K423" s="62"/>
      <c r="L423" s="33"/>
      <c r="M423" s="32"/>
      <c r="N423" s="34"/>
      <c r="P423" s="63"/>
      <c r="Q423" s="24"/>
      <c r="R423" s="24"/>
      <c r="S423" s="64"/>
      <c r="V423" s="65"/>
      <c r="X423" s="65"/>
    </row>
    <row r="424" spans="1:24" s="27" customFormat="1" ht="16.5" customHeight="1">
      <c r="A424" s="31"/>
      <c r="B424" s="24"/>
      <c r="C424" s="30"/>
      <c r="D424" s="28"/>
      <c r="E424" s="31"/>
      <c r="F424" s="31"/>
      <c r="G424" s="31"/>
      <c r="I424" s="28"/>
      <c r="J424" s="62"/>
      <c r="K424" s="62"/>
      <c r="L424" s="33"/>
      <c r="M424" s="32"/>
      <c r="N424" s="34"/>
      <c r="O424" s="34"/>
      <c r="P424" s="63"/>
      <c r="Q424" s="24"/>
      <c r="R424" s="88"/>
      <c r="S424" s="64"/>
      <c r="V424" s="65"/>
      <c r="X424" s="65"/>
    </row>
    <row r="425" spans="1:24" s="27" customFormat="1" ht="16.5" customHeight="1">
      <c r="A425" s="31"/>
      <c r="B425" s="24"/>
      <c r="C425" s="30"/>
      <c r="D425" s="28"/>
      <c r="E425" s="31"/>
      <c r="F425" s="31"/>
      <c r="G425" s="31"/>
      <c r="I425" s="28"/>
      <c r="J425" s="62"/>
      <c r="K425" s="62"/>
      <c r="L425" s="33"/>
      <c r="M425" s="32"/>
      <c r="N425" s="34"/>
      <c r="P425" s="63"/>
      <c r="Q425" s="24"/>
      <c r="R425" s="24"/>
      <c r="S425" s="64"/>
      <c r="V425" s="65"/>
      <c r="X425" s="65"/>
    </row>
    <row r="426" spans="1:24" s="27" customFormat="1" ht="16.5" customHeight="1">
      <c r="A426" s="31"/>
      <c r="B426" s="24"/>
      <c r="C426" s="30"/>
      <c r="D426" s="28"/>
      <c r="E426" s="31"/>
      <c r="F426" s="31"/>
      <c r="G426" s="31"/>
      <c r="I426" s="28"/>
      <c r="J426" s="62"/>
      <c r="K426" s="62"/>
      <c r="L426" s="33"/>
      <c r="M426" s="32"/>
      <c r="N426" s="34"/>
      <c r="P426" s="63"/>
      <c r="Q426" s="24"/>
      <c r="R426" s="66"/>
      <c r="S426" s="64"/>
      <c r="V426" s="65"/>
      <c r="X426" s="65"/>
    </row>
    <row r="427" spans="1:24" s="27" customFormat="1" ht="16.5" customHeight="1">
      <c r="A427" s="31"/>
      <c r="B427" s="24"/>
      <c r="C427" s="30"/>
      <c r="D427" s="28"/>
      <c r="E427" s="31"/>
      <c r="F427" s="31"/>
      <c r="G427" s="31"/>
      <c r="I427" s="28"/>
      <c r="J427" s="62"/>
      <c r="K427" s="62"/>
      <c r="L427" s="33"/>
      <c r="M427" s="32"/>
      <c r="N427" s="34"/>
      <c r="O427" s="35"/>
      <c r="Q427" s="24"/>
      <c r="R427" s="24"/>
      <c r="S427" s="64"/>
      <c r="V427" s="65"/>
      <c r="X427" s="65"/>
    </row>
    <row r="428" spans="1:24" s="27" customFormat="1" ht="16.5" customHeight="1">
      <c r="A428" s="31"/>
      <c r="B428" s="24"/>
      <c r="C428" s="30"/>
      <c r="D428" s="28"/>
      <c r="E428" s="31"/>
      <c r="F428" s="31"/>
      <c r="G428" s="31"/>
      <c r="I428" s="28"/>
      <c r="J428" s="62"/>
      <c r="K428" s="62"/>
      <c r="L428" s="33"/>
      <c r="M428" s="32"/>
      <c r="N428" s="34"/>
      <c r="O428" s="35"/>
      <c r="P428" s="66"/>
      <c r="Q428" s="24"/>
      <c r="R428" s="24"/>
      <c r="S428" s="64"/>
      <c r="V428" s="65"/>
      <c r="X428" s="65"/>
    </row>
    <row r="429" spans="1:24" s="27" customFormat="1" ht="16.5" customHeight="1">
      <c r="A429" s="31"/>
      <c r="B429" s="24"/>
      <c r="C429" s="30"/>
      <c r="D429" s="28"/>
      <c r="E429" s="31"/>
      <c r="F429" s="31"/>
      <c r="G429" s="31"/>
      <c r="I429" s="28"/>
      <c r="J429" s="62"/>
      <c r="K429" s="62"/>
      <c r="L429" s="33"/>
      <c r="M429" s="32"/>
      <c r="N429" s="34"/>
      <c r="P429" s="63"/>
      <c r="Q429" s="24"/>
      <c r="R429" s="24"/>
      <c r="S429" s="64"/>
      <c r="V429" s="65"/>
      <c r="X429" s="65"/>
    </row>
    <row r="430" spans="1:24" s="27" customFormat="1" ht="16.5" customHeight="1">
      <c r="A430" s="31"/>
      <c r="B430" s="24"/>
      <c r="C430" s="30"/>
      <c r="D430" s="28"/>
      <c r="E430" s="31"/>
      <c r="F430" s="31"/>
      <c r="G430" s="31"/>
      <c r="I430" s="28"/>
      <c r="J430" s="62"/>
      <c r="K430" s="62"/>
      <c r="L430" s="33"/>
      <c r="M430" s="32"/>
      <c r="N430" s="34"/>
      <c r="P430" s="63"/>
      <c r="Q430" s="24"/>
      <c r="R430" s="24"/>
      <c r="S430" s="64"/>
      <c r="V430" s="65"/>
      <c r="X430" s="65"/>
    </row>
    <row r="431" spans="1:24" s="27" customFormat="1" ht="14.25">
      <c r="A431" s="31"/>
      <c r="B431" s="24"/>
      <c r="C431" s="30"/>
      <c r="D431" s="28"/>
      <c r="E431" s="31"/>
      <c r="F431" s="31"/>
      <c r="G431" s="31"/>
      <c r="I431" s="28"/>
      <c r="J431" s="62"/>
      <c r="K431" s="62"/>
      <c r="L431" s="33"/>
      <c r="M431" s="32"/>
      <c r="N431" s="34"/>
      <c r="P431" s="63"/>
      <c r="Q431" s="24"/>
      <c r="R431" s="24"/>
      <c r="S431" s="64"/>
      <c r="V431" s="65"/>
      <c r="X431" s="65"/>
    </row>
    <row r="432" spans="1:24" s="27" customFormat="1" ht="14.25">
      <c r="A432" s="31"/>
      <c r="B432" s="24"/>
      <c r="C432" s="30"/>
      <c r="D432" s="28"/>
      <c r="E432" s="31"/>
      <c r="F432" s="31"/>
      <c r="G432" s="31"/>
      <c r="I432" s="28"/>
      <c r="J432" s="62"/>
      <c r="K432" s="62"/>
      <c r="L432" s="33"/>
      <c r="M432" s="32"/>
      <c r="N432" s="34"/>
      <c r="P432" s="63"/>
      <c r="Q432" s="24"/>
      <c r="R432" s="24"/>
      <c r="S432" s="64"/>
      <c r="V432" s="67"/>
      <c r="X432" s="67"/>
    </row>
    <row r="433" spans="1:24" s="27" customFormat="1" ht="14.25">
      <c r="A433" s="31"/>
      <c r="B433" s="24"/>
      <c r="C433" s="30"/>
      <c r="D433" s="28"/>
      <c r="E433" s="31"/>
      <c r="F433" s="31"/>
      <c r="G433" s="31"/>
      <c r="I433" s="28"/>
      <c r="J433" s="62"/>
      <c r="K433" s="62"/>
      <c r="L433" s="33"/>
      <c r="M433" s="32"/>
      <c r="N433" s="34"/>
      <c r="P433" s="63"/>
      <c r="Q433" s="24"/>
      <c r="R433" s="24"/>
      <c r="S433" s="64"/>
      <c r="V433" s="67"/>
      <c r="X433" s="67"/>
    </row>
    <row r="434" spans="1:24" s="27" customFormat="1" ht="14.25">
      <c r="A434" s="31"/>
      <c r="B434" s="24"/>
      <c r="C434" s="30"/>
      <c r="D434" s="28"/>
      <c r="E434" s="31"/>
      <c r="F434" s="31"/>
      <c r="G434" s="31"/>
      <c r="I434" s="28"/>
      <c r="J434" s="62"/>
      <c r="K434" s="62"/>
      <c r="L434" s="33"/>
      <c r="M434" s="32"/>
      <c r="N434" s="34"/>
      <c r="P434" s="63"/>
      <c r="Q434" s="24"/>
      <c r="R434" s="24"/>
      <c r="S434" s="64"/>
      <c r="V434" s="67"/>
      <c r="X434" s="67"/>
    </row>
    <row r="435" spans="1:24" s="27" customFormat="1" ht="14.25">
      <c r="A435" s="31"/>
      <c r="B435" s="24"/>
      <c r="C435" s="30"/>
      <c r="D435" s="28"/>
      <c r="E435" s="31"/>
      <c r="F435" s="31"/>
      <c r="G435" s="31"/>
      <c r="I435" s="28"/>
      <c r="J435" s="62"/>
      <c r="K435" s="62"/>
      <c r="L435" s="33"/>
      <c r="M435" s="32"/>
      <c r="N435" s="34"/>
      <c r="P435" s="63"/>
      <c r="Q435" s="24"/>
      <c r="R435" s="24"/>
      <c r="S435" s="64"/>
      <c r="V435" s="67"/>
      <c r="X435" s="67"/>
    </row>
    <row r="436" spans="1:24" s="27" customFormat="1" ht="14.25">
      <c r="A436" s="31"/>
      <c r="B436" s="24"/>
      <c r="C436" s="30"/>
      <c r="D436" s="28"/>
      <c r="E436" s="31"/>
      <c r="F436" s="31"/>
      <c r="G436" s="31"/>
      <c r="I436" s="28"/>
      <c r="J436" s="62"/>
      <c r="K436" s="62"/>
      <c r="L436" s="33"/>
      <c r="M436" s="32"/>
      <c r="N436" s="34"/>
      <c r="P436" s="63"/>
      <c r="Q436" s="24"/>
      <c r="R436" s="24"/>
      <c r="S436" s="64"/>
      <c r="V436" s="67"/>
      <c r="X436" s="67"/>
    </row>
    <row r="437" spans="1:24" s="27" customFormat="1" ht="14.25">
      <c r="A437" s="31"/>
      <c r="B437" s="24"/>
      <c r="C437" s="30"/>
      <c r="D437" s="28"/>
      <c r="E437" s="31"/>
      <c r="F437" s="31"/>
      <c r="G437" s="31"/>
      <c r="I437" s="28"/>
      <c r="J437" s="62"/>
      <c r="K437" s="62"/>
      <c r="L437" s="33"/>
      <c r="M437" s="32"/>
      <c r="N437" s="34"/>
      <c r="P437" s="63"/>
      <c r="Q437" s="24"/>
      <c r="R437" s="24"/>
      <c r="S437" s="64"/>
      <c r="V437" s="67"/>
      <c r="X437" s="67"/>
    </row>
    <row r="438" spans="1:24" s="27" customFormat="1" ht="14.25">
      <c r="A438" s="31"/>
      <c r="B438" s="24"/>
      <c r="C438" s="30"/>
      <c r="D438" s="28"/>
      <c r="E438" s="31"/>
      <c r="F438" s="31"/>
      <c r="G438" s="31"/>
      <c r="I438" s="28"/>
      <c r="J438" s="62"/>
      <c r="K438" s="62"/>
      <c r="L438" s="33"/>
      <c r="M438" s="32"/>
      <c r="N438" s="34"/>
      <c r="P438" s="63"/>
      <c r="Q438" s="24"/>
      <c r="R438" s="24"/>
      <c r="S438" s="64"/>
      <c r="V438" s="67"/>
      <c r="X438" s="67"/>
    </row>
    <row r="439" spans="1:24" s="27" customFormat="1" ht="14.25">
      <c r="A439" s="31"/>
      <c r="B439" s="24"/>
      <c r="C439" s="30"/>
      <c r="D439" s="28"/>
      <c r="E439" s="31"/>
      <c r="F439" s="31"/>
      <c r="G439" s="31"/>
      <c r="I439" s="28"/>
      <c r="J439" s="62"/>
      <c r="K439" s="62"/>
      <c r="L439" s="33"/>
      <c r="M439" s="32"/>
      <c r="N439" s="34"/>
      <c r="P439" s="63"/>
      <c r="Q439" s="24"/>
      <c r="R439" s="24"/>
      <c r="S439" s="64"/>
      <c r="V439" s="67"/>
      <c r="X439" s="67"/>
    </row>
    <row r="440" spans="1:24" s="27" customFormat="1" ht="14.25">
      <c r="A440" s="31"/>
      <c r="B440" s="24"/>
      <c r="C440" s="30"/>
      <c r="D440" s="28"/>
      <c r="E440" s="31"/>
      <c r="F440" s="31"/>
      <c r="G440" s="31"/>
      <c r="I440" s="28"/>
      <c r="J440" s="62"/>
      <c r="K440" s="62"/>
      <c r="L440" s="33"/>
      <c r="M440" s="32"/>
      <c r="N440" s="34"/>
      <c r="P440" s="63"/>
      <c r="Q440" s="24"/>
      <c r="R440" s="24"/>
      <c r="S440" s="64"/>
      <c r="V440" s="67"/>
      <c r="X440" s="67"/>
    </row>
    <row r="441" spans="1:24" s="27" customFormat="1" ht="14.25">
      <c r="A441" s="31"/>
      <c r="B441" s="24"/>
      <c r="C441" s="30"/>
      <c r="D441" s="28"/>
      <c r="E441" s="31"/>
      <c r="F441" s="31"/>
      <c r="G441" s="31"/>
      <c r="I441" s="28"/>
      <c r="J441" s="62"/>
      <c r="K441" s="62"/>
      <c r="L441" s="33"/>
      <c r="M441" s="32"/>
      <c r="N441" s="34"/>
      <c r="P441" s="63"/>
      <c r="Q441" s="24"/>
      <c r="R441" s="24"/>
      <c r="S441" s="64"/>
      <c r="V441" s="67"/>
      <c r="X441" s="67"/>
    </row>
    <row r="442" spans="1:24" s="27" customFormat="1" ht="14.25">
      <c r="A442" s="31"/>
      <c r="B442" s="24"/>
      <c r="C442" s="30"/>
      <c r="D442" s="28"/>
      <c r="E442" s="31"/>
      <c r="F442" s="31"/>
      <c r="G442" s="31"/>
      <c r="I442" s="28"/>
      <c r="J442" s="62"/>
      <c r="K442" s="62"/>
      <c r="L442" s="33"/>
      <c r="M442" s="32"/>
      <c r="N442" s="34"/>
      <c r="P442" s="63"/>
      <c r="Q442" s="24"/>
      <c r="R442" s="24"/>
      <c r="S442" s="64"/>
      <c r="V442" s="67"/>
      <c r="X442" s="67"/>
    </row>
    <row r="443" spans="1:24" s="27" customFormat="1" ht="14.25">
      <c r="A443" s="31"/>
      <c r="B443" s="24"/>
      <c r="C443" s="30"/>
      <c r="D443" s="28"/>
      <c r="E443" s="31"/>
      <c r="F443" s="31"/>
      <c r="G443" s="31"/>
      <c r="I443" s="28"/>
      <c r="J443" s="62"/>
      <c r="K443" s="62"/>
      <c r="L443" s="33"/>
      <c r="M443" s="32"/>
      <c r="N443" s="34"/>
      <c r="P443" s="63"/>
      <c r="Q443" s="24"/>
      <c r="R443" s="24"/>
      <c r="S443" s="64"/>
      <c r="V443" s="67"/>
      <c r="X443" s="67"/>
    </row>
    <row r="444" spans="1:24" s="27" customFormat="1" ht="14.25">
      <c r="A444" s="31"/>
      <c r="B444" s="24"/>
      <c r="C444" s="30"/>
      <c r="D444" s="28"/>
      <c r="E444" s="31"/>
      <c r="F444" s="31"/>
      <c r="G444" s="31"/>
      <c r="I444" s="28"/>
      <c r="J444" s="62"/>
      <c r="K444" s="62"/>
      <c r="L444" s="33"/>
      <c r="M444" s="32"/>
      <c r="N444" s="34"/>
      <c r="P444" s="63"/>
      <c r="Q444" s="24"/>
      <c r="R444" s="24"/>
      <c r="S444" s="64"/>
      <c r="V444" s="67"/>
      <c r="X444" s="67"/>
    </row>
    <row r="445" spans="1:24" s="27" customFormat="1" ht="14.25">
      <c r="A445" s="31"/>
      <c r="B445" s="24"/>
      <c r="C445" s="30"/>
      <c r="D445" s="28"/>
      <c r="E445" s="31"/>
      <c r="F445" s="31"/>
      <c r="G445" s="31"/>
      <c r="I445" s="28"/>
      <c r="J445" s="62"/>
      <c r="K445" s="62"/>
      <c r="L445" s="33"/>
      <c r="M445" s="32"/>
      <c r="N445" s="34"/>
      <c r="P445" s="63"/>
      <c r="Q445" s="24"/>
      <c r="R445" s="24"/>
      <c r="S445" s="64"/>
      <c r="V445" s="67"/>
      <c r="X445" s="67"/>
    </row>
    <row r="446" spans="1:24" s="27" customFormat="1" ht="14.25">
      <c r="A446" s="31"/>
      <c r="B446" s="24"/>
      <c r="C446" s="30"/>
      <c r="D446" s="28"/>
      <c r="E446" s="31"/>
      <c r="F446" s="31"/>
      <c r="G446" s="31"/>
      <c r="I446" s="28"/>
      <c r="J446" s="62"/>
      <c r="K446" s="62"/>
      <c r="L446" s="33"/>
      <c r="M446" s="32"/>
      <c r="N446" s="34"/>
      <c r="P446" s="63"/>
      <c r="Q446" s="24"/>
      <c r="R446" s="24"/>
      <c r="S446" s="64"/>
      <c r="V446" s="67"/>
      <c r="X446" s="67"/>
    </row>
    <row r="447" spans="1:24" s="27" customFormat="1" ht="14.25">
      <c r="A447" s="31"/>
      <c r="B447" s="24"/>
      <c r="C447" s="30"/>
      <c r="D447" s="28"/>
      <c r="E447" s="31"/>
      <c r="F447" s="31"/>
      <c r="G447" s="31"/>
      <c r="I447" s="28"/>
      <c r="J447" s="62"/>
      <c r="K447" s="62"/>
      <c r="L447" s="33"/>
      <c r="M447" s="32"/>
      <c r="N447" s="34"/>
      <c r="P447" s="63"/>
      <c r="Q447" s="24"/>
      <c r="R447" s="24"/>
      <c r="S447" s="64"/>
      <c r="V447" s="67"/>
      <c r="X447" s="67"/>
    </row>
    <row r="448" spans="1:24" s="27" customFormat="1" ht="14.25">
      <c r="A448" s="31"/>
      <c r="B448" s="24"/>
      <c r="C448" s="30"/>
      <c r="D448" s="28"/>
      <c r="E448" s="31"/>
      <c r="F448" s="31"/>
      <c r="G448" s="31"/>
      <c r="I448" s="28"/>
      <c r="J448" s="62"/>
      <c r="K448" s="62"/>
      <c r="L448" s="33"/>
      <c r="M448" s="32"/>
      <c r="N448" s="34"/>
      <c r="P448" s="63"/>
      <c r="Q448" s="24"/>
      <c r="R448" s="24"/>
      <c r="S448" s="64"/>
      <c r="V448" s="67"/>
      <c r="X448" s="67"/>
    </row>
    <row r="449" spans="1:24" s="27" customFormat="1" ht="14.25">
      <c r="A449" s="31"/>
      <c r="B449" s="24"/>
      <c r="C449" s="30"/>
      <c r="D449" s="28"/>
      <c r="E449" s="31"/>
      <c r="F449" s="31"/>
      <c r="G449" s="31"/>
      <c r="I449" s="28"/>
      <c r="J449" s="62"/>
      <c r="K449" s="62"/>
      <c r="L449" s="33"/>
      <c r="M449" s="32"/>
      <c r="N449" s="34"/>
      <c r="P449" s="63"/>
      <c r="Q449" s="24"/>
      <c r="R449" s="24"/>
      <c r="S449" s="64"/>
      <c r="V449" s="67"/>
      <c r="X449" s="67"/>
    </row>
    <row r="450" spans="1:24" s="27" customFormat="1" ht="14.25">
      <c r="A450" s="31"/>
      <c r="B450" s="24"/>
      <c r="C450" s="30"/>
      <c r="D450" s="28"/>
      <c r="E450" s="31"/>
      <c r="F450" s="31"/>
      <c r="G450" s="31"/>
      <c r="I450" s="28"/>
      <c r="J450" s="62"/>
      <c r="K450" s="62"/>
      <c r="L450" s="33"/>
      <c r="M450" s="32"/>
      <c r="N450" s="34"/>
      <c r="P450" s="63"/>
      <c r="Q450" s="24"/>
      <c r="R450" s="24"/>
      <c r="S450" s="64"/>
      <c r="V450" s="67"/>
      <c r="X450" s="67"/>
    </row>
    <row r="451" spans="1:24" s="27" customFormat="1" ht="14.25">
      <c r="A451" s="31"/>
      <c r="B451" s="24"/>
      <c r="C451" s="30"/>
      <c r="D451" s="28"/>
      <c r="E451" s="31"/>
      <c r="F451" s="31"/>
      <c r="G451" s="31"/>
      <c r="I451" s="28"/>
      <c r="J451" s="62"/>
      <c r="K451" s="62"/>
      <c r="L451" s="33"/>
      <c r="M451" s="32"/>
      <c r="N451" s="34"/>
      <c r="P451" s="63"/>
      <c r="Q451" s="24"/>
      <c r="R451" s="24"/>
      <c r="S451" s="64"/>
      <c r="V451" s="67"/>
      <c r="X451" s="67"/>
    </row>
    <row r="452" spans="1:24" s="27" customFormat="1" ht="14.25">
      <c r="A452" s="31"/>
      <c r="B452" s="24"/>
      <c r="C452" s="30"/>
      <c r="D452" s="28"/>
      <c r="E452" s="31"/>
      <c r="F452" s="31"/>
      <c r="G452" s="31"/>
      <c r="I452" s="28"/>
      <c r="J452" s="62"/>
      <c r="K452" s="62"/>
      <c r="L452" s="33"/>
      <c r="M452" s="32"/>
      <c r="N452" s="34"/>
      <c r="P452" s="63"/>
      <c r="Q452" s="24"/>
      <c r="R452" s="24"/>
      <c r="S452" s="64"/>
      <c r="V452" s="67"/>
      <c r="X452" s="67"/>
    </row>
    <row r="453" spans="1:24" s="27" customFormat="1" ht="14.25">
      <c r="A453" s="31"/>
      <c r="B453" s="24"/>
      <c r="C453" s="30"/>
      <c r="D453" s="28"/>
      <c r="E453" s="31"/>
      <c r="F453" s="31"/>
      <c r="G453" s="31"/>
      <c r="I453" s="28"/>
      <c r="J453" s="62"/>
      <c r="K453" s="62"/>
      <c r="L453" s="33"/>
      <c r="M453" s="32"/>
      <c r="N453" s="34"/>
      <c r="P453" s="63"/>
      <c r="Q453" s="24"/>
      <c r="R453" s="24"/>
      <c r="S453" s="64"/>
      <c r="V453" s="67"/>
      <c r="X453" s="67"/>
    </row>
    <row r="454" spans="1:24" s="27" customFormat="1" ht="14.25">
      <c r="A454" s="31"/>
      <c r="B454" s="24"/>
      <c r="C454" s="30"/>
      <c r="D454" s="28"/>
      <c r="E454" s="31"/>
      <c r="F454" s="31"/>
      <c r="G454" s="31"/>
      <c r="I454" s="28"/>
      <c r="J454" s="62"/>
      <c r="K454" s="62"/>
      <c r="L454" s="33"/>
      <c r="M454" s="32"/>
      <c r="N454" s="34"/>
      <c r="P454" s="63"/>
      <c r="Q454" s="24"/>
      <c r="R454" s="24"/>
      <c r="S454" s="64"/>
      <c r="V454" s="67"/>
      <c r="X454" s="67"/>
    </row>
    <row r="455" spans="1:24" s="27" customFormat="1" ht="14.25">
      <c r="A455" s="31"/>
      <c r="B455" s="24"/>
      <c r="C455" s="30"/>
      <c r="D455" s="28"/>
      <c r="E455" s="31"/>
      <c r="F455" s="31"/>
      <c r="G455" s="31"/>
      <c r="I455" s="28"/>
      <c r="J455" s="62"/>
      <c r="K455" s="62"/>
      <c r="L455" s="33"/>
      <c r="M455" s="32"/>
      <c r="N455" s="34"/>
      <c r="P455" s="63"/>
      <c r="Q455" s="24"/>
      <c r="R455" s="24"/>
      <c r="S455" s="64"/>
      <c r="V455" s="67"/>
      <c r="X455" s="67"/>
    </row>
    <row r="456" spans="1:24" s="27" customFormat="1">
      <c r="A456" s="31"/>
      <c r="B456" s="24"/>
      <c r="C456" s="30"/>
      <c r="D456" s="28"/>
      <c r="E456" s="31"/>
      <c r="F456" s="31"/>
      <c r="G456" s="31"/>
      <c r="I456" s="28"/>
      <c r="J456" s="62"/>
      <c r="K456" s="62"/>
      <c r="L456" s="33"/>
      <c r="M456" s="32"/>
      <c r="N456" s="34"/>
      <c r="O456" s="36"/>
      <c r="P456" s="68"/>
      <c r="Q456" s="24"/>
      <c r="R456" s="24"/>
      <c r="S456" s="64"/>
      <c r="V456" s="67"/>
      <c r="X456" s="67"/>
    </row>
    <row r="457" spans="1:24" s="27" customFormat="1">
      <c r="A457" s="31"/>
      <c r="B457" s="24"/>
      <c r="C457" s="30"/>
      <c r="D457" s="28"/>
      <c r="E457" s="31"/>
      <c r="F457" s="31"/>
      <c r="G457" s="31"/>
      <c r="I457" s="28"/>
      <c r="J457" s="62"/>
      <c r="K457" s="62"/>
      <c r="L457" s="33"/>
      <c r="M457" s="32"/>
      <c r="N457" s="34"/>
      <c r="O457" s="36"/>
      <c r="P457" s="68"/>
      <c r="Q457" s="24"/>
      <c r="R457" s="24"/>
      <c r="S457" s="64"/>
      <c r="V457" s="67"/>
      <c r="X457" s="67"/>
    </row>
    <row r="458" spans="1:24" s="27" customFormat="1">
      <c r="A458" s="31"/>
      <c r="B458" s="24"/>
      <c r="C458" s="30"/>
      <c r="D458" s="28"/>
      <c r="E458" s="31"/>
      <c r="F458" s="31"/>
      <c r="G458" s="31"/>
      <c r="I458" s="28"/>
      <c r="J458" s="62"/>
      <c r="K458" s="62"/>
      <c r="L458" s="33"/>
      <c r="M458" s="32"/>
      <c r="N458" s="34"/>
      <c r="O458" s="36"/>
      <c r="P458" s="68"/>
      <c r="Q458" s="24"/>
      <c r="R458" s="24"/>
      <c r="S458" s="64"/>
      <c r="V458" s="67"/>
      <c r="X458" s="67"/>
    </row>
    <row r="459" spans="1:24" s="27" customFormat="1">
      <c r="A459" s="31"/>
      <c r="B459" s="24"/>
      <c r="C459" s="30"/>
      <c r="D459" s="28"/>
      <c r="E459" s="31"/>
      <c r="F459" s="31"/>
      <c r="G459" s="31"/>
      <c r="I459" s="28"/>
      <c r="J459" s="62"/>
      <c r="K459" s="62"/>
      <c r="L459" s="33"/>
      <c r="M459" s="32"/>
      <c r="N459" s="34"/>
      <c r="O459" s="36"/>
      <c r="P459" s="68"/>
      <c r="Q459" s="24"/>
      <c r="R459" s="24"/>
      <c r="S459" s="64"/>
      <c r="V459" s="67"/>
      <c r="X459" s="67"/>
    </row>
    <row r="460" spans="1:24" s="27" customFormat="1">
      <c r="A460" s="31"/>
      <c r="B460" s="24"/>
      <c r="C460" s="30"/>
      <c r="D460" s="28"/>
      <c r="E460" s="31"/>
      <c r="F460" s="31"/>
      <c r="G460" s="31"/>
      <c r="I460" s="28"/>
      <c r="J460" s="62"/>
      <c r="K460" s="62"/>
      <c r="L460" s="33"/>
      <c r="M460" s="32"/>
      <c r="N460" s="34"/>
      <c r="O460" s="36"/>
      <c r="P460" s="68"/>
      <c r="Q460" s="24"/>
      <c r="R460" s="24"/>
      <c r="S460" s="64"/>
      <c r="V460" s="67"/>
      <c r="X460" s="67"/>
    </row>
    <row r="461" spans="1:24" s="27" customFormat="1">
      <c r="A461" s="31"/>
      <c r="B461" s="24"/>
      <c r="C461" s="30"/>
      <c r="D461" s="28"/>
      <c r="E461" s="31"/>
      <c r="F461" s="31"/>
      <c r="G461" s="31"/>
      <c r="I461" s="28"/>
      <c r="J461" s="62"/>
      <c r="K461" s="62"/>
      <c r="L461" s="33"/>
      <c r="M461" s="32"/>
      <c r="N461" s="34"/>
      <c r="O461" s="36"/>
      <c r="P461" s="68"/>
      <c r="Q461" s="24"/>
      <c r="R461" s="24"/>
      <c r="S461" s="64"/>
      <c r="V461" s="67"/>
      <c r="X461" s="67"/>
    </row>
    <row r="462" spans="1:24" s="27" customFormat="1">
      <c r="A462" s="31"/>
      <c r="B462" s="24"/>
      <c r="C462" s="30"/>
      <c r="D462" s="28"/>
      <c r="E462" s="31"/>
      <c r="F462" s="31"/>
      <c r="G462" s="31"/>
      <c r="I462" s="28"/>
      <c r="J462" s="62"/>
      <c r="K462" s="62"/>
      <c r="L462" s="33"/>
      <c r="M462" s="32"/>
      <c r="N462" s="34"/>
      <c r="O462" s="36"/>
      <c r="P462" s="68"/>
      <c r="Q462" s="24"/>
      <c r="R462" s="24"/>
      <c r="S462" s="64"/>
      <c r="V462" s="67"/>
      <c r="X462" s="67"/>
    </row>
    <row r="463" spans="1:24" s="27" customFormat="1">
      <c r="A463" s="31"/>
      <c r="B463" s="24"/>
      <c r="C463" s="30"/>
      <c r="D463" s="28"/>
      <c r="E463" s="31"/>
      <c r="F463" s="31"/>
      <c r="G463" s="31"/>
      <c r="I463" s="28"/>
      <c r="J463" s="62"/>
      <c r="K463" s="62"/>
      <c r="L463" s="33"/>
      <c r="M463" s="32"/>
      <c r="N463" s="34"/>
      <c r="O463" s="36"/>
      <c r="P463" s="68"/>
      <c r="Q463" s="24"/>
      <c r="R463" s="24"/>
      <c r="S463" s="64"/>
      <c r="V463" s="67"/>
      <c r="X463" s="67"/>
    </row>
    <row r="464" spans="1:24" s="27" customFormat="1">
      <c r="A464" s="31"/>
      <c r="B464" s="24"/>
      <c r="C464" s="30"/>
      <c r="D464" s="28"/>
      <c r="E464" s="31"/>
      <c r="F464" s="31"/>
      <c r="G464" s="31"/>
      <c r="I464" s="28"/>
      <c r="J464" s="62"/>
      <c r="K464" s="62"/>
      <c r="L464" s="33"/>
      <c r="M464" s="32"/>
      <c r="N464" s="34"/>
      <c r="O464" s="36"/>
      <c r="P464" s="68"/>
      <c r="Q464" s="24"/>
      <c r="R464" s="24"/>
      <c r="S464" s="64"/>
      <c r="V464" s="67"/>
      <c r="X464" s="67"/>
    </row>
    <row r="465" spans="1:24" s="27" customFormat="1">
      <c r="A465" s="31"/>
      <c r="B465" s="24"/>
      <c r="C465" s="30"/>
      <c r="D465" s="28"/>
      <c r="E465" s="31"/>
      <c r="F465" s="31"/>
      <c r="G465" s="31"/>
      <c r="I465" s="28"/>
      <c r="J465" s="62"/>
      <c r="K465" s="62"/>
      <c r="L465" s="33"/>
      <c r="M465" s="32"/>
      <c r="N465" s="34"/>
      <c r="O465" s="36"/>
      <c r="P465" s="68"/>
      <c r="Q465" s="24"/>
      <c r="R465" s="24"/>
      <c r="S465" s="64"/>
      <c r="V465" s="67"/>
      <c r="X465" s="67"/>
    </row>
    <row r="466" spans="1:24" s="27" customFormat="1">
      <c r="A466" s="31"/>
      <c r="B466" s="24"/>
      <c r="C466" s="30"/>
      <c r="D466" s="28"/>
      <c r="E466" s="31"/>
      <c r="F466" s="31"/>
      <c r="G466" s="31"/>
      <c r="I466" s="28"/>
      <c r="J466" s="62"/>
      <c r="K466" s="62"/>
      <c r="L466" s="33"/>
      <c r="M466" s="32"/>
      <c r="N466" s="34"/>
      <c r="O466" s="36"/>
      <c r="P466" s="68"/>
      <c r="Q466" s="24"/>
      <c r="R466" s="24"/>
      <c r="S466" s="64"/>
      <c r="V466" s="67"/>
      <c r="X466" s="67"/>
    </row>
    <row r="467" spans="1:24" s="27" customFormat="1">
      <c r="A467" s="31"/>
      <c r="B467" s="24"/>
      <c r="C467" s="30"/>
      <c r="D467" s="28"/>
      <c r="E467" s="31"/>
      <c r="F467" s="31"/>
      <c r="G467" s="31"/>
      <c r="I467" s="28"/>
      <c r="J467" s="62"/>
      <c r="K467" s="62"/>
      <c r="L467" s="33"/>
      <c r="M467" s="32"/>
      <c r="N467" s="34"/>
      <c r="O467" s="36"/>
      <c r="P467" s="68"/>
      <c r="Q467" s="24"/>
      <c r="R467" s="24"/>
      <c r="S467" s="64"/>
      <c r="V467" s="67"/>
      <c r="X467" s="67"/>
    </row>
    <row r="468" spans="1:24" s="27" customFormat="1">
      <c r="A468" s="31"/>
      <c r="B468" s="24"/>
      <c r="C468" s="30"/>
      <c r="D468" s="28"/>
      <c r="E468" s="31"/>
      <c r="F468" s="31"/>
      <c r="G468" s="31"/>
      <c r="I468" s="28"/>
      <c r="J468" s="62"/>
      <c r="K468" s="62"/>
      <c r="L468" s="33"/>
      <c r="M468" s="32"/>
      <c r="N468" s="34"/>
      <c r="O468" s="36"/>
      <c r="P468" s="68"/>
      <c r="Q468" s="24"/>
      <c r="R468" s="24"/>
      <c r="S468" s="64"/>
      <c r="V468" s="67"/>
      <c r="X468" s="67"/>
    </row>
    <row r="469" spans="1:24" s="27" customFormat="1">
      <c r="A469" s="31"/>
      <c r="B469" s="24"/>
      <c r="C469" s="30"/>
      <c r="D469" s="28"/>
      <c r="E469" s="31"/>
      <c r="F469" s="31"/>
      <c r="G469" s="31"/>
      <c r="I469" s="28"/>
      <c r="J469" s="62"/>
      <c r="K469" s="62"/>
      <c r="L469" s="33"/>
      <c r="M469" s="32"/>
      <c r="N469" s="34"/>
      <c r="O469" s="36"/>
      <c r="P469" s="68"/>
      <c r="Q469" s="24"/>
      <c r="R469" s="24"/>
      <c r="S469" s="64"/>
      <c r="V469" s="67"/>
      <c r="X469" s="67"/>
    </row>
    <row r="470" spans="1:24" s="27" customFormat="1">
      <c r="A470" s="31"/>
      <c r="B470" s="24"/>
      <c r="C470" s="30"/>
      <c r="D470" s="28"/>
      <c r="E470" s="31"/>
      <c r="F470" s="31"/>
      <c r="G470" s="31"/>
      <c r="I470" s="28"/>
      <c r="J470" s="62"/>
      <c r="K470" s="62"/>
      <c r="L470" s="33"/>
      <c r="M470" s="32"/>
      <c r="N470" s="34"/>
      <c r="O470" s="36"/>
      <c r="P470" s="68"/>
      <c r="Q470" s="24"/>
      <c r="R470" s="24"/>
      <c r="S470" s="64"/>
      <c r="V470" s="67"/>
      <c r="X470" s="67"/>
    </row>
    <row r="471" spans="1:24" s="27" customFormat="1">
      <c r="A471" s="31"/>
      <c r="B471" s="24"/>
      <c r="C471" s="30"/>
      <c r="D471" s="28"/>
      <c r="E471" s="31"/>
      <c r="F471" s="31"/>
      <c r="G471" s="31"/>
      <c r="I471" s="28"/>
      <c r="J471" s="62"/>
      <c r="K471" s="62"/>
      <c r="L471" s="33"/>
      <c r="M471" s="32"/>
      <c r="N471" s="34"/>
      <c r="O471" s="36"/>
      <c r="P471" s="68"/>
      <c r="Q471" s="24"/>
      <c r="R471" s="24"/>
      <c r="S471" s="64"/>
      <c r="V471" s="67"/>
      <c r="X471" s="67"/>
    </row>
    <row r="472" spans="1:24" s="27" customFormat="1">
      <c r="A472" s="31"/>
      <c r="B472" s="24"/>
      <c r="C472" s="30"/>
      <c r="D472" s="28"/>
      <c r="E472" s="31"/>
      <c r="F472" s="31"/>
      <c r="G472" s="31"/>
      <c r="I472" s="28"/>
      <c r="J472" s="62"/>
      <c r="K472" s="62"/>
      <c r="L472" s="33"/>
      <c r="M472" s="32"/>
      <c r="N472" s="34"/>
      <c r="O472" s="36"/>
      <c r="P472" s="68"/>
      <c r="Q472" s="24"/>
      <c r="R472" s="24"/>
      <c r="S472" s="64"/>
      <c r="V472" s="67"/>
      <c r="X472" s="67"/>
    </row>
    <row r="473" spans="1:24" s="27" customFormat="1">
      <c r="A473" s="31"/>
      <c r="B473" s="24"/>
      <c r="C473" s="30"/>
      <c r="D473" s="28"/>
      <c r="E473" s="31"/>
      <c r="F473" s="31"/>
      <c r="G473" s="31"/>
      <c r="I473" s="28"/>
      <c r="J473" s="62"/>
      <c r="K473" s="62"/>
      <c r="L473" s="33"/>
      <c r="M473" s="32"/>
      <c r="N473" s="34"/>
      <c r="O473" s="36"/>
      <c r="P473" s="68"/>
      <c r="Q473" s="24"/>
      <c r="R473" s="24"/>
      <c r="S473" s="64"/>
      <c r="V473" s="67"/>
      <c r="X473" s="67"/>
    </row>
    <row r="474" spans="1:24" s="27" customFormat="1">
      <c r="A474" s="31"/>
      <c r="B474" s="24"/>
      <c r="C474" s="30"/>
      <c r="D474" s="28"/>
      <c r="E474" s="31"/>
      <c r="F474" s="31"/>
      <c r="G474" s="31"/>
      <c r="I474" s="28"/>
      <c r="J474" s="62"/>
      <c r="K474" s="62"/>
      <c r="L474" s="33"/>
      <c r="M474" s="32"/>
      <c r="N474" s="34"/>
      <c r="O474" s="36"/>
      <c r="P474" s="68"/>
      <c r="Q474" s="24"/>
      <c r="R474" s="24"/>
      <c r="S474" s="64"/>
      <c r="V474" s="67"/>
      <c r="X474" s="67"/>
    </row>
    <row r="475" spans="1:24" s="27" customFormat="1">
      <c r="A475" s="31"/>
      <c r="B475" s="24"/>
      <c r="C475" s="30"/>
      <c r="D475" s="28"/>
      <c r="E475" s="31"/>
      <c r="F475" s="31"/>
      <c r="G475" s="31"/>
      <c r="I475" s="28"/>
      <c r="J475" s="62"/>
      <c r="K475" s="62"/>
      <c r="L475" s="33"/>
      <c r="M475" s="32"/>
      <c r="N475" s="34"/>
      <c r="O475" s="36"/>
      <c r="P475" s="68"/>
      <c r="Q475" s="24"/>
      <c r="R475" s="24"/>
      <c r="S475" s="64"/>
      <c r="V475" s="67"/>
      <c r="X475" s="67"/>
    </row>
    <row r="476" spans="1:24" s="27" customFormat="1">
      <c r="A476" s="31"/>
      <c r="B476" s="24"/>
      <c r="C476" s="30"/>
      <c r="D476" s="28"/>
      <c r="E476" s="31"/>
      <c r="F476" s="31"/>
      <c r="G476" s="31"/>
      <c r="I476" s="28"/>
      <c r="J476" s="62"/>
      <c r="K476" s="62"/>
      <c r="L476" s="33"/>
      <c r="M476" s="32"/>
      <c r="N476" s="34"/>
      <c r="O476" s="36"/>
      <c r="P476" s="68"/>
      <c r="Q476" s="24"/>
      <c r="R476" s="24"/>
      <c r="S476" s="64"/>
      <c r="V476" s="67"/>
      <c r="X476" s="67"/>
    </row>
    <row r="477" spans="1:24" s="27" customFormat="1">
      <c r="A477" s="31"/>
      <c r="B477" s="24"/>
      <c r="C477" s="30"/>
      <c r="D477" s="28"/>
      <c r="E477" s="31"/>
      <c r="F477" s="31"/>
      <c r="G477" s="31"/>
      <c r="I477" s="28"/>
      <c r="J477" s="62"/>
      <c r="K477" s="62"/>
      <c r="L477" s="33"/>
      <c r="M477" s="32"/>
      <c r="N477" s="34"/>
      <c r="O477" s="36"/>
      <c r="P477" s="68"/>
      <c r="Q477" s="24"/>
      <c r="R477" s="24"/>
      <c r="S477" s="64"/>
      <c r="V477" s="67"/>
      <c r="X477" s="67"/>
    </row>
    <row r="478" spans="1:24" s="27" customFormat="1">
      <c r="A478" s="31"/>
      <c r="B478" s="24"/>
      <c r="C478" s="30"/>
      <c r="D478" s="28"/>
      <c r="E478" s="31"/>
      <c r="F478" s="31"/>
      <c r="G478" s="31"/>
      <c r="I478" s="28"/>
      <c r="J478" s="62"/>
      <c r="K478" s="62"/>
      <c r="L478" s="33"/>
      <c r="M478" s="32"/>
      <c r="N478" s="34"/>
      <c r="O478" s="36"/>
      <c r="P478" s="68"/>
      <c r="Q478" s="24"/>
      <c r="R478" s="24"/>
      <c r="S478" s="64"/>
      <c r="V478" s="67"/>
      <c r="X478" s="67"/>
    </row>
    <row r="479" spans="1:24" s="27" customFormat="1">
      <c r="A479" s="31"/>
      <c r="B479" s="24"/>
      <c r="C479" s="30"/>
      <c r="D479" s="28"/>
      <c r="E479" s="31"/>
      <c r="F479" s="31"/>
      <c r="G479" s="31"/>
      <c r="I479" s="28"/>
      <c r="J479" s="62"/>
      <c r="K479" s="62"/>
      <c r="L479" s="33"/>
      <c r="M479" s="32"/>
      <c r="N479" s="34"/>
      <c r="O479" s="36"/>
      <c r="P479" s="68"/>
      <c r="Q479" s="24"/>
      <c r="R479" s="24"/>
      <c r="S479" s="64"/>
      <c r="V479" s="67"/>
      <c r="X479" s="67"/>
    </row>
    <row r="480" spans="1:24" s="27" customFormat="1">
      <c r="A480" s="31"/>
      <c r="B480" s="24"/>
      <c r="C480" s="30"/>
      <c r="D480" s="28"/>
      <c r="E480" s="31"/>
      <c r="F480" s="31"/>
      <c r="G480" s="31"/>
      <c r="I480" s="28"/>
      <c r="J480" s="62"/>
      <c r="K480" s="62"/>
      <c r="L480" s="33"/>
      <c r="M480" s="32"/>
      <c r="N480" s="34"/>
      <c r="O480" s="36"/>
      <c r="P480" s="68"/>
      <c r="Q480" s="24"/>
      <c r="R480" s="24"/>
      <c r="S480" s="64"/>
      <c r="V480" s="67"/>
      <c r="X480" s="67"/>
    </row>
    <row r="481" spans="1:24" s="27" customFormat="1">
      <c r="A481" s="31"/>
      <c r="B481" s="24"/>
      <c r="C481" s="30"/>
      <c r="D481" s="28"/>
      <c r="E481" s="31"/>
      <c r="F481" s="31"/>
      <c r="G481" s="31"/>
      <c r="I481" s="28"/>
      <c r="J481" s="62"/>
      <c r="K481" s="62"/>
      <c r="L481" s="33"/>
      <c r="M481" s="32"/>
      <c r="N481" s="34"/>
      <c r="O481" s="36"/>
      <c r="P481" s="68"/>
      <c r="Q481" s="24"/>
      <c r="R481" s="24"/>
      <c r="S481" s="64"/>
      <c r="V481" s="67"/>
      <c r="X481" s="67"/>
    </row>
    <row r="482" spans="1:24" s="27" customFormat="1">
      <c r="A482" s="31"/>
      <c r="B482" s="24"/>
      <c r="C482" s="30"/>
      <c r="D482" s="28"/>
      <c r="E482" s="31"/>
      <c r="F482" s="31"/>
      <c r="G482" s="31"/>
      <c r="I482" s="28"/>
      <c r="J482" s="62"/>
      <c r="K482" s="62"/>
      <c r="L482" s="33"/>
      <c r="M482" s="32"/>
      <c r="N482" s="34"/>
      <c r="O482" s="36"/>
      <c r="P482" s="68"/>
      <c r="Q482" s="24"/>
      <c r="R482" s="24"/>
      <c r="S482" s="64"/>
      <c r="V482" s="67"/>
      <c r="X482" s="67"/>
    </row>
    <row r="483" spans="1:24" s="27" customFormat="1">
      <c r="A483" s="31"/>
      <c r="B483" s="24"/>
      <c r="C483" s="30"/>
      <c r="D483" s="28"/>
      <c r="E483" s="31"/>
      <c r="F483" s="31"/>
      <c r="G483" s="31"/>
      <c r="I483" s="28"/>
      <c r="J483" s="62"/>
      <c r="K483" s="62"/>
      <c r="L483" s="33"/>
      <c r="M483" s="32"/>
      <c r="N483" s="34"/>
      <c r="O483" s="36"/>
      <c r="P483" s="68"/>
      <c r="Q483" s="24"/>
      <c r="R483" s="24"/>
      <c r="S483" s="64"/>
      <c r="V483" s="67"/>
      <c r="X483" s="67"/>
    </row>
    <row r="484" spans="1:24" s="27" customFormat="1">
      <c r="A484" s="31"/>
      <c r="B484" s="24"/>
      <c r="C484" s="30"/>
      <c r="D484" s="28"/>
      <c r="E484" s="31"/>
      <c r="F484" s="31"/>
      <c r="G484" s="31"/>
      <c r="I484" s="28"/>
      <c r="J484" s="62"/>
      <c r="K484" s="62"/>
      <c r="L484" s="33"/>
      <c r="M484" s="32"/>
      <c r="N484" s="34"/>
      <c r="O484" s="36"/>
      <c r="P484" s="68"/>
      <c r="Q484" s="24"/>
      <c r="R484" s="24"/>
      <c r="S484" s="64"/>
      <c r="V484" s="67"/>
      <c r="X484" s="67"/>
    </row>
    <row r="485" spans="1:24" s="27" customFormat="1">
      <c r="A485" s="31"/>
      <c r="B485" s="24"/>
      <c r="C485" s="30"/>
      <c r="D485" s="28"/>
      <c r="E485" s="31"/>
      <c r="F485" s="31"/>
      <c r="G485" s="31"/>
      <c r="I485" s="28"/>
      <c r="J485" s="62"/>
      <c r="K485" s="62"/>
      <c r="L485" s="33"/>
      <c r="M485" s="32"/>
      <c r="N485" s="34"/>
      <c r="O485" s="36"/>
      <c r="P485" s="68"/>
      <c r="Q485" s="24"/>
      <c r="R485" s="24"/>
      <c r="S485" s="64"/>
      <c r="V485" s="67"/>
      <c r="X485" s="67"/>
    </row>
    <row r="486" spans="1:24" s="27" customFormat="1">
      <c r="A486" s="31"/>
      <c r="B486" s="24"/>
      <c r="C486" s="30"/>
      <c r="D486" s="28"/>
      <c r="E486" s="31"/>
      <c r="F486" s="31"/>
      <c r="G486" s="31"/>
      <c r="I486" s="28"/>
      <c r="J486" s="62"/>
      <c r="K486" s="62"/>
      <c r="L486" s="33"/>
      <c r="M486" s="32"/>
      <c r="N486" s="34"/>
      <c r="O486" s="36"/>
      <c r="P486" s="68"/>
      <c r="Q486" s="24"/>
      <c r="R486" s="24"/>
      <c r="S486" s="64"/>
      <c r="V486" s="67"/>
      <c r="X486" s="67"/>
    </row>
    <row r="487" spans="1:24" s="27" customFormat="1">
      <c r="A487" s="31"/>
      <c r="B487" s="24"/>
      <c r="C487" s="30"/>
      <c r="D487" s="28"/>
      <c r="E487" s="31"/>
      <c r="F487" s="31"/>
      <c r="G487" s="31"/>
      <c r="I487" s="28"/>
      <c r="J487" s="62"/>
      <c r="K487" s="62"/>
      <c r="L487" s="33"/>
      <c r="M487" s="32"/>
      <c r="N487" s="34"/>
      <c r="O487" s="36"/>
      <c r="P487" s="68"/>
      <c r="Q487" s="24"/>
      <c r="R487" s="24"/>
      <c r="S487" s="64"/>
      <c r="V487" s="67"/>
      <c r="X487" s="67"/>
    </row>
    <row r="488" spans="1:24" s="27" customFormat="1">
      <c r="A488" s="31"/>
      <c r="B488" s="24"/>
      <c r="C488" s="30"/>
      <c r="D488" s="28"/>
      <c r="E488" s="31"/>
      <c r="F488" s="31"/>
      <c r="G488" s="31"/>
      <c r="I488" s="28"/>
      <c r="J488" s="62"/>
      <c r="K488" s="62"/>
      <c r="L488" s="33"/>
      <c r="M488" s="32"/>
      <c r="N488" s="34"/>
      <c r="O488" s="36"/>
      <c r="P488" s="68"/>
      <c r="Q488" s="24"/>
      <c r="R488" s="24"/>
      <c r="S488" s="64"/>
      <c r="V488" s="67"/>
      <c r="X488" s="67"/>
    </row>
    <row r="489" spans="1:24" s="27" customFormat="1">
      <c r="A489" s="31"/>
      <c r="B489" s="24"/>
      <c r="C489" s="30"/>
      <c r="D489" s="28"/>
      <c r="E489" s="31"/>
      <c r="F489" s="31"/>
      <c r="G489" s="31"/>
      <c r="I489" s="28"/>
      <c r="J489" s="62"/>
      <c r="K489" s="62"/>
      <c r="L489" s="33"/>
      <c r="M489" s="32"/>
      <c r="N489" s="34"/>
      <c r="O489" s="36"/>
      <c r="P489" s="68"/>
      <c r="Q489" s="24"/>
      <c r="R489" s="24"/>
      <c r="S489" s="64"/>
      <c r="V489" s="67"/>
      <c r="X489" s="67"/>
    </row>
    <row r="490" spans="1:24" s="27" customFormat="1">
      <c r="A490" s="31"/>
      <c r="B490" s="24"/>
      <c r="C490" s="30"/>
      <c r="D490" s="28"/>
      <c r="E490" s="31"/>
      <c r="F490" s="31"/>
      <c r="G490" s="31"/>
      <c r="I490" s="28"/>
      <c r="J490" s="62"/>
      <c r="K490" s="62"/>
      <c r="L490" s="33"/>
      <c r="M490" s="32"/>
      <c r="N490" s="34"/>
      <c r="O490" s="36"/>
      <c r="P490" s="68"/>
      <c r="Q490" s="24"/>
      <c r="R490" s="24"/>
      <c r="S490" s="64"/>
      <c r="V490" s="67"/>
      <c r="X490" s="67"/>
    </row>
    <row r="491" spans="1:24" s="27" customFormat="1">
      <c r="A491" s="31"/>
      <c r="B491" s="24"/>
      <c r="C491" s="30"/>
      <c r="D491" s="28"/>
      <c r="E491" s="31"/>
      <c r="F491" s="31"/>
      <c r="G491" s="31"/>
      <c r="I491" s="28"/>
      <c r="J491" s="62"/>
      <c r="K491" s="62"/>
      <c r="L491" s="33"/>
      <c r="M491" s="32"/>
      <c r="N491" s="34"/>
      <c r="O491" s="36"/>
      <c r="P491" s="68"/>
      <c r="Q491" s="24"/>
      <c r="R491" s="24"/>
      <c r="S491" s="64"/>
      <c r="V491" s="67"/>
      <c r="X491" s="67"/>
    </row>
    <row r="492" spans="1:24" s="27" customFormat="1">
      <c r="A492" s="31"/>
      <c r="B492" s="24"/>
      <c r="C492" s="30"/>
      <c r="D492" s="28"/>
      <c r="E492" s="31"/>
      <c r="F492" s="31"/>
      <c r="G492" s="31"/>
      <c r="I492" s="28"/>
      <c r="J492" s="62"/>
      <c r="K492" s="62"/>
      <c r="L492" s="33"/>
      <c r="M492" s="32"/>
      <c r="N492" s="34"/>
      <c r="O492" s="36"/>
      <c r="P492" s="68"/>
      <c r="Q492" s="24"/>
      <c r="R492" s="24"/>
      <c r="S492" s="64"/>
      <c r="V492" s="67"/>
      <c r="X492" s="67"/>
    </row>
    <row r="493" spans="1:24" s="27" customFormat="1">
      <c r="A493" s="31"/>
      <c r="B493" s="24"/>
      <c r="C493" s="30"/>
      <c r="D493" s="28"/>
      <c r="E493" s="31"/>
      <c r="F493" s="31"/>
      <c r="G493" s="31"/>
      <c r="I493" s="28"/>
      <c r="J493" s="62"/>
      <c r="K493" s="62"/>
      <c r="L493" s="33"/>
      <c r="M493" s="32"/>
      <c r="N493" s="34"/>
      <c r="O493" s="36"/>
      <c r="P493" s="68"/>
      <c r="Q493" s="24"/>
      <c r="R493" s="24"/>
      <c r="S493" s="64"/>
      <c r="V493" s="67"/>
      <c r="X493" s="67"/>
    </row>
    <row r="494" spans="1:24" s="27" customFormat="1">
      <c r="A494" s="31"/>
      <c r="B494" s="24"/>
      <c r="C494" s="30"/>
      <c r="D494" s="28"/>
      <c r="E494" s="31"/>
      <c r="F494" s="31"/>
      <c r="G494" s="31"/>
      <c r="I494" s="28"/>
      <c r="J494" s="62"/>
      <c r="K494" s="62"/>
      <c r="L494" s="33"/>
      <c r="M494" s="32"/>
      <c r="N494" s="34"/>
      <c r="O494" s="36"/>
      <c r="P494" s="68"/>
      <c r="Q494" s="24"/>
      <c r="R494" s="24"/>
      <c r="S494" s="64"/>
      <c r="V494" s="67"/>
      <c r="X494" s="67"/>
    </row>
    <row r="495" spans="1:24" s="27" customFormat="1">
      <c r="A495" s="31"/>
      <c r="B495" s="24"/>
      <c r="C495" s="30"/>
      <c r="D495" s="28"/>
      <c r="E495" s="31"/>
      <c r="F495" s="31"/>
      <c r="G495" s="31"/>
      <c r="I495" s="28"/>
      <c r="J495" s="62"/>
      <c r="K495" s="62"/>
      <c r="L495" s="33"/>
      <c r="M495" s="32"/>
      <c r="N495" s="34"/>
      <c r="O495" s="36"/>
      <c r="P495" s="68"/>
      <c r="Q495" s="24"/>
      <c r="R495" s="24"/>
      <c r="S495" s="64"/>
      <c r="V495" s="67"/>
      <c r="X495" s="67"/>
    </row>
    <row r="496" spans="1:24" s="27" customFormat="1">
      <c r="A496" s="31"/>
      <c r="B496" s="24"/>
      <c r="C496" s="30"/>
      <c r="D496" s="28"/>
      <c r="E496" s="31"/>
      <c r="F496" s="31"/>
      <c r="G496" s="31"/>
      <c r="I496" s="28"/>
      <c r="J496" s="62"/>
      <c r="K496" s="62"/>
      <c r="L496" s="33"/>
      <c r="M496" s="32"/>
      <c r="N496" s="34"/>
      <c r="O496" s="36"/>
      <c r="P496" s="68"/>
      <c r="Q496" s="24"/>
      <c r="R496" s="24"/>
      <c r="S496" s="64"/>
      <c r="V496" s="67"/>
      <c r="X496" s="67"/>
    </row>
    <row r="497" spans="1:24" s="27" customFormat="1">
      <c r="A497" s="31"/>
      <c r="B497" s="24"/>
      <c r="C497" s="30"/>
      <c r="D497" s="28"/>
      <c r="E497" s="31"/>
      <c r="F497" s="31"/>
      <c r="G497" s="31"/>
      <c r="I497" s="28"/>
      <c r="J497" s="62"/>
      <c r="K497" s="62"/>
      <c r="L497" s="33"/>
      <c r="M497" s="32"/>
      <c r="N497" s="34"/>
      <c r="O497" s="36"/>
      <c r="P497" s="68"/>
      <c r="Q497" s="24"/>
      <c r="R497" s="24"/>
      <c r="S497" s="64"/>
      <c r="V497" s="67"/>
      <c r="X497" s="67"/>
    </row>
    <row r="498" spans="1:24" s="27" customFormat="1">
      <c r="A498" s="31"/>
      <c r="B498" s="24"/>
      <c r="C498" s="30"/>
      <c r="D498" s="28"/>
      <c r="E498" s="31"/>
      <c r="F498" s="31"/>
      <c r="G498" s="31"/>
      <c r="I498" s="28"/>
      <c r="J498" s="62"/>
      <c r="K498" s="62"/>
      <c r="L498" s="33"/>
      <c r="M498" s="32"/>
      <c r="N498" s="34"/>
      <c r="O498" s="36"/>
      <c r="P498" s="68"/>
      <c r="Q498" s="24"/>
      <c r="R498" s="24"/>
      <c r="S498" s="64"/>
      <c r="V498" s="67"/>
      <c r="X498" s="67"/>
    </row>
    <row r="499" spans="1:24" s="27" customFormat="1">
      <c r="A499" s="31"/>
      <c r="B499" s="24"/>
      <c r="C499" s="30"/>
      <c r="D499" s="28"/>
      <c r="E499" s="31"/>
      <c r="F499" s="31"/>
      <c r="G499" s="31"/>
      <c r="I499" s="28"/>
      <c r="J499" s="62"/>
      <c r="K499" s="62"/>
      <c r="L499" s="33"/>
      <c r="M499" s="32"/>
      <c r="N499" s="34"/>
      <c r="O499" s="36"/>
      <c r="P499" s="68"/>
      <c r="Q499" s="24"/>
      <c r="R499" s="24"/>
      <c r="S499" s="64"/>
      <c r="V499" s="67"/>
      <c r="X499" s="67"/>
    </row>
    <row r="500" spans="1:24" s="27" customFormat="1">
      <c r="A500" s="31"/>
      <c r="B500" s="24"/>
      <c r="C500" s="30"/>
      <c r="D500" s="28"/>
      <c r="E500" s="31"/>
      <c r="F500" s="31"/>
      <c r="G500" s="31"/>
      <c r="I500" s="28"/>
      <c r="J500" s="62"/>
      <c r="K500" s="62"/>
      <c r="L500" s="33"/>
      <c r="M500" s="32"/>
      <c r="N500" s="34"/>
      <c r="O500" s="36"/>
      <c r="P500" s="68"/>
      <c r="Q500" s="24"/>
      <c r="R500" s="24"/>
      <c r="S500" s="64"/>
      <c r="V500" s="67"/>
      <c r="X500" s="67"/>
    </row>
    <row r="501" spans="1:24" s="27" customFormat="1">
      <c r="A501" s="31"/>
      <c r="B501" s="24"/>
      <c r="C501" s="30"/>
      <c r="D501" s="28"/>
      <c r="E501" s="31"/>
      <c r="F501" s="31"/>
      <c r="G501" s="31"/>
      <c r="I501" s="28"/>
      <c r="J501" s="62"/>
      <c r="K501" s="62"/>
      <c r="L501" s="33"/>
      <c r="M501" s="32"/>
      <c r="N501" s="34"/>
      <c r="O501" s="36"/>
      <c r="P501" s="68"/>
      <c r="Q501" s="24"/>
      <c r="R501" s="24"/>
      <c r="S501" s="64"/>
      <c r="V501" s="67"/>
      <c r="X501" s="67"/>
    </row>
    <row r="502" spans="1:24" s="27" customFormat="1">
      <c r="A502" s="31"/>
      <c r="B502" s="24"/>
      <c r="C502" s="30"/>
      <c r="D502" s="28"/>
      <c r="E502" s="31"/>
      <c r="F502" s="31"/>
      <c r="G502" s="31"/>
      <c r="I502" s="28"/>
      <c r="J502" s="62"/>
      <c r="K502" s="62"/>
      <c r="L502" s="33"/>
      <c r="M502" s="32"/>
      <c r="N502" s="34"/>
      <c r="O502" s="36"/>
      <c r="P502" s="68"/>
      <c r="Q502" s="24"/>
      <c r="R502" s="24"/>
      <c r="S502" s="64"/>
      <c r="V502" s="67"/>
      <c r="X502" s="67"/>
    </row>
    <row r="503" spans="1:24" s="27" customFormat="1">
      <c r="A503" s="31"/>
      <c r="B503" s="24"/>
      <c r="C503" s="30"/>
      <c r="D503" s="28"/>
      <c r="E503" s="31"/>
      <c r="F503" s="31"/>
      <c r="G503" s="31"/>
      <c r="I503" s="28"/>
      <c r="J503" s="62"/>
      <c r="K503" s="62"/>
      <c r="L503" s="33"/>
      <c r="M503" s="32"/>
      <c r="N503" s="34"/>
      <c r="O503" s="36"/>
      <c r="P503" s="68"/>
      <c r="Q503" s="24"/>
      <c r="R503" s="24"/>
      <c r="S503" s="64"/>
      <c r="V503" s="67"/>
      <c r="X503" s="67"/>
    </row>
    <row r="504" spans="1:24" s="27" customFormat="1">
      <c r="A504" s="31"/>
      <c r="B504" s="24"/>
      <c r="C504" s="30"/>
      <c r="D504" s="28"/>
      <c r="E504" s="31"/>
      <c r="F504" s="31"/>
      <c r="G504" s="31"/>
      <c r="I504" s="28"/>
      <c r="J504" s="62"/>
      <c r="K504" s="62"/>
      <c r="L504" s="33"/>
      <c r="M504" s="32"/>
      <c r="N504" s="34"/>
      <c r="O504" s="36"/>
      <c r="P504" s="68"/>
      <c r="Q504" s="24"/>
      <c r="R504" s="24"/>
      <c r="S504" s="64"/>
      <c r="V504" s="67"/>
      <c r="X504" s="67"/>
    </row>
    <row r="505" spans="1:24" s="27" customFormat="1">
      <c r="A505" s="31"/>
      <c r="B505" s="24"/>
      <c r="C505" s="30"/>
      <c r="D505" s="28"/>
      <c r="E505" s="31"/>
      <c r="F505" s="31"/>
      <c r="G505" s="31"/>
      <c r="I505" s="28"/>
      <c r="J505" s="62"/>
      <c r="K505" s="62"/>
      <c r="L505" s="33"/>
      <c r="M505" s="32"/>
      <c r="N505" s="34"/>
      <c r="O505" s="36"/>
      <c r="P505" s="68"/>
      <c r="Q505" s="24"/>
      <c r="R505" s="24"/>
      <c r="S505" s="64"/>
      <c r="V505" s="67"/>
      <c r="X505" s="67"/>
    </row>
    <row r="506" spans="1:24" s="27" customFormat="1">
      <c r="A506" s="31"/>
      <c r="B506" s="24"/>
      <c r="C506" s="30"/>
      <c r="D506" s="28"/>
      <c r="E506" s="31"/>
      <c r="F506" s="31"/>
      <c r="G506" s="31"/>
      <c r="I506" s="28"/>
      <c r="J506" s="62"/>
      <c r="K506" s="62"/>
      <c r="L506" s="33"/>
      <c r="M506" s="32"/>
      <c r="N506" s="34"/>
      <c r="O506" s="36"/>
      <c r="P506" s="68"/>
      <c r="Q506" s="24"/>
      <c r="R506" s="24"/>
      <c r="S506" s="64"/>
      <c r="V506" s="67"/>
      <c r="X506" s="67"/>
    </row>
    <row r="507" spans="1:24" s="27" customFormat="1">
      <c r="A507" s="31"/>
      <c r="B507" s="24"/>
      <c r="C507" s="30"/>
      <c r="D507" s="28"/>
      <c r="E507" s="31"/>
      <c r="F507" s="31"/>
      <c r="G507" s="31"/>
      <c r="I507" s="28"/>
      <c r="J507" s="62"/>
      <c r="K507" s="62"/>
      <c r="L507" s="33"/>
      <c r="M507" s="32"/>
      <c r="N507" s="34"/>
      <c r="O507" s="36"/>
      <c r="P507" s="68"/>
      <c r="Q507" s="24"/>
      <c r="R507" s="24"/>
      <c r="S507" s="64"/>
      <c r="V507" s="67"/>
      <c r="X507" s="67"/>
    </row>
    <row r="508" spans="1:24" s="27" customFormat="1">
      <c r="A508" s="31"/>
      <c r="B508" s="24"/>
      <c r="C508" s="30"/>
      <c r="D508" s="28"/>
      <c r="E508" s="31"/>
      <c r="F508" s="31"/>
      <c r="G508" s="31"/>
      <c r="I508" s="28"/>
      <c r="J508" s="62"/>
      <c r="K508" s="62"/>
      <c r="L508" s="33"/>
      <c r="M508" s="32"/>
      <c r="N508" s="34"/>
      <c r="O508" s="36"/>
      <c r="P508" s="68"/>
      <c r="Q508" s="24"/>
      <c r="R508" s="24"/>
      <c r="S508" s="64"/>
      <c r="V508" s="67"/>
      <c r="X508" s="67"/>
    </row>
    <row r="509" spans="1:24" s="27" customFormat="1">
      <c r="A509" s="31"/>
      <c r="B509" s="24"/>
      <c r="C509" s="30"/>
      <c r="D509" s="28"/>
      <c r="E509" s="31"/>
      <c r="F509" s="31"/>
      <c r="G509" s="31"/>
      <c r="I509" s="28"/>
      <c r="J509" s="62"/>
      <c r="K509" s="62"/>
      <c r="L509" s="33"/>
      <c r="M509" s="32"/>
      <c r="N509" s="34"/>
      <c r="O509" s="36"/>
      <c r="P509" s="68"/>
      <c r="Q509" s="24"/>
      <c r="R509" s="24"/>
      <c r="S509" s="64"/>
      <c r="V509" s="67"/>
      <c r="X509" s="67"/>
    </row>
    <row r="510" spans="1:24" s="27" customFormat="1">
      <c r="A510" s="31"/>
      <c r="B510" s="24"/>
      <c r="C510" s="30"/>
      <c r="D510" s="28"/>
      <c r="E510" s="31"/>
      <c r="F510" s="31"/>
      <c r="G510" s="31"/>
      <c r="I510" s="28"/>
      <c r="J510" s="62"/>
      <c r="K510" s="62"/>
      <c r="L510" s="33"/>
      <c r="M510" s="32"/>
      <c r="N510" s="34"/>
      <c r="O510" s="36"/>
      <c r="P510" s="68"/>
      <c r="Q510" s="24"/>
      <c r="R510" s="24"/>
      <c r="S510" s="64"/>
      <c r="V510" s="67"/>
      <c r="X510" s="67"/>
    </row>
    <row r="511" spans="1:24" s="27" customFormat="1">
      <c r="A511" s="31"/>
      <c r="B511" s="24"/>
      <c r="C511" s="30"/>
      <c r="D511" s="28"/>
      <c r="E511" s="31"/>
      <c r="F511" s="31"/>
      <c r="G511" s="31"/>
      <c r="I511" s="28"/>
      <c r="J511" s="62"/>
      <c r="K511" s="62"/>
      <c r="L511" s="33"/>
      <c r="M511" s="32"/>
      <c r="N511" s="34"/>
      <c r="O511" s="36"/>
      <c r="P511" s="68"/>
      <c r="Q511" s="24"/>
      <c r="R511" s="24"/>
      <c r="S511" s="64"/>
      <c r="V511" s="67"/>
      <c r="X511" s="67"/>
    </row>
    <row r="512" spans="1:24" s="27" customFormat="1">
      <c r="A512" s="31"/>
      <c r="B512" s="24"/>
      <c r="C512" s="30"/>
      <c r="D512" s="28"/>
      <c r="E512" s="31"/>
      <c r="F512" s="31"/>
      <c r="G512" s="31"/>
      <c r="I512" s="28"/>
      <c r="J512" s="62"/>
      <c r="K512" s="62"/>
      <c r="L512" s="33"/>
      <c r="M512" s="32"/>
      <c r="N512" s="34"/>
      <c r="O512" s="36"/>
      <c r="P512" s="68"/>
      <c r="Q512" s="24"/>
      <c r="R512" s="24"/>
      <c r="S512" s="64"/>
      <c r="V512" s="67"/>
      <c r="X512" s="67"/>
    </row>
    <row r="513" spans="1:24" s="27" customFormat="1">
      <c r="A513" s="31"/>
      <c r="B513" s="24"/>
      <c r="C513" s="30"/>
      <c r="D513" s="28"/>
      <c r="E513" s="31"/>
      <c r="F513" s="31"/>
      <c r="G513" s="31"/>
      <c r="I513" s="28"/>
      <c r="J513" s="62"/>
      <c r="K513" s="62"/>
      <c r="L513" s="33"/>
      <c r="M513" s="32"/>
      <c r="N513" s="34"/>
      <c r="O513" s="36"/>
      <c r="P513" s="68"/>
      <c r="Q513" s="24"/>
      <c r="R513" s="24"/>
      <c r="S513" s="64"/>
      <c r="V513" s="67"/>
      <c r="X513" s="67"/>
    </row>
    <row r="514" spans="1:24" s="27" customFormat="1">
      <c r="A514" s="31"/>
      <c r="B514" s="24"/>
      <c r="C514" s="30"/>
      <c r="D514" s="28"/>
      <c r="E514" s="31"/>
      <c r="F514" s="31"/>
      <c r="G514" s="31"/>
      <c r="I514" s="28"/>
      <c r="J514" s="62"/>
      <c r="K514" s="62"/>
      <c r="L514" s="33"/>
      <c r="M514" s="32"/>
      <c r="N514" s="34"/>
      <c r="O514" s="36"/>
      <c r="P514" s="68"/>
      <c r="Q514" s="24"/>
      <c r="R514" s="24"/>
      <c r="S514" s="64"/>
      <c r="V514" s="67"/>
      <c r="X514" s="67"/>
    </row>
    <row r="515" spans="1:24" s="27" customFormat="1">
      <c r="A515" s="31"/>
      <c r="B515" s="24"/>
      <c r="C515" s="30"/>
      <c r="D515" s="28"/>
      <c r="E515" s="31"/>
      <c r="F515" s="31"/>
      <c r="G515" s="31"/>
      <c r="I515" s="28"/>
      <c r="J515" s="62"/>
      <c r="K515" s="62"/>
      <c r="L515" s="33"/>
      <c r="M515" s="32"/>
      <c r="N515" s="34"/>
      <c r="O515" s="36"/>
      <c r="P515" s="68"/>
      <c r="Q515" s="24"/>
      <c r="R515" s="24"/>
      <c r="S515" s="64"/>
      <c r="V515" s="67"/>
      <c r="X515" s="67"/>
    </row>
    <row r="516" spans="1:24" s="27" customFormat="1">
      <c r="A516" s="31"/>
      <c r="B516" s="24"/>
      <c r="C516" s="30"/>
      <c r="D516" s="28"/>
      <c r="E516" s="31"/>
      <c r="F516" s="31"/>
      <c r="G516" s="31"/>
      <c r="I516" s="28"/>
      <c r="J516" s="62"/>
      <c r="K516" s="62"/>
      <c r="L516" s="33"/>
      <c r="M516" s="32"/>
      <c r="N516" s="34"/>
      <c r="O516" s="36"/>
      <c r="P516" s="68"/>
      <c r="Q516" s="24"/>
      <c r="R516" s="24"/>
      <c r="S516" s="64"/>
      <c r="V516" s="67"/>
      <c r="X516" s="67"/>
    </row>
    <row r="517" spans="1:24" s="27" customFormat="1">
      <c r="A517" s="31"/>
      <c r="B517" s="24"/>
      <c r="C517" s="30"/>
      <c r="D517" s="28"/>
      <c r="E517" s="31"/>
      <c r="F517" s="31"/>
      <c r="G517" s="31"/>
      <c r="I517" s="28"/>
      <c r="J517" s="62"/>
      <c r="K517" s="62"/>
      <c r="L517" s="33"/>
      <c r="M517" s="32"/>
      <c r="N517" s="34"/>
      <c r="O517" s="36"/>
      <c r="P517" s="68"/>
      <c r="Q517" s="24"/>
      <c r="R517" s="24"/>
      <c r="S517" s="64"/>
      <c r="V517" s="67"/>
      <c r="X517" s="67"/>
    </row>
    <row r="518" spans="1:24" s="27" customFormat="1">
      <c r="A518" s="31"/>
      <c r="B518" s="24"/>
      <c r="C518" s="30"/>
      <c r="D518" s="28"/>
      <c r="E518" s="31"/>
      <c r="F518" s="31"/>
      <c r="G518" s="31"/>
      <c r="I518" s="28"/>
      <c r="J518" s="62"/>
      <c r="K518" s="62"/>
      <c r="L518" s="33"/>
      <c r="M518" s="32"/>
      <c r="N518" s="34"/>
      <c r="O518" s="36"/>
      <c r="P518" s="68"/>
      <c r="Q518" s="24"/>
      <c r="R518" s="24"/>
      <c r="S518" s="64"/>
      <c r="V518" s="67"/>
      <c r="X518" s="67"/>
    </row>
    <row r="519" spans="1:24" s="27" customFormat="1">
      <c r="A519" s="31"/>
      <c r="B519" s="24"/>
      <c r="C519" s="30"/>
      <c r="D519" s="28"/>
      <c r="E519" s="31"/>
      <c r="F519" s="31"/>
      <c r="G519" s="31"/>
      <c r="I519" s="28"/>
      <c r="J519" s="62"/>
      <c r="K519" s="62"/>
      <c r="L519" s="33"/>
      <c r="M519" s="32"/>
      <c r="N519" s="34"/>
      <c r="O519" s="36"/>
      <c r="P519" s="68"/>
      <c r="Q519" s="24"/>
      <c r="R519" s="24"/>
      <c r="S519" s="64"/>
      <c r="V519" s="67"/>
      <c r="X519" s="67"/>
    </row>
    <row r="520" spans="1:24" s="27" customFormat="1">
      <c r="A520" s="31"/>
      <c r="B520" s="24"/>
      <c r="C520" s="30"/>
      <c r="D520" s="28"/>
      <c r="E520" s="31"/>
      <c r="F520" s="31"/>
      <c r="G520" s="31"/>
      <c r="I520" s="28"/>
      <c r="J520" s="62"/>
      <c r="K520" s="62"/>
      <c r="L520" s="33"/>
      <c r="M520" s="32"/>
      <c r="N520" s="34"/>
      <c r="O520" s="36"/>
      <c r="P520" s="68"/>
      <c r="Q520" s="24"/>
      <c r="R520" s="24"/>
      <c r="S520" s="64"/>
      <c r="V520" s="67"/>
      <c r="X520" s="67"/>
    </row>
    <row r="521" spans="1:24" s="27" customFormat="1">
      <c r="A521" s="31"/>
      <c r="B521" s="24"/>
      <c r="C521" s="30"/>
      <c r="D521" s="28"/>
      <c r="E521" s="31"/>
      <c r="F521" s="31"/>
      <c r="G521" s="31"/>
      <c r="I521" s="28"/>
      <c r="J521" s="62"/>
      <c r="K521" s="62"/>
      <c r="L521" s="33"/>
      <c r="M521" s="32"/>
      <c r="N521" s="34"/>
      <c r="O521" s="36"/>
      <c r="P521" s="68"/>
      <c r="Q521" s="24"/>
      <c r="R521" s="24"/>
      <c r="S521" s="64"/>
      <c r="V521" s="67"/>
      <c r="X521" s="67"/>
    </row>
    <row r="522" spans="1:24" s="27" customFormat="1">
      <c r="A522" s="31"/>
      <c r="B522" s="24"/>
      <c r="C522" s="30"/>
      <c r="D522" s="28"/>
      <c r="E522" s="31"/>
      <c r="F522" s="31"/>
      <c r="G522" s="31"/>
      <c r="I522" s="28"/>
      <c r="J522" s="62"/>
      <c r="K522" s="62"/>
      <c r="L522" s="33"/>
      <c r="M522" s="32"/>
      <c r="N522" s="34"/>
      <c r="O522" s="36"/>
      <c r="P522" s="68"/>
      <c r="Q522" s="24"/>
      <c r="R522" s="24"/>
      <c r="S522" s="64"/>
      <c r="V522" s="67"/>
      <c r="X522" s="67"/>
    </row>
    <row r="523" spans="1:24" s="27" customFormat="1">
      <c r="A523" s="31"/>
      <c r="B523" s="24"/>
      <c r="C523" s="30"/>
      <c r="D523" s="28"/>
      <c r="E523" s="31"/>
      <c r="F523" s="31"/>
      <c r="G523" s="31"/>
      <c r="I523" s="28"/>
      <c r="J523" s="62"/>
      <c r="K523" s="62"/>
      <c r="L523" s="33"/>
      <c r="M523" s="32"/>
      <c r="N523" s="34"/>
      <c r="O523" s="36"/>
      <c r="P523" s="68"/>
      <c r="Q523" s="24"/>
      <c r="R523" s="24"/>
      <c r="S523" s="64"/>
      <c r="V523" s="67"/>
      <c r="X523" s="67"/>
    </row>
    <row r="524" spans="1:24" s="27" customFormat="1">
      <c r="A524" s="31"/>
      <c r="B524" s="24"/>
      <c r="C524" s="30"/>
      <c r="D524" s="28"/>
      <c r="E524" s="31"/>
      <c r="F524" s="31"/>
      <c r="G524" s="31"/>
      <c r="I524" s="28"/>
      <c r="J524" s="62"/>
      <c r="K524" s="62"/>
      <c r="L524" s="33"/>
      <c r="M524" s="32"/>
      <c r="N524" s="34"/>
      <c r="O524" s="36"/>
      <c r="P524" s="68"/>
      <c r="Q524" s="24"/>
      <c r="R524" s="24"/>
      <c r="S524" s="64"/>
      <c r="V524" s="67"/>
      <c r="X524" s="67"/>
    </row>
    <row r="525" spans="1:24" s="27" customFormat="1">
      <c r="A525" s="31"/>
      <c r="B525" s="24"/>
      <c r="C525" s="30"/>
      <c r="D525" s="28"/>
      <c r="E525" s="31"/>
      <c r="F525" s="31"/>
      <c r="G525" s="31"/>
      <c r="I525" s="28"/>
      <c r="J525" s="62"/>
      <c r="K525" s="62"/>
      <c r="L525" s="33"/>
      <c r="M525" s="32"/>
      <c r="N525" s="34"/>
      <c r="O525" s="36"/>
      <c r="P525" s="68"/>
      <c r="Q525" s="24"/>
      <c r="R525" s="24"/>
      <c r="S525" s="64"/>
      <c r="V525" s="67"/>
      <c r="X525" s="67"/>
    </row>
    <row r="526" spans="1:24" s="27" customFormat="1">
      <c r="A526" s="31"/>
      <c r="B526" s="24"/>
      <c r="C526" s="30"/>
      <c r="D526" s="28"/>
      <c r="E526" s="31"/>
      <c r="F526" s="31"/>
      <c r="G526" s="31"/>
      <c r="I526" s="28"/>
      <c r="J526" s="62"/>
      <c r="K526" s="62"/>
      <c r="L526" s="33"/>
      <c r="M526" s="32"/>
      <c r="N526" s="34"/>
      <c r="O526" s="36"/>
      <c r="P526" s="68"/>
      <c r="Q526" s="24"/>
      <c r="R526" s="24"/>
      <c r="S526" s="64"/>
      <c r="V526" s="67"/>
      <c r="X526" s="67"/>
    </row>
    <row r="527" spans="1:24" s="27" customFormat="1">
      <c r="A527" s="31"/>
      <c r="B527" s="24"/>
      <c r="C527" s="30"/>
      <c r="D527" s="28"/>
      <c r="E527" s="31"/>
      <c r="F527" s="31"/>
      <c r="G527" s="31"/>
      <c r="I527" s="28"/>
      <c r="J527" s="62"/>
      <c r="K527" s="62"/>
      <c r="L527" s="33"/>
      <c r="M527" s="32"/>
      <c r="N527" s="34"/>
      <c r="O527" s="36"/>
      <c r="P527" s="68"/>
      <c r="Q527" s="24"/>
      <c r="R527" s="24"/>
      <c r="S527" s="64"/>
      <c r="V527" s="67"/>
      <c r="X527" s="67"/>
    </row>
    <row r="528" spans="1:24" s="27" customFormat="1">
      <c r="A528" s="31"/>
      <c r="B528" s="24"/>
      <c r="C528" s="30"/>
      <c r="D528" s="28"/>
      <c r="E528" s="31"/>
      <c r="F528" s="31"/>
      <c r="G528" s="31"/>
      <c r="I528" s="28"/>
      <c r="J528" s="62"/>
      <c r="K528" s="62"/>
      <c r="L528" s="33"/>
      <c r="M528" s="32"/>
      <c r="N528" s="34"/>
      <c r="O528" s="36"/>
      <c r="P528" s="68"/>
      <c r="Q528" s="24"/>
      <c r="R528" s="24"/>
      <c r="S528" s="64"/>
      <c r="V528" s="67"/>
      <c r="X528" s="67"/>
    </row>
    <row r="529" spans="1:24" s="27" customFormat="1">
      <c r="A529" s="31"/>
      <c r="B529" s="24"/>
      <c r="C529" s="30"/>
      <c r="D529" s="28"/>
      <c r="E529" s="31"/>
      <c r="F529" s="31"/>
      <c r="G529" s="31"/>
      <c r="I529" s="28"/>
      <c r="J529" s="62"/>
      <c r="K529" s="62"/>
      <c r="L529" s="33"/>
      <c r="M529" s="32"/>
      <c r="N529" s="34"/>
      <c r="O529" s="36"/>
      <c r="P529" s="68"/>
      <c r="Q529" s="24"/>
      <c r="R529" s="24"/>
      <c r="S529" s="64"/>
      <c r="V529" s="67"/>
      <c r="X529" s="67"/>
    </row>
    <row r="530" spans="1:24" s="27" customFormat="1">
      <c r="A530" s="31"/>
      <c r="B530" s="24"/>
      <c r="C530" s="30"/>
      <c r="D530" s="28"/>
      <c r="E530" s="31"/>
      <c r="F530" s="31"/>
      <c r="G530" s="31"/>
      <c r="I530" s="28"/>
      <c r="J530" s="62"/>
      <c r="K530" s="62"/>
      <c r="L530" s="33"/>
      <c r="M530" s="32"/>
      <c r="N530" s="34"/>
      <c r="O530" s="36"/>
      <c r="P530" s="68"/>
      <c r="Q530" s="24"/>
      <c r="R530" s="24"/>
      <c r="S530" s="64"/>
      <c r="V530" s="67"/>
      <c r="X530" s="67"/>
    </row>
    <row r="531" spans="1:24" s="27" customFormat="1">
      <c r="A531" s="31"/>
      <c r="B531" s="24"/>
      <c r="C531" s="30"/>
      <c r="D531" s="28"/>
      <c r="E531" s="31"/>
      <c r="F531" s="31"/>
      <c r="G531" s="31"/>
      <c r="I531" s="28"/>
      <c r="J531" s="62"/>
      <c r="K531" s="62"/>
      <c r="L531" s="33"/>
      <c r="M531" s="32"/>
      <c r="N531" s="34"/>
      <c r="O531" s="36"/>
      <c r="P531" s="68"/>
      <c r="Q531" s="24"/>
      <c r="R531" s="24"/>
      <c r="S531" s="64"/>
      <c r="V531" s="67"/>
      <c r="X531" s="67"/>
    </row>
    <row r="532" spans="1:24" s="27" customFormat="1">
      <c r="A532" s="31"/>
      <c r="B532" s="24"/>
      <c r="C532" s="30"/>
      <c r="D532" s="28"/>
      <c r="E532" s="31"/>
      <c r="F532" s="31"/>
      <c r="G532" s="31"/>
      <c r="I532" s="28"/>
      <c r="J532" s="62"/>
      <c r="K532" s="62"/>
      <c r="L532" s="33"/>
      <c r="M532" s="32"/>
      <c r="N532" s="34"/>
      <c r="O532" s="36"/>
      <c r="P532" s="68"/>
      <c r="Q532" s="24"/>
      <c r="R532" s="24"/>
      <c r="S532" s="64"/>
      <c r="V532" s="67"/>
      <c r="X532" s="67"/>
    </row>
    <row r="533" spans="1:24" s="27" customFormat="1">
      <c r="A533" s="31"/>
      <c r="B533" s="24"/>
      <c r="C533" s="30"/>
      <c r="D533" s="28"/>
      <c r="E533" s="31"/>
      <c r="F533" s="31"/>
      <c r="G533" s="31"/>
      <c r="I533" s="28"/>
      <c r="J533" s="62"/>
      <c r="K533" s="62"/>
      <c r="L533" s="33"/>
      <c r="M533" s="32"/>
      <c r="N533" s="34"/>
      <c r="O533" s="36"/>
      <c r="P533" s="68"/>
      <c r="Q533" s="24"/>
      <c r="R533" s="24"/>
      <c r="S533" s="64"/>
      <c r="V533" s="67"/>
      <c r="X533" s="67"/>
    </row>
    <row r="534" spans="1:24" s="27" customFormat="1">
      <c r="A534" s="31"/>
      <c r="B534" s="24"/>
      <c r="C534" s="30"/>
      <c r="D534" s="28"/>
      <c r="E534" s="31"/>
      <c r="F534" s="31"/>
      <c r="G534" s="31"/>
      <c r="I534" s="28"/>
      <c r="J534" s="62"/>
      <c r="K534" s="62"/>
      <c r="L534" s="33"/>
      <c r="M534" s="32"/>
      <c r="N534" s="34"/>
      <c r="O534" s="36"/>
      <c r="P534" s="68"/>
      <c r="Q534" s="24"/>
      <c r="R534" s="24"/>
      <c r="S534" s="64"/>
      <c r="V534" s="67"/>
      <c r="X534" s="67"/>
    </row>
    <row r="535" spans="1:24" s="27" customFormat="1">
      <c r="A535" s="31"/>
      <c r="B535" s="24"/>
      <c r="C535" s="30"/>
      <c r="D535" s="28"/>
      <c r="E535" s="31"/>
      <c r="F535" s="31"/>
      <c r="G535" s="31"/>
      <c r="I535" s="28"/>
      <c r="J535" s="62"/>
      <c r="K535" s="62"/>
      <c r="L535" s="33"/>
      <c r="M535" s="32"/>
      <c r="N535" s="34"/>
      <c r="O535" s="36"/>
      <c r="P535" s="68"/>
      <c r="Q535" s="24"/>
      <c r="R535" s="24"/>
      <c r="S535" s="64"/>
      <c r="V535" s="67"/>
      <c r="X535" s="67"/>
    </row>
    <row r="536" spans="1:24" s="27" customFormat="1">
      <c r="A536" s="31"/>
      <c r="B536" s="24"/>
      <c r="C536" s="30"/>
      <c r="D536" s="28"/>
      <c r="E536" s="31"/>
      <c r="F536" s="31"/>
      <c r="G536" s="31"/>
      <c r="I536" s="28"/>
      <c r="J536" s="62"/>
      <c r="K536" s="62"/>
      <c r="L536" s="33"/>
      <c r="M536" s="32"/>
      <c r="N536" s="34"/>
      <c r="O536" s="36"/>
      <c r="P536" s="68"/>
      <c r="Q536" s="24"/>
      <c r="R536" s="24"/>
      <c r="S536" s="64"/>
      <c r="V536" s="67"/>
      <c r="X536" s="67"/>
    </row>
    <row r="537" spans="1:24" s="27" customFormat="1">
      <c r="A537" s="31"/>
      <c r="B537" s="24"/>
      <c r="C537" s="30"/>
      <c r="D537" s="28"/>
      <c r="E537" s="31"/>
      <c r="F537" s="31"/>
      <c r="G537" s="31"/>
      <c r="I537" s="28"/>
      <c r="J537" s="62"/>
      <c r="K537" s="62"/>
      <c r="L537" s="33"/>
      <c r="M537" s="32"/>
      <c r="N537" s="34"/>
      <c r="O537" s="36"/>
      <c r="P537" s="68"/>
      <c r="Q537" s="24"/>
      <c r="R537" s="24"/>
      <c r="S537" s="64"/>
      <c r="V537" s="67"/>
      <c r="X537" s="67"/>
    </row>
    <row r="538" spans="1:24" s="27" customFormat="1">
      <c r="A538" s="31"/>
      <c r="B538" s="24"/>
      <c r="C538" s="30"/>
      <c r="D538" s="28"/>
      <c r="E538" s="31"/>
      <c r="F538" s="31"/>
      <c r="G538" s="31"/>
      <c r="I538" s="28"/>
      <c r="J538" s="62"/>
      <c r="K538" s="62"/>
      <c r="L538" s="33"/>
      <c r="M538" s="32"/>
      <c r="N538" s="34"/>
      <c r="O538" s="36"/>
      <c r="P538" s="68"/>
      <c r="Q538" s="24"/>
      <c r="R538" s="24"/>
      <c r="S538" s="64"/>
      <c r="V538" s="67"/>
      <c r="X538" s="67"/>
    </row>
    <row r="539" spans="1:24" s="27" customFormat="1">
      <c r="A539" s="31"/>
      <c r="B539" s="24"/>
      <c r="C539" s="30"/>
      <c r="D539" s="28"/>
      <c r="E539" s="31"/>
      <c r="F539" s="31"/>
      <c r="G539" s="31"/>
      <c r="I539" s="28"/>
      <c r="J539" s="62"/>
      <c r="K539" s="62"/>
      <c r="L539" s="33"/>
      <c r="M539" s="32"/>
      <c r="N539" s="34"/>
      <c r="O539" s="36"/>
      <c r="P539" s="68"/>
      <c r="Q539" s="24"/>
      <c r="R539" s="24"/>
      <c r="S539" s="64"/>
      <c r="V539" s="67"/>
      <c r="X539" s="67"/>
    </row>
    <row r="540" spans="1:24" s="27" customFormat="1">
      <c r="A540" s="31"/>
      <c r="B540" s="24"/>
      <c r="C540" s="30"/>
      <c r="D540" s="28"/>
      <c r="E540" s="31"/>
      <c r="F540" s="31"/>
      <c r="G540" s="31"/>
      <c r="I540" s="28"/>
      <c r="J540" s="62"/>
      <c r="K540" s="62"/>
      <c r="L540" s="33"/>
      <c r="M540" s="32"/>
      <c r="N540" s="34"/>
      <c r="O540" s="36"/>
      <c r="P540" s="68"/>
      <c r="Q540" s="24"/>
      <c r="R540" s="24"/>
      <c r="S540" s="64"/>
      <c r="V540" s="67"/>
      <c r="X540" s="67"/>
    </row>
    <row r="541" spans="1:24" s="27" customFormat="1">
      <c r="A541" s="31"/>
      <c r="B541" s="24"/>
      <c r="C541" s="30"/>
      <c r="D541" s="28"/>
      <c r="E541" s="31"/>
      <c r="F541" s="31"/>
      <c r="G541" s="31"/>
      <c r="I541" s="28"/>
      <c r="J541" s="62"/>
      <c r="K541" s="62"/>
      <c r="L541" s="33"/>
      <c r="M541" s="32"/>
      <c r="N541" s="34"/>
      <c r="O541" s="36"/>
      <c r="P541" s="68"/>
      <c r="Q541" s="24"/>
      <c r="R541" s="24"/>
      <c r="S541" s="64"/>
      <c r="V541" s="67"/>
      <c r="X541" s="67"/>
    </row>
    <row r="542" spans="1:24" s="27" customFormat="1">
      <c r="A542" s="31"/>
      <c r="B542" s="24"/>
      <c r="C542" s="30"/>
      <c r="D542" s="28"/>
      <c r="E542" s="31"/>
      <c r="F542" s="31"/>
      <c r="G542" s="31"/>
      <c r="I542" s="28"/>
      <c r="J542" s="62"/>
      <c r="K542" s="62"/>
      <c r="L542" s="33"/>
      <c r="M542" s="32"/>
      <c r="N542" s="34"/>
      <c r="O542" s="36"/>
      <c r="P542" s="68"/>
      <c r="Q542" s="24"/>
      <c r="R542" s="24"/>
      <c r="S542" s="64"/>
      <c r="V542" s="67"/>
      <c r="X542" s="67"/>
    </row>
    <row r="543" spans="1:24" s="27" customFormat="1">
      <c r="A543" s="31"/>
      <c r="B543" s="24"/>
      <c r="C543" s="30"/>
      <c r="D543" s="28"/>
      <c r="E543" s="31"/>
      <c r="F543" s="31"/>
      <c r="G543" s="31"/>
      <c r="I543" s="28"/>
      <c r="J543" s="62"/>
      <c r="K543" s="62"/>
      <c r="L543" s="33"/>
      <c r="M543" s="32"/>
      <c r="N543" s="34"/>
      <c r="O543" s="36"/>
      <c r="P543" s="68"/>
      <c r="Q543" s="24"/>
      <c r="R543" s="24"/>
      <c r="S543" s="64"/>
      <c r="V543" s="67"/>
      <c r="X543" s="67"/>
    </row>
    <row r="544" spans="1:24" s="27" customFormat="1">
      <c r="A544" s="31"/>
      <c r="B544" s="24"/>
      <c r="C544" s="30"/>
      <c r="D544" s="28"/>
      <c r="E544" s="31"/>
      <c r="F544" s="31"/>
      <c r="G544" s="31"/>
      <c r="I544" s="28"/>
      <c r="J544" s="62"/>
      <c r="K544" s="62"/>
      <c r="L544" s="33"/>
      <c r="M544" s="32"/>
      <c r="N544" s="34"/>
      <c r="O544" s="36"/>
      <c r="P544" s="68"/>
      <c r="Q544" s="24"/>
      <c r="R544" s="24"/>
      <c r="S544" s="64"/>
      <c r="V544" s="67"/>
      <c r="X544" s="67"/>
    </row>
    <row r="545" spans="1:24" s="27" customFormat="1">
      <c r="A545" s="31"/>
      <c r="B545" s="24"/>
      <c r="C545" s="30"/>
      <c r="D545" s="28"/>
      <c r="E545" s="31"/>
      <c r="F545" s="31"/>
      <c r="G545" s="31"/>
      <c r="I545" s="28"/>
      <c r="J545" s="62"/>
      <c r="K545" s="62"/>
      <c r="L545" s="33"/>
      <c r="M545" s="32"/>
      <c r="N545" s="34"/>
      <c r="O545" s="36"/>
      <c r="P545" s="68"/>
      <c r="Q545" s="24"/>
      <c r="R545" s="24"/>
      <c r="S545" s="64"/>
      <c r="V545" s="67"/>
      <c r="X545" s="67"/>
    </row>
    <row r="546" spans="1:24" s="27" customFormat="1">
      <c r="A546" s="31"/>
      <c r="B546" s="24"/>
      <c r="C546" s="30"/>
      <c r="D546" s="28"/>
      <c r="E546" s="31"/>
      <c r="F546" s="31"/>
      <c r="G546" s="31"/>
      <c r="I546" s="28"/>
      <c r="J546" s="62"/>
      <c r="K546" s="62"/>
      <c r="L546" s="33"/>
      <c r="M546" s="32"/>
      <c r="N546" s="34"/>
      <c r="O546" s="36"/>
      <c r="P546" s="68"/>
      <c r="Q546" s="24"/>
      <c r="R546" s="24"/>
      <c r="S546" s="64"/>
      <c r="V546" s="67"/>
      <c r="X546" s="67"/>
    </row>
    <row r="547" spans="1:24" s="27" customFormat="1">
      <c r="A547" s="31"/>
      <c r="B547" s="24"/>
      <c r="C547" s="30"/>
      <c r="D547" s="28"/>
      <c r="E547" s="31"/>
      <c r="F547" s="31"/>
      <c r="G547" s="31"/>
      <c r="I547" s="28"/>
      <c r="J547" s="62"/>
      <c r="K547" s="62"/>
      <c r="L547" s="33"/>
      <c r="M547" s="32"/>
      <c r="N547" s="34"/>
      <c r="O547" s="36"/>
      <c r="P547" s="68"/>
      <c r="Q547" s="24"/>
      <c r="R547" s="24"/>
      <c r="S547" s="64"/>
      <c r="V547" s="67"/>
      <c r="X547" s="67"/>
    </row>
    <row r="548" spans="1:24" s="27" customFormat="1">
      <c r="A548" s="31"/>
      <c r="B548" s="24"/>
      <c r="C548" s="30"/>
      <c r="D548" s="28"/>
      <c r="E548" s="31"/>
      <c r="F548" s="31"/>
      <c r="G548" s="31"/>
      <c r="I548" s="28"/>
      <c r="J548" s="62"/>
      <c r="K548" s="62"/>
      <c r="L548" s="33"/>
      <c r="M548" s="32"/>
      <c r="N548" s="34"/>
      <c r="O548" s="36"/>
      <c r="P548" s="68"/>
      <c r="Q548" s="24"/>
      <c r="R548" s="24"/>
      <c r="S548" s="64"/>
      <c r="V548" s="67"/>
      <c r="X548" s="67"/>
    </row>
    <row r="549" spans="1:24" s="27" customFormat="1">
      <c r="A549" s="31"/>
      <c r="B549" s="24"/>
      <c r="C549" s="30"/>
      <c r="D549" s="28"/>
      <c r="E549" s="31"/>
      <c r="F549" s="31"/>
      <c r="G549" s="31"/>
      <c r="I549" s="28"/>
      <c r="J549" s="62"/>
      <c r="K549" s="62"/>
      <c r="L549" s="33"/>
      <c r="M549" s="32"/>
      <c r="N549" s="34"/>
      <c r="O549" s="36"/>
      <c r="P549" s="68"/>
      <c r="Q549" s="24"/>
      <c r="R549" s="24"/>
      <c r="S549" s="64"/>
      <c r="V549" s="67"/>
      <c r="X549" s="67"/>
    </row>
    <row r="550" spans="1:24" s="27" customFormat="1">
      <c r="A550" s="31"/>
      <c r="B550" s="24"/>
      <c r="C550" s="30"/>
      <c r="D550" s="28"/>
      <c r="E550" s="31"/>
      <c r="F550" s="31"/>
      <c r="G550" s="31"/>
      <c r="I550" s="28"/>
      <c r="J550" s="62"/>
      <c r="K550" s="62"/>
      <c r="L550" s="33"/>
      <c r="M550" s="32"/>
      <c r="N550" s="34"/>
      <c r="O550" s="36"/>
      <c r="P550" s="68"/>
      <c r="Q550" s="24"/>
      <c r="R550" s="24"/>
      <c r="S550" s="64"/>
      <c r="V550" s="67"/>
      <c r="X550" s="67"/>
    </row>
    <row r="551" spans="1:24" s="27" customFormat="1">
      <c r="A551" s="31"/>
      <c r="B551" s="24"/>
      <c r="C551" s="30"/>
      <c r="D551" s="28"/>
      <c r="E551" s="31"/>
      <c r="F551" s="31"/>
      <c r="G551" s="31"/>
      <c r="I551" s="28"/>
      <c r="J551" s="62"/>
      <c r="K551" s="62"/>
      <c r="L551" s="33"/>
      <c r="M551" s="32"/>
      <c r="N551" s="34"/>
      <c r="O551" s="36"/>
      <c r="P551" s="68"/>
      <c r="Q551" s="24"/>
      <c r="R551" s="24"/>
      <c r="S551" s="64"/>
      <c r="V551" s="67"/>
      <c r="X551" s="67"/>
    </row>
    <row r="552" spans="1:24" s="27" customFormat="1">
      <c r="A552" s="31"/>
      <c r="B552" s="24"/>
      <c r="C552" s="30"/>
      <c r="D552" s="28"/>
      <c r="E552" s="31"/>
      <c r="F552" s="31"/>
      <c r="G552" s="31"/>
      <c r="I552" s="28"/>
      <c r="J552" s="62"/>
      <c r="K552" s="62"/>
      <c r="L552" s="33"/>
      <c r="M552" s="32"/>
      <c r="N552" s="34"/>
      <c r="O552" s="36"/>
      <c r="P552" s="68"/>
      <c r="Q552" s="24"/>
      <c r="R552" s="24"/>
      <c r="S552" s="64"/>
      <c r="V552" s="67"/>
      <c r="X552" s="67"/>
    </row>
    <row r="553" spans="1:24" s="27" customFormat="1">
      <c r="A553" s="31"/>
      <c r="B553" s="24"/>
      <c r="C553" s="30"/>
      <c r="D553" s="28"/>
      <c r="E553" s="31"/>
      <c r="F553" s="31"/>
      <c r="G553" s="31"/>
      <c r="I553" s="28"/>
      <c r="J553" s="62"/>
      <c r="K553" s="62"/>
      <c r="L553" s="33"/>
      <c r="M553" s="32"/>
      <c r="N553" s="34"/>
      <c r="O553" s="36"/>
      <c r="P553" s="68"/>
      <c r="Q553" s="24"/>
      <c r="R553" s="24"/>
      <c r="S553" s="64"/>
      <c r="V553" s="67"/>
      <c r="X553" s="67"/>
    </row>
    <row r="554" spans="1:24" s="27" customFormat="1">
      <c r="A554" s="31"/>
      <c r="B554" s="24"/>
      <c r="C554" s="30"/>
      <c r="D554" s="28"/>
      <c r="E554" s="31"/>
      <c r="F554" s="31"/>
      <c r="G554" s="31"/>
      <c r="I554" s="28"/>
      <c r="J554" s="62"/>
      <c r="K554" s="62"/>
      <c r="L554" s="33"/>
      <c r="M554" s="32"/>
      <c r="N554" s="34"/>
      <c r="O554" s="36"/>
      <c r="P554" s="68"/>
      <c r="Q554" s="24"/>
      <c r="R554" s="24"/>
      <c r="S554" s="64"/>
      <c r="V554" s="67"/>
      <c r="X554" s="67"/>
    </row>
    <row r="555" spans="1:24" s="27" customFormat="1">
      <c r="A555" s="31"/>
      <c r="B555" s="24"/>
      <c r="C555" s="30"/>
      <c r="D555" s="28"/>
      <c r="E555" s="31"/>
      <c r="F555" s="31"/>
      <c r="G555" s="31"/>
      <c r="I555" s="28"/>
      <c r="J555" s="62"/>
      <c r="K555" s="62"/>
      <c r="L555" s="33"/>
      <c r="M555" s="32"/>
      <c r="N555" s="34"/>
      <c r="O555" s="36"/>
      <c r="P555" s="68"/>
      <c r="Q555" s="24"/>
      <c r="R555" s="24"/>
      <c r="S555" s="64"/>
      <c r="V555" s="67"/>
      <c r="X555" s="67"/>
    </row>
    <row r="556" spans="1:24" s="27" customFormat="1">
      <c r="A556" s="31"/>
      <c r="B556" s="24"/>
      <c r="C556" s="30"/>
      <c r="D556" s="28"/>
      <c r="E556" s="31"/>
      <c r="F556" s="31"/>
      <c r="G556" s="31"/>
      <c r="I556" s="28"/>
      <c r="J556" s="62"/>
      <c r="K556" s="62"/>
      <c r="L556" s="33"/>
      <c r="M556" s="32"/>
      <c r="N556" s="34"/>
      <c r="O556" s="36"/>
      <c r="P556" s="68"/>
      <c r="Q556" s="24"/>
      <c r="R556" s="24"/>
      <c r="S556" s="64"/>
      <c r="V556" s="67"/>
      <c r="X556" s="67"/>
    </row>
    <row r="557" spans="1:24" s="27" customFormat="1">
      <c r="A557" s="31"/>
      <c r="B557" s="24"/>
      <c r="C557" s="30"/>
      <c r="D557" s="28"/>
      <c r="E557" s="31"/>
      <c r="F557" s="31"/>
      <c r="G557" s="31"/>
      <c r="I557" s="28"/>
      <c r="J557" s="62"/>
      <c r="K557" s="62"/>
      <c r="L557" s="33"/>
      <c r="M557" s="32"/>
      <c r="N557" s="34"/>
      <c r="O557" s="36"/>
      <c r="P557" s="68"/>
      <c r="Q557" s="24"/>
      <c r="R557" s="24"/>
      <c r="S557" s="64"/>
      <c r="V557" s="67"/>
      <c r="X557" s="67"/>
    </row>
    <row r="558" spans="1:24" s="27" customFormat="1">
      <c r="A558" s="31"/>
      <c r="B558" s="24"/>
      <c r="C558" s="30"/>
      <c r="D558" s="28"/>
      <c r="E558" s="31"/>
      <c r="F558" s="31"/>
      <c r="G558" s="31"/>
      <c r="I558" s="28"/>
      <c r="J558" s="62"/>
      <c r="K558" s="62"/>
      <c r="L558" s="33"/>
      <c r="M558" s="32"/>
      <c r="N558" s="34"/>
      <c r="O558" s="36"/>
      <c r="P558" s="68"/>
      <c r="Q558" s="24"/>
      <c r="R558" s="24"/>
      <c r="S558" s="64"/>
      <c r="V558" s="67"/>
      <c r="X558" s="67"/>
    </row>
    <row r="559" spans="1:24" s="27" customFormat="1">
      <c r="A559" s="31"/>
      <c r="B559" s="24"/>
      <c r="C559" s="30"/>
      <c r="D559" s="28"/>
      <c r="E559" s="31"/>
      <c r="F559" s="31"/>
      <c r="G559" s="31"/>
      <c r="I559" s="28"/>
      <c r="J559" s="62"/>
      <c r="K559" s="62"/>
      <c r="L559" s="33"/>
      <c r="M559" s="32"/>
      <c r="N559" s="34"/>
      <c r="O559" s="36"/>
      <c r="P559" s="68"/>
      <c r="Q559" s="24"/>
      <c r="R559" s="24"/>
      <c r="S559" s="64"/>
      <c r="V559" s="67"/>
      <c r="X559" s="67"/>
    </row>
    <row r="560" spans="1:24" s="27" customFormat="1">
      <c r="A560" s="31"/>
      <c r="B560" s="24"/>
      <c r="C560" s="30"/>
      <c r="D560" s="28"/>
      <c r="E560" s="31"/>
      <c r="F560" s="31"/>
      <c r="G560" s="31"/>
      <c r="I560" s="28"/>
      <c r="J560" s="62"/>
      <c r="K560" s="62"/>
      <c r="L560" s="33"/>
      <c r="M560" s="32"/>
      <c r="N560" s="34"/>
      <c r="O560" s="36"/>
      <c r="P560" s="68"/>
      <c r="Q560" s="24"/>
      <c r="R560" s="24"/>
      <c r="S560" s="64"/>
      <c r="V560" s="67"/>
      <c r="X560" s="67"/>
    </row>
    <row r="561" spans="1:24" s="27" customFormat="1">
      <c r="A561" s="31"/>
      <c r="B561" s="24"/>
      <c r="C561" s="30"/>
      <c r="D561" s="28"/>
      <c r="E561" s="31"/>
      <c r="F561" s="31"/>
      <c r="G561" s="31"/>
      <c r="I561" s="28"/>
      <c r="J561" s="62"/>
      <c r="K561" s="62"/>
      <c r="L561" s="33"/>
      <c r="M561" s="32"/>
      <c r="N561" s="34"/>
      <c r="O561" s="36"/>
      <c r="P561" s="68"/>
      <c r="Q561" s="24"/>
      <c r="R561" s="24"/>
      <c r="S561" s="64"/>
      <c r="V561" s="67"/>
      <c r="X561" s="67"/>
    </row>
    <row r="562" spans="1:24" s="27" customFormat="1">
      <c r="A562" s="31"/>
      <c r="B562" s="24"/>
      <c r="C562" s="30"/>
      <c r="D562" s="28"/>
      <c r="E562" s="31"/>
      <c r="F562" s="31"/>
      <c r="G562" s="31"/>
      <c r="I562" s="28"/>
      <c r="J562" s="62"/>
      <c r="K562" s="62"/>
      <c r="L562" s="33"/>
      <c r="M562" s="32"/>
      <c r="N562" s="34"/>
      <c r="O562" s="36"/>
      <c r="P562" s="68"/>
      <c r="Q562" s="24"/>
      <c r="R562" s="24"/>
      <c r="S562" s="64"/>
      <c r="V562" s="67"/>
      <c r="X562" s="67"/>
    </row>
    <row r="563" spans="1:24" s="27" customFormat="1">
      <c r="A563" s="31"/>
      <c r="B563" s="24"/>
      <c r="C563" s="30"/>
      <c r="D563" s="28"/>
      <c r="E563" s="31"/>
      <c r="F563" s="31"/>
      <c r="G563" s="31"/>
      <c r="I563" s="28"/>
      <c r="J563" s="62"/>
      <c r="K563" s="62"/>
      <c r="L563" s="33"/>
      <c r="M563" s="32"/>
      <c r="N563" s="34"/>
      <c r="O563" s="36"/>
      <c r="P563" s="68"/>
      <c r="Q563" s="24"/>
      <c r="R563" s="24"/>
      <c r="S563" s="64"/>
      <c r="V563" s="67"/>
      <c r="X563" s="67"/>
    </row>
    <row r="564" spans="1:24" s="27" customFormat="1">
      <c r="A564" s="31"/>
      <c r="B564" s="24"/>
      <c r="C564" s="30"/>
      <c r="D564" s="28"/>
      <c r="E564" s="31"/>
      <c r="F564" s="31"/>
      <c r="G564" s="31"/>
      <c r="I564" s="28"/>
      <c r="J564" s="62"/>
      <c r="K564" s="62"/>
      <c r="L564" s="33"/>
      <c r="M564" s="32"/>
      <c r="N564" s="34"/>
      <c r="O564" s="36"/>
      <c r="P564" s="68"/>
      <c r="Q564" s="24"/>
      <c r="R564" s="24"/>
      <c r="S564" s="64"/>
      <c r="V564" s="67"/>
      <c r="X564" s="67"/>
    </row>
    <row r="565" spans="1:24" s="27" customFormat="1">
      <c r="A565" s="31"/>
      <c r="B565" s="24"/>
      <c r="C565" s="30"/>
      <c r="D565" s="28"/>
      <c r="E565" s="31"/>
      <c r="F565" s="31"/>
      <c r="G565" s="31"/>
      <c r="I565" s="28"/>
      <c r="J565" s="62"/>
      <c r="K565" s="62"/>
      <c r="L565" s="33"/>
      <c r="M565" s="32"/>
      <c r="N565" s="34"/>
      <c r="O565" s="36"/>
      <c r="P565" s="68"/>
      <c r="Q565" s="24"/>
      <c r="R565" s="24"/>
      <c r="S565" s="64"/>
      <c r="V565" s="67"/>
      <c r="X565" s="67"/>
    </row>
    <row r="566" spans="1:24" s="27" customFormat="1">
      <c r="A566" s="31"/>
      <c r="B566" s="24"/>
      <c r="C566" s="30"/>
      <c r="D566" s="28"/>
      <c r="E566" s="31"/>
      <c r="F566" s="31"/>
      <c r="G566" s="31"/>
      <c r="I566" s="28"/>
      <c r="J566" s="62"/>
      <c r="K566" s="62"/>
      <c r="L566" s="33"/>
      <c r="M566" s="32"/>
      <c r="N566" s="34"/>
      <c r="O566" s="36"/>
      <c r="P566" s="68"/>
      <c r="Q566" s="24"/>
      <c r="R566" s="24"/>
      <c r="S566" s="64"/>
      <c r="V566" s="67"/>
      <c r="X566" s="67"/>
    </row>
    <row r="567" spans="1:24" s="27" customFormat="1">
      <c r="A567" s="31"/>
      <c r="B567" s="24"/>
      <c r="C567" s="30"/>
      <c r="D567" s="28"/>
      <c r="E567" s="31"/>
      <c r="F567" s="31"/>
      <c r="G567" s="31"/>
      <c r="I567" s="28"/>
      <c r="J567" s="62"/>
      <c r="K567" s="62"/>
      <c r="L567" s="33"/>
      <c r="M567" s="32"/>
      <c r="N567" s="34"/>
      <c r="O567" s="36"/>
      <c r="P567" s="68"/>
      <c r="Q567" s="24"/>
      <c r="R567" s="24"/>
      <c r="S567" s="64"/>
      <c r="V567" s="67"/>
      <c r="X567" s="67"/>
    </row>
    <row r="568" spans="1:24" s="27" customFormat="1">
      <c r="A568" s="31"/>
      <c r="B568" s="24"/>
      <c r="C568" s="30"/>
      <c r="D568" s="28"/>
      <c r="E568" s="31"/>
      <c r="F568" s="31"/>
      <c r="G568" s="31"/>
      <c r="I568" s="28"/>
      <c r="J568" s="62"/>
      <c r="K568" s="62"/>
      <c r="L568" s="33"/>
      <c r="M568" s="32"/>
      <c r="N568" s="34"/>
      <c r="O568" s="36"/>
      <c r="P568" s="68"/>
      <c r="Q568" s="24"/>
      <c r="R568" s="24"/>
      <c r="S568" s="64"/>
      <c r="V568" s="67"/>
      <c r="X568" s="67"/>
    </row>
    <row r="569" spans="1:24" s="27" customFormat="1">
      <c r="A569" s="31"/>
      <c r="B569" s="24"/>
      <c r="C569" s="30"/>
      <c r="D569" s="28"/>
      <c r="E569" s="31"/>
      <c r="F569" s="31"/>
      <c r="G569" s="31"/>
      <c r="I569" s="28"/>
      <c r="J569" s="62"/>
      <c r="K569" s="62"/>
      <c r="L569" s="33"/>
      <c r="M569" s="32"/>
      <c r="N569" s="34"/>
      <c r="O569" s="36"/>
      <c r="P569" s="68"/>
      <c r="Q569" s="24"/>
      <c r="R569" s="24"/>
      <c r="S569" s="64"/>
      <c r="V569" s="67"/>
      <c r="X569" s="67"/>
    </row>
    <row r="570" spans="1:24" s="27" customFormat="1">
      <c r="A570" s="31"/>
      <c r="B570" s="24"/>
      <c r="C570" s="30"/>
      <c r="D570" s="28"/>
      <c r="E570" s="31"/>
      <c r="F570" s="31"/>
      <c r="G570" s="31"/>
      <c r="I570" s="28"/>
      <c r="J570" s="62"/>
      <c r="K570" s="62"/>
      <c r="L570" s="33"/>
      <c r="M570" s="32"/>
      <c r="N570" s="34"/>
      <c r="O570" s="36"/>
      <c r="P570" s="68"/>
      <c r="Q570" s="24"/>
      <c r="R570" s="24"/>
      <c r="S570" s="64"/>
      <c r="V570" s="67"/>
      <c r="X570" s="67"/>
    </row>
    <row r="571" spans="1:24" s="27" customFormat="1">
      <c r="A571" s="31"/>
      <c r="B571" s="24"/>
      <c r="C571" s="30"/>
      <c r="D571" s="28"/>
      <c r="E571" s="31"/>
      <c r="F571" s="31"/>
      <c r="G571" s="31"/>
      <c r="I571" s="28"/>
      <c r="J571" s="62"/>
      <c r="K571" s="62"/>
      <c r="L571" s="33"/>
      <c r="M571" s="32"/>
      <c r="N571" s="34"/>
      <c r="O571" s="36"/>
      <c r="P571" s="68"/>
      <c r="Q571" s="24"/>
      <c r="R571" s="24"/>
      <c r="S571" s="64"/>
      <c r="V571" s="67"/>
      <c r="X571" s="67"/>
    </row>
    <row r="572" spans="1:24" s="27" customFormat="1">
      <c r="A572" s="31"/>
      <c r="B572" s="24"/>
      <c r="C572" s="30"/>
      <c r="D572" s="28"/>
      <c r="E572" s="31"/>
      <c r="F572" s="31"/>
      <c r="G572" s="31"/>
      <c r="I572" s="28"/>
      <c r="J572" s="62"/>
      <c r="K572" s="62"/>
      <c r="L572" s="33"/>
      <c r="M572" s="32"/>
      <c r="N572" s="34"/>
      <c r="O572" s="36"/>
      <c r="P572" s="68"/>
      <c r="Q572" s="24"/>
      <c r="R572" s="24"/>
      <c r="S572" s="64"/>
      <c r="V572" s="67"/>
      <c r="X572" s="67"/>
    </row>
    <row r="573" spans="1:24" s="27" customFormat="1">
      <c r="A573" s="31"/>
      <c r="B573" s="24"/>
      <c r="C573" s="30"/>
      <c r="D573" s="28"/>
      <c r="E573" s="31"/>
      <c r="F573" s="31"/>
      <c r="G573" s="31"/>
      <c r="I573" s="28"/>
      <c r="J573" s="62"/>
      <c r="K573" s="62"/>
      <c r="L573" s="33"/>
      <c r="M573" s="32"/>
      <c r="N573" s="34"/>
      <c r="O573" s="36"/>
      <c r="P573" s="68"/>
      <c r="Q573" s="24"/>
      <c r="R573" s="24"/>
      <c r="S573" s="64"/>
      <c r="V573" s="67"/>
      <c r="X573" s="67"/>
    </row>
    <row r="574" spans="1:24" s="27" customFormat="1">
      <c r="A574" s="31"/>
      <c r="B574" s="24"/>
      <c r="C574" s="30"/>
      <c r="D574" s="28"/>
      <c r="E574" s="31"/>
      <c r="F574" s="31"/>
      <c r="G574" s="31"/>
      <c r="I574" s="28"/>
      <c r="J574" s="62"/>
      <c r="K574" s="62"/>
      <c r="L574" s="33"/>
      <c r="M574" s="32"/>
      <c r="N574" s="34"/>
      <c r="O574" s="36"/>
      <c r="P574" s="68"/>
      <c r="Q574" s="24"/>
      <c r="R574" s="24"/>
      <c r="S574" s="64"/>
      <c r="V574" s="67"/>
      <c r="X574" s="67"/>
    </row>
    <row r="575" spans="1:24" s="27" customFormat="1">
      <c r="A575" s="31"/>
      <c r="B575" s="24"/>
      <c r="C575" s="30"/>
      <c r="D575" s="28"/>
      <c r="E575" s="31"/>
      <c r="F575" s="31"/>
      <c r="G575" s="31"/>
      <c r="I575" s="28"/>
      <c r="J575" s="62"/>
      <c r="K575" s="62"/>
      <c r="L575" s="33"/>
      <c r="M575" s="32"/>
      <c r="N575" s="34"/>
      <c r="O575" s="36"/>
      <c r="P575" s="68"/>
      <c r="Q575" s="24"/>
      <c r="R575" s="24"/>
      <c r="S575" s="64"/>
      <c r="V575" s="67"/>
      <c r="X575" s="67"/>
    </row>
    <row r="576" spans="1:24" s="27" customFormat="1">
      <c r="A576" s="31"/>
      <c r="B576" s="24"/>
      <c r="C576" s="30"/>
      <c r="D576" s="28"/>
      <c r="E576" s="31"/>
      <c r="F576" s="31"/>
      <c r="G576" s="31"/>
      <c r="I576" s="28"/>
      <c r="J576" s="62"/>
      <c r="K576" s="62"/>
      <c r="L576" s="33"/>
      <c r="M576" s="32"/>
      <c r="N576" s="34"/>
      <c r="O576" s="36"/>
      <c r="P576" s="68"/>
      <c r="Q576" s="24"/>
      <c r="R576" s="24"/>
      <c r="S576" s="64"/>
      <c r="V576" s="67"/>
      <c r="X576" s="67"/>
    </row>
    <row r="577" spans="1:24" s="27" customFormat="1">
      <c r="A577" s="31"/>
      <c r="B577" s="24"/>
      <c r="C577" s="30"/>
      <c r="D577" s="28"/>
      <c r="E577" s="31"/>
      <c r="F577" s="31"/>
      <c r="G577" s="31"/>
      <c r="I577" s="28"/>
      <c r="J577" s="62"/>
      <c r="K577" s="62"/>
      <c r="L577" s="33"/>
      <c r="M577" s="32"/>
      <c r="N577" s="34"/>
      <c r="O577" s="36"/>
      <c r="P577" s="68"/>
      <c r="Q577" s="24"/>
      <c r="R577" s="24"/>
      <c r="S577" s="64"/>
      <c r="V577" s="67"/>
      <c r="X577" s="67"/>
    </row>
    <row r="578" spans="1:24" s="27" customFormat="1">
      <c r="A578" s="31"/>
      <c r="B578" s="24"/>
      <c r="C578" s="30"/>
      <c r="D578" s="28"/>
      <c r="E578" s="31"/>
      <c r="F578" s="31"/>
      <c r="G578" s="31"/>
      <c r="I578" s="28"/>
      <c r="J578" s="62"/>
      <c r="K578" s="62"/>
      <c r="L578" s="33"/>
      <c r="M578" s="32"/>
      <c r="N578" s="34"/>
      <c r="O578" s="36"/>
      <c r="P578" s="68"/>
      <c r="Q578" s="24"/>
      <c r="R578" s="24"/>
      <c r="S578" s="64"/>
      <c r="V578" s="67"/>
      <c r="X578" s="67"/>
    </row>
    <row r="579" spans="1:24" s="27" customFormat="1">
      <c r="A579" s="31"/>
      <c r="B579" s="24"/>
      <c r="C579" s="30"/>
      <c r="D579" s="28"/>
      <c r="E579" s="31"/>
      <c r="F579" s="31"/>
      <c r="G579" s="31"/>
      <c r="I579" s="28"/>
      <c r="J579" s="62"/>
      <c r="K579" s="62"/>
      <c r="L579" s="33"/>
      <c r="M579" s="32"/>
      <c r="N579" s="34"/>
      <c r="O579" s="36"/>
      <c r="P579" s="68"/>
      <c r="Q579" s="24"/>
      <c r="R579" s="24"/>
      <c r="S579" s="64"/>
      <c r="V579" s="67"/>
      <c r="X579" s="67"/>
    </row>
    <row r="580" spans="1:24" s="27" customFormat="1">
      <c r="A580" s="31"/>
      <c r="B580" s="24"/>
      <c r="C580" s="30"/>
      <c r="D580" s="28"/>
      <c r="E580" s="31"/>
      <c r="F580" s="31"/>
      <c r="G580" s="31"/>
      <c r="I580" s="28"/>
      <c r="J580" s="62"/>
      <c r="K580" s="62"/>
      <c r="L580" s="33"/>
      <c r="M580" s="32"/>
      <c r="N580" s="34"/>
      <c r="O580" s="36"/>
      <c r="P580" s="68"/>
      <c r="Q580" s="24"/>
      <c r="R580" s="24"/>
      <c r="S580" s="64"/>
      <c r="V580" s="67"/>
      <c r="X580" s="67"/>
    </row>
    <row r="581" spans="1:24" s="27" customFormat="1">
      <c r="A581" s="31"/>
      <c r="B581" s="24"/>
      <c r="C581" s="30"/>
      <c r="D581" s="28"/>
      <c r="E581" s="31"/>
      <c r="F581" s="31"/>
      <c r="G581" s="31"/>
      <c r="I581" s="28"/>
      <c r="J581" s="62"/>
      <c r="K581" s="62"/>
      <c r="L581" s="33"/>
      <c r="M581" s="32"/>
      <c r="N581" s="34"/>
      <c r="O581" s="36"/>
      <c r="P581" s="68"/>
      <c r="Q581" s="24"/>
      <c r="R581" s="24"/>
      <c r="S581" s="64"/>
      <c r="V581" s="67"/>
      <c r="X581" s="67"/>
    </row>
    <row r="582" spans="1:24" s="27" customFormat="1">
      <c r="A582" s="31"/>
      <c r="B582" s="24"/>
      <c r="C582" s="30"/>
      <c r="D582" s="28"/>
      <c r="E582" s="31"/>
      <c r="F582" s="31"/>
      <c r="G582" s="31"/>
      <c r="I582" s="28"/>
      <c r="J582" s="62"/>
      <c r="K582" s="62"/>
      <c r="L582" s="33"/>
      <c r="M582" s="32"/>
      <c r="N582" s="34"/>
      <c r="O582" s="36"/>
      <c r="P582" s="68"/>
      <c r="Q582" s="24"/>
      <c r="R582" s="24"/>
      <c r="S582" s="64"/>
      <c r="V582" s="67"/>
      <c r="X582" s="67"/>
    </row>
    <row r="583" spans="1:24" s="27" customFormat="1">
      <c r="A583" s="31"/>
      <c r="B583" s="24"/>
      <c r="C583" s="30"/>
      <c r="D583" s="28"/>
      <c r="E583" s="31"/>
      <c r="F583" s="31"/>
      <c r="G583" s="31"/>
      <c r="I583" s="28"/>
      <c r="J583" s="62"/>
      <c r="K583" s="62"/>
      <c r="L583" s="33"/>
      <c r="M583" s="32"/>
      <c r="N583" s="34"/>
      <c r="O583" s="36"/>
      <c r="P583" s="68"/>
      <c r="Q583" s="24"/>
      <c r="R583" s="24"/>
      <c r="S583" s="64"/>
      <c r="V583" s="67"/>
      <c r="X583" s="67"/>
    </row>
    <row r="584" spans="1:24" s="27" customFormat="1">
      <c r="A584" s="31"/>
      <c r="B584" s="24"/>
      <c r="C584" s="30"/>
      <c r="D584" s="28"/>
      <c r="E584" s="31"/>
      <c r="F584" s="31"/>
      <c r="G584" s="31"/>
      <c r="I584" s="28"/>
      <c r="J584" s="62"/>
      <c r="K584" s="62"/>
      <c r="L584" s="33"/>
      <c r="M584" s="32"/>
      <c r="N584" s="34"/>
      <c r="O584" s="36"/>
      <c r="P584" s="68"/>
      <c r="Q584" s="24"/>
      <c r="R584" s="24"/>
      <c r="S584" s="64"/>
      <c r="V584" s="67"/>
      <c r="X584" s="67"/>
    </row>
    <row r="585" spans="1:24" s="27" customFormat="1">
      <c r="A585" s="31"/>
      <c r="B585" s="24"/>
      <c r="C585" s="30"/>
      <c r="D585" s="28"/>
      <c r="E585" s="31"/>
      <c r="F585" s="31"/>
      <c r="G585" s="31"/>
      <c r="I585" s="28"/>
      <c r="J585" s="62"/>
      <c r="K585" s="62"/>
      <c r="L585" s="33"/>
      <c r="M585" s="32"/>
      <c r="N585" s="34"/>
      <c r="O585" s="36"/>
      <c r="P585" s="68"/>
      <c r="Q585" s="24"/>
      <c r="R585" s="24"/>
      <c r="S585" s="64"/>
      <c r="V585" s="67"/>
      <c r="X585" s="67"/>
    </row>
    <row r="586" spans="1:24" s="27" customFormat="1">
      <c r="A586" s="31"/>
      <c r="B586" s="24"/>
      <c r="C586" s="30"/>
      <c r="D586" s="28"/>
      <c r="E586" s="31"/>
      <c r="F586" s="31"/>
      <c r="G586" s="31"/>
      <c r="I586" s="28"/>
      <c r="J586" s="62"/>
      <c r="K586" s="62"/>
      <c r="L586" s="33"/>
      <c r="M586" s="32"/>
      <c r="N586" s="34"/>
      <c r="O586" s="36"/>
      <c r="P586" s="68"/>
      <c r="Q586" s="24"/>
      <c r="R586" s="24"/>
      <c r="S586" s="64"/>
      <c r="V586" s="67"/>
      <c r="X586" s="67"/>
    </row>
    <row r="587" spans="1:24" s="27" customFormat="1">
      <c r="A587" s="31"/>
      <c r="B587" s="24"/>
      <c r="C587" s="30"/>
      <c r="D587" s="28"/>
      <c r="E587" s="31"/>
      <c r="F587" s="31"/>
      <c r="G587" s="31"/>
      <c r="I587" s="28"/>
      <c r="J587" s="62"/>
      <c r="K587" s="62"/>
      <c r="L587" s="33"/>
      <c r="M587" s="32"/>
      <c r="N587" s="34"/>
      <c r="O587" s="36"/>
      <c r="P587" s="68"/>
      <c r="Q587" s="24"/>
      <c r="R587" s="24"/>
      <c r="S587" s="64"/>
      <c r="V587" s="67"/>
      <c r="X587" s="67"/>
    </row>
    <row r="588" spans="1:24" s="27" customFormat="1">
      <c r="A588" s="31"/>
      <c r="B588" s="24"/>
      <c r="C588" s="30"/>
      <c r="D588" s="28"/>
      <c r="E588" s="31"/>
      <c r="F588" s="31"/>
      <c r="G588" s="31"/>
      <c r="I588" s="28"/>
      <c r="J588" s="62"/>
      <c r="K588" s="62"/>
      <c r="L588" s="33"/>
      <c r="M588" s="32"/>
      <c r="N588" s="34"/>
      <c r="O588" s="36"/>
      <c r="P588" s="68"/>
      <c r="Q588" s="24"/>
      <c r="R588" s="24"/>
      <c r="S588" s="64"/>
      <c r="V588" s="67"/>
      <c r="X588" s="67"/>
    </row>
    <row r="589" spans="1:24" s="27" customFormat="1">
      <c r="A589" s="31"/>
      <c r="B589" s="24"/>
      <c r="C589" s="30"/>
      <c r="D589" s="28"/>
      <c r="E589" s="31"/>
      <c r="F589" s="31"/>
      <c r="G589" s="31"/>
      <c r="I589" s="28"/>
      <c r="J589" s="62"/>
      <c r="K589" s="62"/>
      <c r="L589" s="33"/>
      <c r="M589" s="32"/>
      <c r="N589" s="34"/>
      <c r="O589" s="36"/>
      <c r="P589" s="68"/>
      <c r="Q589" s="24"/>
      <c r="R589" s="24"/>
      <c r="S589" s="64"/>
      <c r="V589" s="67"/>
      <c r="X589" s="67"/>
    </row>
    <row r="590" spans="1:24" s="27" customFormat="1">
      <c r="A590" s="31"/>
      <c r="B590" s="24"/>
      <c r="C590" s="30"/>
      <c r="D590" s="28"/>
      <c r="E590" s="31"/>
      <c r="F590" s="31"/>
      <c r="G590" s="31"/>
      <c r="I590" s="28"/>
      <c r="J590" s="62"/>
      <c r="K590" s="62"/>
      <c r="L590" s="33"/>
      <c r="M590" s="32"/>
      <c r="N590" s="34"/>
      <c r="O590" s="36"/>
      <c r="P590" s="68"/>
      <c r="Q590" s="24"/>
      <c r="R590" s="24"/>
      <c r="S590" s="64"/>
      <c r="V590" s="67"/>
      <c r="X590" s="67"/>
    </row>
    <row r="591" spans="1:24" s="27" customFormat="1">
      <c r="A591" s="31"/>
      <c r="B591" s="24"/>
      <c r="C591" s="30"/>
      <c r="D591" s="28"/>
      <c r="E591" s="31"/>
      <c r="F591" s="31"/>
      <c r="G591" s="31"/>
      <c r="I591" s="28"/>
      <c r="J591" s="62"/>
      <c r="K591" s="62"/>
      <c r="L591" s="33"/>
      <c r="M591" s="32"/>
      <c r="N591" s="34"/>
      <c r="O591" s="36"/>
      <c r="P591" s="68"/>
      <c r="Q591" s="24"/>
      <c r="R591" s="24"/>
      <c r="S591" s="64"/>
      <c r="V591" s="67"/>
      <c r="X591" s="67"/>
    </row>
    <row r="592" spans="1:24" s="27" customFormat="1">
      <c r="A592" s="31"/>
      <c r="B592" s="24"/>
      <c r="C592" s="30"/>
      <c r="D592" s="28"/>
      <c r="E592" s="31"/>
      <c r="F592" s="31"/>
      <c r="G592" s="31"/>
      <c r="I592" s="28"/>
      <c r="J592" s="62"/>
      <c r="K592" s="62"/>
      <c r="L592" s="33"/>
      <c r="M592" s="32"/>
      <c r="N592" s="34"/>
      <c r="O592" s="36"/>
      <c r="P592" s="68"/>
      <c r="Q592" s="24"/>
      <c r="R592" s="24"/>
      <c r="S592" s="64"/>
      <c r="V592" s="67"/>
      <c r="X592" s="67"/>
    </row>
    <row r="593" spans="1:24" s="27" customFormat="1">
      <c r="A593" s="31"/>
      <c r="B593" s="24"/>
      <c r="C593" s="30"/>
      <c r="D593" s="28"/>
      <c r="E593" s="31"/>
      <c r="F593" s="31"/>
      <c r="G593" s="31"/>
      <c r="I593" s="28"/>
      <c r="J593" s="62"/>
      <c r="K593" s="62"/>
      <c r="L593" s="33"/>
      <c r="M593" s="32"/>
      <c r="N593" s="34"/>
      <c r="O593" s="36"/>
      <c r="P593" s="68"/>
      <c r="Q593" s="24"/>
      <c r="R593" s="24"/>
      <c r="S593" s="64"/>
      <c r="V593" s="67"/>
      <c r="X593" s="67"/>
    </row>
    <row r="594" spans="1:24" s="27" customFormat="1">
      <c r="A594" s="31"/>
      <c r="B594" s="24"/>
      <c r="C594" s="30"/>
      <c r="D594" s="28"/>
      <c r="E594" s="31"/>
      <c r="F594" s="31"/>
      <c r="G594" s="31"/>
      <c r="I594" s="28"/>
      <c r="J594" s="62"/>
      <c r="K594" s="62"/>
      <c r="L594" s="33"/>
      <c r="M594" s="32"/>
      <c r="N594" s="34"/>
      <c r="O594" s="36"/>
      <c r="P594" s="68"/>
      <c r="Q594" s="24"/>
      <c r="R594" s="24"/>
      <c r="S594" s="64"/>
      <c r="V594" s="67"/>
      <c r="X594" s="67"/>
    </row>
    <row r="595" spans="1:24" s="27" customFormat="1">
      <c r="A595" s="31"/>
      <c r="B595" s="24"/>
      <c r="C595" s="30"/>
      <c r="D595" s="28"/>
      <c r="E595" s="31"/>
      <c r="F595" s="31"/>
      <c r="G595" s="31"/>
      <c r="I595" s="28"/>
      <c r="J595" s="62"/>
      <c r="K595" s="62"/>
      <c r="L595" s="33"/>
      <c r="M595" s="32"/>
      <c r="N595" s="34"/>
      <c r="O595" s="36"/>
      <c r="P595" s="68"/>
      <c r="Q595" s="24"/>
      <c r="R595" s="24"/>
      <c r="S595" s="64"/>
      <c r="V595" s="67"/>
      <c r="X595" s="67"/>
    </row>
    <row r="596" spans="1:24" s="27" customFormat="1">
      <c r="A596" s="31"/>
      <c r="B596" s="24"/>
      <c r="C596" s="30"/>
      <c r="D596" s="28"/>
      <c r="E596" s="31"/>
      <c r="F596" s="31"/>
      <c r="G596" s="31"/>
      <c r="I596" s="28"/>
      <c r="J596" s="62"/>
      <c r="K596" s="62"/>
      <c r="L596" s="33"/>
      <c r="M596" s="32"/>
      <c r="N596" s="34"/>
      <c r="O596" s="36"/>
      <c r="P596" s="68"/>
      <c r="Q596" s="24"/>
      <c r="R596" s="24"/>
      <c r="S596" s="64"/>
      <c r="V596" s="67"/>
      <c r="X596" s="67"/>
    </row>
    <row r="597" spans="1:24" s="27" customFormat="1">
      <c r="A597" s="31"/>
      <c r="B597" s="24"/>
      <c r="C597" s="30"/>
      <c r="D597" s="28"/>
      <c r="E597" s="31"/>
      <c r="F597" s="31"/>
      <c r="G597" s="31"/>
      <c r="I597" s="28"/>
      <c r="J597" s="62"/>
      <c r="K597" s="62"/>
      <c r="L597" s="33"/>
      <c r="M597" s="32"/>
      <c r="N597" s="34"/>
      <c r="O597" s="36"/>
      <c r="P597" s="68"/>
      <c r="Q597" s="24"/>
      <c r="R597" s="24"/>
      <c r="S597" s="64"/>
      <c r="V597" s="67"/>
      <c r="X597" s="67"/>
    </row>
    <row r="598" spans="1:24" s="27" customFormat="1">
      <c r="A598" s="31"/>
      <c r="B598" s="24"/>
      <c r="C598" s="30"/>
      <c r="D598" s="28"/>
      <c r="E598" s="31"/>
      <c r="F598" s="31"/>
      <c r="G598" s="31"/>
      <c r="I598" s="28"/>
      <c r="J598" s="62"/>
      <c r="K598" s="62"/>
      <c r="L598" s="33"/>
      <c r="M598" s="32"/>
      <c r="N598" s="34"/>
      <c r="O598" s="36"/>
      <c r="P598" s="68"/>
      <c r="Q598" s="24"/>
      <c r="R598" s="24"/>
      <c r="S598" s="64"/>
      <c r="V598" s="67"/>
      <c r="X598" s="67"/>
    </row>
    <row r="599" spans="1:24" s="27" customFormat="1">
      <c r="A599" s="31"/>
      <c r="B599" s="24"/>
      <c r="C599" s="30"/>
      <c r="D599" s="28"/>
      <c r="E599" s="31"/>
      <c r="F599" s="31"/>
      <c r="G599" s="31"/>
      <c r="I599" s="28"/>
      <c r="J599" s="62"/>
      <c r="K599" s="62"/>
      <c r="L599" s="33"/>
      <c r="M599" s="32"/>
      <c r="N599" s="34"/>
      <c r="O599" s="36"/>
      <c r="P599" s="68"/>
      <c r="Q599" s="24"/>
      <c r="R599" s="24"/>
      <c r="S599" s="64"/>
      <c r="V599" s="67"/>
      <c r="X599" s="67"/>
    </row>
    <row r="600" spans="1:24" s="27" customFormat="1">
      <c r="A600" s="31"/>
      <c r="B600" s="24"/>
      <c r="C600" s="30"/>
      <c r="D600" s="28"/>
      <c r="E600" s="31"/>
      <c r="F600" s="31"/>
      <c r="G600" s="31"/>
      <c r="I600" s="28"/>
      <c r="J600" s="62"/>
      <c r="K600" s="62"/>
      <c r="L600" s="33"/>
      <c r="M600" s="32"/>
      <c r="N600" s="34"/>
      <c r="O600" s="36"/>
      <c r="P600" s="68"/>
      <c r="Q600" s="24"/>
      <c r="R600" s="24"/>
      <c r="S600" s="64"/>
      <c r="V600" s="67"/>
      <c r="X600" s="67"/>
    </row>
    <row r="601" spans="1:24" s="27" customFormat="1">
      <c r="A601" s="31"/>
      <c r="B601" s="24"/>
      <c r="C601" s="30"/>
      <c r="D601" s="28"/>
      <c r="E601" s="31"/>
      <c r="F601" s="31"/>
      <c r="G601" s="31"/>
      <c r="I601" s="28"/>
      <c r="J601" s="62"/>
      <c r="K601" s="62"/>
      <c r="L601" s="33"/>
      <c r="M601" s="32"/>
      <c r="N601" s="34"/>
      <c r="O601" s="36"/>
      <c r="P601" s="68"/>
      <c r="Q601" s="24"/>
      <c r="R601" s="24"/>
      <c r="S601" s="64"/>
      <c r="V601" s="67"/>
      <c r="X601" s="67"/>
    </row>
    <row r="602" spans="1:24" s="27" customFormat="1">
      <c r="A602" s="31"/>
      <c r="B602" s="24"/>
      <c r="C602" s="30"/>
      <c r="D602" s="28"/>
      <c r="E602" s="31"/>
      <c r="F602" s="31"/>
      <c r="G602" s="31"/>
      <c r="I602" s="28"/>
      <c r="J602" s="62"/>
      <c r="K602" s="62"/>
      <c r="L602" s="33"/>
      <c r="M602" s="32"/>
      <c r="N602" s="34"/>
      <c r="O602" s="36"/>
      <c r="P602" s="68"/>
      <c r="Q602" s="24"/>
      <c r="R602" s="24"/>
      <c r="S602" s="64"/>
      <c r="V602" s="67"/>
      <c r="X602" s="67"/>
    </row>
    <row r="603" spans="1:24" s="27" customFormat="1">
      <c r="A603" s="31"/>
      <c r="B603" s="24"/>
      <c r="C603" s="30"/>
      <c r="D603" s="28"/>
      <c r="E603" s="31"/>
      <c r="F603" s="31"/>
      <c r="G603" s="31"/>
      <c r="I603" s="28"/>
      <c r="J603" s="62"/>
      <c r="K603" s="62"/>
      <c r="L603" s="33"/>
      <c r="M603" s="32"/>
      <c r="N603" s="34"/>
      <c r="O603" s="36"/>
      <c r="P603" s="68"/>
      <c r="Q603" s="24"/>
      <c r="R603" s="24"/>
      <c r="S603" s="64"/>
      <c r="V603" s="67"/>
      <c r="X603" s="67"/>
    </row>
    <row r="604" spans="1:24" s="27" customFormat="1">
      <c r="A604" s="31"/>
      <c r="B604" s="24"/>
      <c r="C604" s="30"/>
      <c r="D604" s="28"/>
      <c r="E604" s="31"/>
      <c r="F604" s="31"/>
      <c r="G604" s="31"/>
      <c r="I604" s="28"/>
      <c r="J604" s="62"/>
      <c r="K604" s="62"/>
      <c r="L604" s="33"/>
      <c r="M604" s="32"/>
      <c r="N604" s="34"/>
      <c r="O604" s="36"/>
      <c r="P604" s="68"/>
      <c r="Q604" s="24"/>
      <c r="R604" s="24"/>
      <c r="S604" s="64"/>
      <c r="V604" s="67"/>
      <c r="X604" s="67"/>
    </row>
    <row r="605" spans="1:24" s="27" customFormat="1">
      <c r="A605" s="31"/>
      <c r="B605" s="24"/>
      <c r="C605" s="30"/>
      <c r="D605" s="28"/>
      <c r="E605" s="31"/>
      <c r="F605" s="31"/>
      <c r="G605" s="31"/>
      <c r="I605" s="28"/>
      <c r="J605" s="62"/>
      <c r="K605" s="62"/>
      <c r="L605" s="33"/>
      <c r="M605" s="32"/>
      <c r="N605" s="34"/>
      <c r="O605" s="36"/>
      <c r="P605" s="68"/>
      <c r="Q605" s="24"/>
      <c r="R605" s="24"/>
      <c r="S605" s="64"/>
      <c r="V605" s="67"/>
      <c r="X605" s="67"/>
    </row>
    <row r="606" spans="1:24" s="27" customFormat="1">
      <c r="A606" s="31"/>
      <c r="B606" s="24"/>
      <c r="C606" s="30"/>
      <c r="D606" s="28"/>
      <c r="E606" s="31"/>
      <c r="F606" s="31"/>
      <c r="G606" s="31"/>
      <c r="I606" s="28"/>
      <c r="J606" s="62"/>
      <c r="K606" s="62"/>
      <c r="L606" s="33"/>
      <c r="M606" s="32"/>
      <c r="N606" s="34"/>
      <c r="O606" s="36"/>
      <c r="P606" s="68"/>
      <c r="Q606" s="24"/>
      <c r="R606" s="24"/>
      <c r="S606" s="64"/>
      <c r="V606" s="67"/>
      <c r="X606" s="67"/>
    </row>
    <row r="607" spans="1:24" s="27" customFormat="1">
      <c r="A607" s="31"/>
      <c r="B607" s="24"/>
      <c r="C607" s="30"/>
      <c r="D607" s="28"/>
      <c r="E607" s="31"/>
      <c r="F607" s="31"/>
      <c r="G607" s="31"/>
      <c r="I607" s="28"/>
      <c r="J607" s="62"/>
      <c r="K607" s="62"/>
      <c r="L607" s="33"/>
      <c r="M607" s="32"/>
      <c r="N607" s="34"/>
      <c r="O607" s="36"/>
      <c r="P607" s="68"/>
      <c r="Q607" s="24"/>
      <c r="R607" s="24"/>
      <c r="S607" s="64"/>
      <c r="V607" s="67"/>
      <c r="X607" s="67"/>
    </row>
    <row r="608" spans="1:24" s="27" customFormat="1">
      <c r="A608" s="31"/>
      <c r="B608" s="24"/>
      <c r="C608" s="30"/>
      <c r="D608" s="28"/>
      <c r="E608" s="31"/>
      <c r="F608" s="31"/>
      <c r="G608" s="31"/>
      <c r="I608" s="28"/>
      <c r="J608" s="62"/>
      <c r="K608" s="62"/>
      <c r="L608" s="33"/>
      <c r="M608" s="32"/>
      <c r="N608" s="34"/>
      <c r="O608" s="36"/>
      <c r="P608" s="68"/>
      <c r="Q608" s="24"/>
      <c r="R608" s="24"/>
      <c r="S608" s="64"/>
      <c r="V608" s="67"/>
      <c r="X608" s="67"/>
    </row>
    <row r="609" spans="1:24" s="27" customFormat="1">
      <c r="A609" s="31"/>
      <c r="B609" s="24"/>
      <c r="C609" s="30"/>
      <c r="D609" s="28"/>
      <c r="E609" s="31"/>
      <c r="F609" s="31"/>
      <c r="G609" s="31"/>
      <c r="I609" s="28"/>
      <c r="J609" s="62"/>
      <c r="K609" s="62"/>
      <c r="L609" s="33"/>
      <c r="M609" s="32"/>
      <c r="N609" s="34"/>
      <c r="O609" s="36"/>
      <c r="P609" s="68"/>
      <c r="Q609" s="24"/>
      <c r="R609" s="24"/>
      <c r="S609" s="64"/>
      <c r="V609" s="67"/>
      <c r="X609" s="67"/>
    </row>
    <row r="610" spans="1:24" s="27" customFormat="1">
      <c r="A610" s="31"/>
      <c r="B610" s="24"/>
      <c r="C610" s="30"/>
      <c r="D610" s="28"/>
      <c r="E610" s="31"/>
      <c r="F610" s="31"/>
      <c r="G610" s="31"/>
      <c r="I610" s="28"/>
      <c r="J610" s="62"/>
      <c r="K610" s="62"/>
      <c r="L610" s="33"/>
      <c r="M610" s="32"/>
      <c r="N610" s="34"/>
      <c r="O610" s="36"/>
      <c r="P610" s="68"/>
      <c r="Q610" s="24"/>
      <c r="R610" s="24"/>
      <c r="S610" s="64"/>
      <c r="V610" s="67"/>
      <c r="X610" s="67"/>
    </row>
    <row r="611" spans="1:24" s="27" customFormat="1">
      <c r="A611" s="31"/>
      <c r="B611" s="24"/>
      <c r="C611" s="30"/>
      <c r="D611" s="28"/>
      <c r="E611" s="31"/>
      <c r="F611" s="31"/>
      <c r="G611" s="31"/>
      <c r="I611" s="28"/>
      <c r="J611" s="62"/>
      <c r="K611" s="62"/>
      <c r="L611" s="33"/>
      <c r="M611" s="32"/>
      <c r="N611" s="34"/>
      <c r="O611" s="36"/>
      <c r="P611" s="68"/>
      <c r="Q611" s="24"/>
      <c r="R611" s="24"/>
      <c r="S611" s="64"/>
      <c r="V611" s="67"/>
      <c r="X611" s="67"/>
    </row>
    <row r="612" spans="1:24" s="27" customFormat="1">
      <c r="A612" s="31"/>
      <c r="B612" s="24"/>
      <c r="C612" s="30"/>
      <c r="D612" s="28"/>
      <c r="E612" s="31"/>
      <c r="F612" s="31"/>
      <c r="G612" s="31"/>
      <c r="I612" s="28"/>
      <c r="J612" s="62"/>
      <c r="K612" s="62"/>
      <c r="L612" s="33"/>
      <c r="M612" s="32"/>
      <c r="N612" s="34"/>
      <c r="O612" s="36"/>
      <c r="P612" s="68"/>
      <c r="Q612" s="24"/>
      <c r="R612" s="24"/>
      <c r="S612" s="64"/>
      <c r="V612" s="67"/>
      <c r="X612" s="67"/>
    </row>
    <row r="613" spans="1:24" s="27" customFormat="1">
      <c r="A613" s="31"/>
      <c r="B613" s="24"/>
      <c r="C613" s="30"/>
      <c r="D613" s="28"/>
      <c r="E613" s="31"/>
      <c r="F613" s="31"/>
      <c r="G613" s="31"/>
      <c r="I613" s="28"/>
      <c r="J613" s="62"/>
      <c r="K613" s="62"/>
      <c r="L613" s="33"/>
      <c r="M613" s="32"/>
      <c r="N613" s="34"/>
      <c r="O613" s="36"/>
      <c r="P613" s="68"/>
      <c r="Q613" s="24"/>
      <c r="R613" s="24"/>
      <c r="S613" s="64"/>
      <c r="V613" s="67"/>
      <c r="X613" s="67"/>
    </row>
    <row r="614" spans="1:24" s="27" customFormat="1">
      <c r="A614" s="31"/>
      <c r="B614" s="24"/>
      <c r="C614" s="30"/>
      <c r="D614" s="28"/>
      <c r="E614" s="31"/>
      <c r="F614" s="31"/>
      <c r="G614" s="31"/>
      <c r="I614" s="28"/>
      <c r="J614" s="62"/>
      <c r="K614" s="62"/>
      <c r="L614" s="33"/>
      <c r="M614" s="32"/>
      <c r="N614" s="34"/>
      <c r="O614" s="36"/>
      <c r="P614" s="68"/>
      <c r="Q614" s="24"/>
      <c r="R614" s="24"/>
      <c r="S614" s="64"/>
      <c r="V614" s="67"/>
      <c r="X614" s="67"/>
    </row>
    <row r="615" spans="1:24" s="27" customFormat="1">
      <c r="A615" s="31"/>
      <c r="B615" s="24"/>
      <c r="C615" s="30"/>
      <c r="D615" s="28"/>
      <c r="E615" s="31"/>
      <c r="F615" s="31"/>
      <c r="G615" s="31"/>
      <c r="I615" s="28"/>
      <c r="J615" s="62"/>
      <c r="K615" s="62"/>
      <c r="L615" s="33"/>
      <c r="M615" s="32"/>
      <c r="N615" s="34"/>
      <c r="O615" s="36"/>
      <c r="P615" s="68"/>
      <c r="Q615" s="24"/>
      <c r="R615" s="24"/>
      <c r="S615" s="64"/>
      <c r="V615" s="67"/>
      <c r="X615" s="67"/>
    </row>
    <row r="616" spans="1:24" s="27" customFormat="1">
      <c r="A616" s="31"/>
      <c r="B616" s="24"/>
      <c r="C616" s="30"/>
      <c r="D616" s="28"/>
      <c r="E616" s="31"/>
      <c r="F616" s="31"/>
      <c r="G616" s="31"/>
      <c r="I616" s="28"/>
      <c r="J616" s="62"/>
      <c r="K616" s="62"/>
      <c r="L616" s="33"/>
      <c r="M616" s="32"/>
      <c r="N616" s="34"/>
      <c r="O616" s="36"/>
      <c r="P616" s="68"/>
      <c r="Q616" s="24"/>
      <c r="R616" s="24"/>
      <c r="S616" s="64"/>
      <c r="V616" s="67"/>
      <c r="X616" s="67"/>
    </row>
    <row r="617" spans="1:24" s="27" customFormat="1">
      <c r="A617" s="31"/>
      <c r="B617" s="24"/>
      <c r="C617" s="30"/>
      <c r="D617" s="28"/>
      <c r="E617" s="31"/>
      <c r="F617" s="31"/>
      <c r="G617" s="31"/>
      <c r="I617" s="28"/>
      <c r="J617" s="62"/>
      <c r="K617" s="62"/>
      <c r="L617" s="33"/>
      <c r="M617" s="32"/>
      <c r="N617" s="34"/>
      <c r="O617" s="36"/>
      <c r="P617" s="68"/>
      <c r="Q617" s="24"/>
      <c r="R617" s="24"/>
      <c r="S617" s="64"/>
      <c r="V617" s="67"/>
      <c r="X617" s="67"/>
    </row>
    <row r="618" spans="1:24" s="27" customFormat="1">
      <c r="A618" s="31"/>
      <c r="B618" s="24"/>
      <c r="C618" s="30"/>
      <c r="D618" s="28"/>
      <c r="E618" s="31"/>
      <c r="F618" s="31"/>
      <c r="G618" s="31"/>
      <c r="I618" s="28"/>
      <c r="J618" s="62"/>
      <c r="K618" s="62"/>
      <c r="L618" s="33"/>
      <c r="M618" s="32"/>
      <c r="N618" s="34"/>
      <c r="O618" s="36"/>
      <c r="P618" s="68"/>
      <c r="Q618" s="24"/>
      <c r="R618" s="24"/>
      <c r="S618" s="64"/>
      <c r="V618" s="67"/>
      <c r="X618" s="67"/>
    </row>
    <row r="619" spans="1:24" s="27" customFormat="1">
      <c r="A619" s="31"/>
      <c r="B619" s="24"/>
      <c r="C619" s="30"/>
      <c r="D619" s="28"/>
      <c r="E619" s="31"/>
      <c r="F619" s="31"/>
      <c r="G619" s="31"/>
      <c r="I619" s="28"/>
      <c r="J619" s="62"/>
      <c r="K619" s="62"/>
      <c r="L619" s="33"/>
      <c r="M619" s="32"/>
      <c r="N619" s="34"/>
      <c r="O619" s="36"/>
      <c r="P619" s="68"/>
      <c r="Q619" s="24"/>
      <c r="R619" s="24"/>
      <c r="S619" s="64"/>
      <c r="V619" s="67"/>
      <c r="X619" s="67"/>
    </row>
    <row r="620" spans="1:24" s="27" customFormat="1">
      <c r="A620" s="31"/>
      <c r="B620" s="24"/>
      <c r="C620" s="30"/>
      <c r="D620" s="28"/>
      <c r="E620" s="31"/>
      <c r="F620" s="31"/>
      <c r="G620" s="31"/>
      <c r="I620" s="28"/>
      <c r="J620" s="62"/>
      <c r="K620" s="62"/>
      <c r="L620" s="33"/>
      <c r="M620" s="32"/>
      <c r="N620" s="34"/>
      <c r="O620" s="36"/>
      <c r="P620" s="68"/>
      <c r="Q620" s="24"/>
      <c r="R620" s="24"/>
      <c r="S620" s="64"/>
      <c r="V620" s="67"/>
      <c r="X620" s="67"/>
    </row>
    <row r="621" spans="1:24" s="27" customFormat="1">
      <c r="A621" s="31"/>
      <c r="B621" s="24"/>
      <c r="C621" s="30"/>
      <c r="D621" s="28"/>
      <c r="E621" s="31"/>
      <c r="F621" s="31"/>
      <c r="G621" s="31"/>
      <c r="I621" s="28"/>
      <c r="J621" s="62"/>
      <c r="K621" s="62"/>
      <c r="L621" s="33"/>
      <c r="M621" s="32"/>
      <c r="N621" s="34"/>
      <c r="O621" s="36"/>
      <c r="P621" s="68"/>
      <c r="Q621" s="24"/>
      <c r="R621" s="24"/>
      <c r="S621" s="64"/>
      <c r="V621" s="67"/>
      <c r="X621" s="67"/>
    </row>
    <row r="622" spans="1:24" s="27" customFormat="1">
      <c r="A622" s="31"/>
      <c r="B622" s="24"/>
      <c r="C622" s="30"/>
      <c r="D622" s="28"/>
      <c r="E622" s="31"/>
      <c r="F622" s="31"/>
      <c r="G622" s="31"/>
      <c r="I622" s="28"/>
      <c r="J622" s="62"/>
      <c r="K622" s="62"/>
      <c r="L622" s="33"/>
      <c r="M622" s="32"/>
      <c r="N622" s="34"/>
      <c r="O622" s="36"/>
      <c r="P622" s="68"/>
      <c r="Q622" s="24"/>
      <c r="R622" s="24"/>
      <c r="S622" s="64"/>
      <c r="V622" s="67"/>
      <c r="X622" s="67"/>
    </row>
    <row r="623" spans="1:24" s="27" customFormat="1">
      <c r="A623" s="31"/>
      <c r="B623" s="24"/>
      <c r="C623" s="30"/>
      <c r="D623" s="28"/>
      <c r="E623" s="31"/>
      <c r="F623" s="31"/>
      <c r="G623" s="31"/>
      <c r="I623" s="28"/>
      <c r="J623" s="62"/>
      <c r="K623" s="62"/>
      <c r="L623" s="33"/>
      <c r="M623" s="32"/>
      <c r="N623" s="34"/>
      <c r="O623" s="36"/>
      <c r="P623" s="68"/>
      <c r="Q623" s="24"/>
      <c r="R623" s="24"/>
      <c r="S623" s="64"/>
      <c r="V623" s="67"/>
      <c r="X623" s="67"/>
    </row>
    <row r="624" spans="1:24" s="27" customFormat="1">
      <c r="A624" s="31"/>
      <c r="B624" s="24"/>
      <c r="C624" s="30"/>
      <c r="D624" s="28"/>
      <c r="E624" s="31"/>
      <c r="F624" s="31"/>
      <c r="G624" s="31"/>
      <c r="I624" s="28"/>
      <c r="J624" s="62"/>
      <c r="K624" s="62"/>
      <c r="L624" s="33"/>
      <c r="M624" s="32"/>
      <c r="N624" s="34"/>
      <c r="O624" s="36"/>
      <c r="P624" s="68"/>
      <c r="Q624" s="24"/>
      <c r="R624" s="24"/>
      <c r="S624" s="64"/>
      <c r="V624" s="67"/>
      <c r="X624" s="67"/>
    </row>
    <row r="625" spans="1:24" s="27" customFormat="1">
      <c r="A625" s="31"/>
      <c r="B625" s="24"/>
      <c r="C625" s="30"/>
      <c r="D625" s="28"/>
      <c r="E625" s="31"/>
      <c r="F625" s="31"/>
      <c r="G625" s="31"/>
      <c r="I625" s="28"/>
      <c r="J625" s="62"/>
      <c r="K625" s="62"/>
      <c r="L625" s="33"/>
      <c r="M625" s="32"/>
      <c r="N625" s="34"/>
      <c r="O625" s="36"/>
      <c r="P625" s="68"/>
      <c r="Q625" s="24"/>
      <c r="R625" s="24"/>
      <c r="S625" s="64"/>
      <c r="V625" s="67"/>
      <c r="X625" s="67"/>
    </row>
    <row r="626" spans="1:24" s="27" customFormat="1">
      <c r="A626" s="31"/>
      <c r="B626" s="24"/>
      <c r="C626" s="30"/>
      <c r="D626" s="28"/>
      <c r="E626" s="31"/>
      <c r="F626" s="31"/>
      <c r="G626" s="31"/>
      <c r="I626" s="28"/>
      <c r="J626" s="62"/>
      <c r="K626" s="62"/>
      <c r="L626" s="33"/>
      <c r="M626" s="32"/>
      <c r="N626" s="34"/>
      <c r="O626" s="36"/>
      <c r="P626" s="68"/>
      <c r="Q626" s="24"/>
      <c r="R626" s="24"/>
      <c r="S626" s="64"/>
      <c r="V626" s="67"/>
      <c r="X626" s="67"/>
    </row>
    <row r="627" spans="1:24" s="27" customFormat="1">
      <c r="A627" s="31"/>
      <c r="B627" s="24"/>
      <c r="C627" s="30"/>
      <c r="D627" s="28"/>
      <c r="E627" s="31"/>
      <c r="F627" s="31"/>
      <c r="G627" s="31"/>
      <c r="I627" s="28"/>
      <c r="J627" s="62"/>
      <c r="K627" s="62"/>
      <c r="L627" s="33"/>
      <c r="M627" s="32"/>
      <c r="N627" s="34"/>
      <c r="O627" s="36"/>
      <c r="P627" s="68"/>
      <c r="Q627" s="24"/>
      <c r="R627" s="24"/>
      <c r="S627" s="64"/>
      <c r="V627" s="67"/>
      <c r="X627" s="67"/>
    </row>
    <row r="628" spans="1:24" s="27" customFormat="1">
      <c r="A628" s="31"/>
      <c r="B628" s="24"/>
      <c r="C628" s="30"/>
      <c r="D628" s="28"/>
      <c r="E628" s="31"/>
      <c r="F628" s="31"/>
      <c r="G628" s="31"/>
      <c r="I628" s="28"/>
      <c r="J628" s="62"/>
      <c r="K628" s="62"/>
      <c r="L628" s="33"/>
      <c r="M628" s="32"/>
      <c r="N628" s="34"/>
      <c r="O628" s="36"/>
      <c r="P628" s="68"/>
      <c r="Q628" s="24"/>
      <c r="R628" s="24"/>
      <c r="S628" s="64"/>
      <c r="V628" s="67"/>
      <c r="X628" s="67"/>
    </row>
    <row r="629" spans="1:24" s="27" customFormat="1">
      <c r="A629" s="31"/>
      <c r="B629" s="24"/>
      <c r="C629" s="30"/>
      <c r="D629" s="28"/>
      <c r="E629" s="31"/>
      <c r="F629" s="31"/>
      <c r="G629" s="31"/>
      <c r="I629" s="28"/>
      <c r="J629" s="62"/>
      <c r="K629" s="62"/>
      <c r="L629" s="33"/>
      <c r="M629" s="32"/>
      <c r="N629" s="34"/>
      <c r="O629" s="36"/>
      <c r="P629" s="68"/>
      <c r="Q629" s="24"/>
      <c r="R629" s="24"/>
      <c r="S629" s="64"/>
      <c r="V629" s="67"/>
      <c r="X629" s="67"/>
    </row>
    <row r="630" spans="1:24" s="27" customFormat="1">
      <c r="A630" s="31"/>
      <c r="B630" s="24"/>
      <c r="C630" s="30"/>
      <c r="D630" s="28"/>
      <c r="E630" s="31"/>
      <c r="F630" s="31"/>
      <c r="G630" s="31"/>
      <c r="I630" s="28"/>
      <c r="J630" s="62"/>
      <c r="K630" s="62"/>
      <c r="L630" s="33"/>
      <c r="M630" s="32"/>
      <c r="N630" s="34"/>
      <c r="O630" s="36"/>
      <c r="P630" s="68"/>
      <c r="Q630" s="24"/>
      <c r="R630" s="24"/>
      <c r="S630" s="64"/>
      <c r="V630" s="67"/>
      <c r="X630" s="67"/>
    </row>
    <row r="631" spans="1:24" s="27" customFormat="1">
      <c r="A631" s="31"/>
      <c r="B631" s="24"/>
      <c r="C631" s="30"/>
      <c r="D631" s="28"/>
      <c r="E631" s="31"/>
      <c r="F631" s="31"/>
      <c r="G631" s="31"/>
      <c r="I631" s="28"/>
      <c r="J631" s="62"/>
      <c r="K631" s="62"/>
      <c r="L631" s="33"/>
      <c r="M631" s="32"/>
      <c r="N631" s="34"/>
      <c r="O631" s="36"/>
      <c r="P631" s="68"/>
      <c r="Q631" s="24"/>
      <c r="R631" s="24"/>
      <c r="S631" s="64"/>
      <c r="V631" s="67"/>
      <c r="X631" s="67"/>
    </row>
    <row r="632" spans="1:24" s="27" customFormat="1">
      <c r="A632" s="31"/>
      <c r="B632" s="24"/>
      <c r="C632" s="30"/>
      <c r="D632" s="28"/>
      <c r="E632" s="31"/>
      <c r="F632" s="31"/>
      <c r="G632" s="31"/>
      <c r="I632" s="28"/>
      <c r="J632" s="62"/>
      <c r="K632" s="62"/>
      <c r="L632" s="33"/>
      <c r="M632" s="32"/>
      <c r="N632" s="34"/>
      <c r="O632" s="36"/>
      <c r="P632" s="68"/>
      <c r="Q632" s="24"/>
      <c r="R632" s="24"/>
      <c r="S632" s="64"/>
      <c r="V632" s="67"/>
      <c r="X632" s="67"/>
    </row>
    <row r="633" spans="1:24" s="27" customFormat="1">
      <c r="A633" s="31"/>
      <c r="B633" s="24"/>
      <c r="C633" s="30"/>
      <c r="D633" s="28"/>
      <c r="E633" s="31"/>
      <c r="F633" s="31"/>
      <c r="G633" s="31"/>
      <c r="I633" s="28"/>
      <c r="J633" s="62"/>
      <c r="K633" s="62"/>
      <c r="L633" s="33"/>
      <c r="M633" s="32"/>
      <c r="N633" s="34"/>
      <c r="O633" s="36"/>
      <c r="P633" s="68"/>
      <c r="Q633" s="24"/>
      <c r="R633" s="24"/>
      <c r="S633" s="64"/>
      <c r="V633" s="67"/>
      <c r="X633" s="67"/>
    </row>
    <row r="634" spans="1:24" s="27" customFormat="1">
      <c r="A634" s="31"/>
      <c r="B634" s="24"/>
      <c r="C634" s="30"/>
      <c r="D634" s="28"/>
      <c r="E634" s="31"/>
      <c r="F634" s="31"/>
      <c r="G634" s="31"/>
      <c r="I634" s="28"/>
      <c r="J634" s="62"/>
      <c r="K634" s="62"/>
      <c r="L634" s="33"/>
      <c r="M634" s="32"/>
      <c r="N634" s="34"/>
      <c r="O634" s="36"/>
      <c r="P634" s="68"/>
      <c r="Q634" s="24"/>
      <c r="R634" s="24"/>
      <c r="S634" s="64"/>
      <c r="V634" s="67"/>
      <c r="X634" s="67"/>
    </row>
    <row r="635" spans="1:24" s="27" customFormat="1">
      <c r="A635" s="31"/>
      <c r="B635" s="24"/>
      <c r="C635" s="30"/>
      <c r="D635" s="28"/>
      <c r="E635" s="31"/>
      <c r="F635" s="31"/>
      <c r="G635" s="31"/>
      <c r="I635" s="28"/>
      <c r="J635" s="62"/>
      <c r="K635" s="62"/>
      <c r="L635" s="33"/>
      <c r="M635" s="32"/>
      <c r="N635" s="34"/>
      <c r="O635" s="36"/>
      <c r="P635" s="68"/>
      <c r="Q635" s="24"/>
      <c r="R635" s="24"/>
      <c r="S635" s="64"/>
      <c r="V635" s="67"/>
      <c r="X635" s="67"/>
    </row>
    <row r="636" spans="1:24" s="27" customFormat="1">
      <c r="A636" s="31"/>
      <c r="B636" s="24"/>
      <c r="C636" s="30"/>
      <c r="D636" s="28"/>
      <c r="E636" s="31"/>
      <c r="F636" s="31"/>
      <c r="G636" s="31"/>
      <c r="I636" s="28"/>
      <c r="J636" s="62"/>
      <c r="K636" s="62"/>
      <c r="L636" s="33"/>
      <c r="M636" s="32"/>
      <c r="N636" s="34"/>
      <c r="O636" s="36"/>
      <c r="P636" s="68"/>
      <c r="Q636" s="24"/>
      <c r="R636" s="24"/>
      <c r="S636" s="64"/>
      <c r="V636" s="67"/>
      <c r="X636" s="67"/>
    </row>
    <row r="637" spans="1:24" s="27" customFormat="1">
      <c r="A637" s="31"/>
      <c r="B637" s="24"/>
      <c r="C637" s="30"/>
      <c r="D637" s="28"/>
      <c r="E637" s="31"/>
      <c r="F637" s="31"/>
      <c r="G637" s="31"/>
      <c r="I637" s="28"/>
      <c r="J637" s="62"/>
      <c r="K637" s="62"/>
      <c r="L637" s="33"/>
      <c r="M637" s="32"/>
      <c r="N637" s="34"/>
      <c r="O637" s="36"/>
      <c r="P637" s="68"/>
      <c r="Q637" s="24"/>
      <c r="R637" s="24"/>
      <c r="S637" s="64"/>
      <c r="V637" s="67"/>
      <c r="X637" s="67"/>
    </row>
    <row r="638" spans="1:24" s="27" customFormat="1">
      <c r="A638" s="31"/>
      <c r="B638" s="24"/>
      <c r="C638" s="30"/>
      <c r="D638" s="28"/>
      <c r="E638" s="31"/>
      <c r="F638" s="31"/>
      <c r="G638" s="31"/>
      <c r="I638" s="28"/>
      <c r="J638" s="62"/>
      <c r="K638" s="62"/>
      <c r="L638" s="33"/>
      <c r="M638" s="32"/>
      <c r="N638" s="34"/>
      <c r="O638" s="36"/>
      <c r="P638" s="68"/>
      <c r="Q638" s="24"/>
      <c r="R638" s="24"/>
      <c r="S638" s="64"/>
      <c r="V638" s="67"/>
      <c r="X638" s="67"/>
    </row>
    <row r="639" spans="1:24" s="27" customFormat="1">
      <c r="A639" s="31"/>
      <c r="B639" s="24"/>
      <c r="C639" s="30"/>
      <c r="D639" s="28"/>
      <c r="E639" s="31"/>
      <c r="F639" s="31"/>
      <c r="G639" s="31"/>
      <c r="I639" s="28"/>
      <c r="J639" s="62"/>
      <c r="K639" s="62"/>
      <c r="L639" s="33"/>
      <c r="M639" s="32"/>
      <c r="N639" s="34"/>
      <c r="O639" s="36"/>
      <c r="P639" s="68"/>
      <c r="Q639" s="24"/>
      <c r="R639" s="24"/>
      <c r="S639" s="64"/>
      <c r="V639" s="67"/>
      <c r="X639" s="67"/>
    </row>
    <row r="640" spans="1:24" s="27" customFormat="1">
      <c r="A640" s="31"/>
      <c r="B640" s="24"/>
      <c r="C640" s="30"/>
      <c r="D640" s="28"/>
      <c r="E640" s="31"/>
      <c r="F640" s="31"/>
      <c r="G640" s="31"/>
      <c r="I640" s="28"/>
      <c r="J640" s="62"/>
      <c r="K640" s="62"/>
      <c r="L640" s="33"/>
      <c r="M640" s="32"/>
      <c r="N640" s="34"/>
      <c r="O640" s="36"/>
      <c r="P640" s="68"/>
      <c r="Q640" s="24"/>
      <c r="R640" s="24"/>
      <c r="S640" s="64"/>
      <c r="V640" s="67"/>
      <c r="X640" s="67"/>
    </row>
    <row r="641" spans="1:24" s="27" customFormat="1">
      <c r="A641" s="31"/>
      <c r="B641" s="24"/>
      <c r="C641" s="30"/>
      <c r="D641" s="28"/>
      <c r="E641" s="31"/>
      <c r="F641" s="31"/>
      <c r="G641" s="31"/>
      <c r="I641" s="28"/>
      <c r="J641" s="62"/>
      <c r="K641" s="62"/>
      <c r="L641" s="33"/>
      <c r="M641" s="32"/>
      <c r="N641" s="34"/>
      <c r="O641" s="36"/>
      <c r="P641" s="68"/>
      <c r="Q641" s="24"/>
      <c r="R641" s="24"/>
      <c r="S641" s="64"/>
      <c r="V641" s="67"/>
      <c r="X641" s="67"/>
    </row>
    <row r="642" spans="1:24" s="27" customFormat="1">
      <c r="A642" s="31"/>
      <c r="B642" s="24"/>
      <c r="C642" s="30"/>
      <c r="D642" s="28"/>
      <c r="E642" s="31"/>
      <c r="F642" s="31"/>
      <c r="G642" s="31"/>
      <c r="I642" s="28"/>
      <c r="J642" s="62"/>
      <c r="K642" s="62"/>
      <c r="L642" s="33"/>
      <c r="M642" s="32"/>
      <c r="N642" s="34"/>
      <c r="O642" s="36"/>
      <c r="P642" s="68"/>
      <c r="Q642" s="24"/>
      <c r="R642" s="24"/>
      <c r="S642" s="64"/>
      <c r="V642" s="67"/>
      <c r="X642" s="67"/>
    </row>
    <row r="643" spans="1:24" s="27" customFormat="1">
      <c r="A643" s="31"/>
      <c r="B643" s="24"/>
      <c r="C643" s="30"/>
      <c r="D643" s="28"/>
      <c r="E643" s="31"/>
      <c r="F643" s="31"/>
      <c r="G643" s="31"/>
      <c r="I643" s="28"/>
      <c r="J643" s="62"/>
      <c r="K643" s="62"/>
      <c r="L643" s="33"/>
      <c r="M643" s="32"/>
      <c r="N643" s="34"/>
      <c r="O643" s="36"/>
      <c r="P643" s="68"/>
      <c r="Q643" s="24"/>
      <c r="R643" s="24"/>
      <c r="S643" s="64"/>
      <c r="V643" s="67"/>
      <c r="X643" s="67"/>
    </row>
    <row r="644" spans="1:24" s="27" customFormat="1">
      <c r="A644" s="31"/>
      <c r="B644" s="24"/>
      <c r="C644" s="30"/>
      <c r="D644" s="28"/>
      <c r="E644" s="31"/>
      <c r="F644" s="31"/>
      <c r="G644" s="31"/>
      <c r="I644" s="28"/>
      <c r="J644" s="62"/>
      <c r="K644" s="62"/>
      <c r="L644" s="33"/>
      <c r="M644" s="32"/>
      <c r="N644" s="34"/>
      <c r="O644" s="36"/>
      <c r="P644" s="68"/>
      <c r="Q644" s="24"/>
      <c r="R644" s="24"/>
      <c r="S644" s="64"/>
      <c r="V644" s="67"/>
      <c r="X644" s="67"/>
    </row>
    <row r="645" spans="1:24" s="27" customFormat="1">
      <c r="A645" s="31"/>
      <c r="B645" s="24"/>
      <c r="C645" s="30"/>
      <c r="D645" s="28"/>
      <c r="E645" s="31"/>
      <c r="F645" s="31"/>
      <c r="G645" s="31"/>
      <c r="I645" s="28"/>
      <c r="J645" s="62"/>
      <c r="K645" s="62"/>
      <c r="L645" s="33"/>
      <c r="M645" s="32"/>
      <c r="N645" s="34"/>
      <c r="O645" s="36"/>
      <c r="P645" s="68"/>
      <c r="Q645" s="24"/>
      <c r="R645" s="24"/>
      <c r="S645" s="64"/>
      <c r="V645" s="67"/>
      <c r="X645" s="67"/>
    </row>
    <row r="646" spans="1:24" s="27" customFormat="1">
      <c r="A646" s="31"/>
      <c r="B646" s="24"/>
      <c r="C646" s="30"/>
      <c r="D646" s="28"/>
      <c r="E646" s="31"/>
      <c r="F646" s="31"/>
      <c r="G646" s="31"/>
      <c r="I646" s="28"/>
      <c r="J646" s="62"/>
      <c r="K646" s="62"/>
      <c r="L646" s="33"/>
      <c r="M646" s="32"/>
      <c r="N646" s="34"/>
      <c r="O646" s="36"/>
      <c r="P646" s="68"/>
      <c r="Q646" s="24"/>
      <c r="R646" s="24"/>
      <c r="S646" s="64"/>
      <c r="V646" s="67"/>
      <c r="X646" s="67"/>
    </row>
    <row r="647" spans="1:24" s="27" customFormat="1">
      <c r="A647" s="31"/>
      <c r="B647" s="24"/>
      <c r="C647" s="30"/>
      <c r="D647" s="28"/>
      <c r="E647" s="31"/>
      <c r="F647" s="31"/>
      <c r="G647" s="31"/>
      <c r="I647" s="28"/>
      <c r="J647" s="62"/>
      <c r="K647" s="62"/>
      <c r="L647" s="33"/>
      <c r="M647" s="32"/>
      <c r="N647" s="34"/>
      <c r="O647" s="36"/>
      <c r="P647" s="68"/>
      <c r="Q647" s="24"/>
      <c r="R647" s="24"/>
      <c r="S647" s="64"/>
      <c r="V647" s="67"/>
      <c r="X647" s="67"/>
    </row>
    <row r="648" spans="1:24" s="27" customFormat="1">
      <c r="A648" s="31"/>
      <c r="B648" s="24"/>
      <c r="C648" s="30"/>
      <c r="D648" s="28"/>
      <c r="E648" s="31"/>
      <c r="F648" s="31"/>
      <c r="G648" s="31"/>
      <c r="I648" s="28"/>
      <c r="J648" s="62"/>
      <c r="K648" s="62"/>
      <c r="L648" s="33"/>
      <c r="M648" s="32"/>
      <c r="N648" s="34"/>
      <c r="O648" s="36"/>
      <c r="P648" s="68"/>
      <c r="Q648" s="24"/>
      <c r="R648" s="24"/>
      <c r="S648" s="64"/>
      <c r="V648" s="67"/>
      <c r="X648" s="67"/>
    </row>
    <row r="649" spans="1:24" s="27" customFormat="1">
      <c r="A649" s="31"/>
      <c r="B649" s="24"/>
      <c r="C649" s="30"/>
      <c r="D649" s="28"/>
      <c r="E649" s="31"/>
      <c r="F649" s="31"/>
      <c r="G649" s="31"/>
      <c r="I649" s="28"/>
      <c r="J649" s="62"/>
      <c r="K649" s="62"/>
      <c r="L649" s="33"/>
      <c r="M649" s="32"/>
      <c r="N649" s="34"/>
      <c r="O649" s="36"/>
      <c r="P649" s="68"/>
      <c r="Q649" s="24"/>
      <c r="R649" s="24"/>
      <c r="S649" s="64"/>
      <c r="V649" s="67"/>
      <c r="X649" s="67"/>
    </row>
    <row r="650" spans="1:24" s="27" customFormat="1">
      <c r="A650" s="31"/>
      <c r="B650" s="24"/>
      <c r="C650" s="30"/>
      <c r="D650" s="28"/>
      <c r="E650" s="31"/>
      <c r="F650" s="31"/>
      <c r="G650" s="31"/>
      <c r="I650" s="28"/>
      <c r="J650" s="62"/>
      <c r="K650" s="62"/>
      <c r="L650" s="33"/>
      <c r="M650" s="32"/>
      <c r="N650" s="34"/>
      <c r="O650" s="36"/>
      <c r="P650" s="68"/>
      <c r="Q650" s="24"/>
      <c r="R650" s="24"/>
      <c r="S650" s="64"/>
      <c r="V650" s="67"/>
      <c r="X650" s="67"/>
    </row>
    <row r="651" spans="1:24" s="27" customFormat="1">
      <c r="A651" s="31"/>
      <c r="B651" s="24"/>
      <c r="C651" s="30"/>
      <c r="D651" s="28"/>
      <c r="E651" s="31"/>
      <c r="F651" s="31"/>
      <c r="G651" s="31"/>
      <c r="I651" s="28"/>
      <c r="J651" s="62"/>
      <c r="K651" s="62"/>
      <c r="L651" s="33"/>
      <c r="M651" s="32"/>
      <c r="N651" s="34"/>
      <c r="O651" s="36"/>
      <c r="P651" s="68"/>
      <c r="Q651" s="24"/>
      <c r="R651" s="24"/>
      <c r="S651" s="64"/>
      <c r="V651" s="67"/>
      <c r="X651" s="67"/>
    </row>
    <row r="652" spans="1:24" s="27" customFormat="1">
      <c r="A652" s="31"/>
      <c r="B652" s="24"/>
      <c r="C652" s="30"/>
      <c r="D652" s="28"/>
      <c r="E652" s="31"/>
      <c r="F652" s="31"/>
      <c r="G652" s="31"/>
      <c r="I652" s="28"/>
      <c r="J652" s="62"/>
      <c r="K652" s="62"/>
      <c r="L652" s="33"/>
      <c r="M652" s="32"/>
      <c r="N652" s="34"/>
      <c r="O652" s="36"/>
      <c r="P652" s="68"/>
      <c r="Q652" s="24"/>
      <c r="R652" s="24"/>
      <c r="S652" s="64"/>
      <c r="V652" s="67"/>
      <c r="X652" s="67"/>
    </row>
    <row r="653" spans="1:24" s="27" customFormat="1">
      <c r="A653" s="31"/>
      <c r="B653" s="24"/>
      <c r="C653" s="30"/>
      <c r="D653" s="28"/>
      <c r="E653" s="31"/>
      <c r="F653" s="31"/>
      <c r="G653" s="31"/>
      <c r="I653" s="28"/>
      <c r="J653" s="62"/>
      <c r="K653" s="62"/>
      <c r="L653" s="33"/>
      <c r="M653" s="32"/>
      <c r="N653" s="34"/>
      <c r="O653" s="36"/>
      <c r="P653" s="68"/>
      <c r="Q653" s="24"/>
      <c r="R653" s="24"/>
      <c r="S653" s="64"/>
      <c r="V653" s="67"/>
      <c r="X653" s="67"/>
    </row>
    <row r="654" spans="1:24" s="27" customFormat="1">
      <c r="A654" s="31"/>
      <c r="B654" s="24"/>
      <c r="C654" s="30"/>
      <c r="D654" s="28"/>
      <c r="E654" s="31"/>
      <c r="F654" s="31"/>
      <c r="G654" s="31"/>
      <c r="I654" s="28"/>
      <c r="J654" s="62"/>
      <c r="K654" s="62"/>
      <c r="L654" s="33"/>
      <c r="M654" s="32"/>
      <c r="N654" s="34"/>
      <c r="O654" s="36"/>
      <c r="P654" s="68"/>
      <c r="Q654" s="24"/>
      <c r="R654" s="24"/>
      <c r="S654" s="64"/>
      <c r="V654" s="67"/>
      <c r="X654" s="67"/>
    </row>
    <row r="655" spans="1:24" s="27" customFormat="1">
      <c r="A655" s="31"/>
      <c r="B655" s="24"/>
      <c r="C655" s="30"/>
      <c r="D655" s="28"/>
      <c r="E655" s="31"/>
      <c r="F655" s="31"/>
      <c r="G655" s="31"/>
      <c r="I655" s="28"/>
      <c r="J655" s="62"/>
      <c r="K655" s="62"/>
      <c r="L655" s="33"/>
      <c r="M655" s="32"/>
      <c r="N655" s="34"/>
      <c r="O655" s="36"/>
      <c r="P655" s="68"/>
      <c r="Q655" s="24"/>
      <c r="R655" s="24"/>
      <c r="S655" s="64"/>
      <c r="V655" s="67"/>
      <c r="X655" s="67"/>
    </row>
    <row r="656" spans="1:24" s="27" customFormat="1">
      <c r="A656" s="31"/>
      <c r="B656" s="24"/>
      <c r="C656" s="30"/>
      <c r="D656" s="28"/>
      <c r="E656" s="31"/>
      <c r="F656" s="31"/>
      <c r="G656" s="31"/>
      <c r="I656" s="28"/>
      <c r="J656" s="62"/>
      <c r="K656" s="62"/>
      <c r="L656" s="33"/>
      <c r="M656" s="32"/>
      <c r="N656" s="34"/>
      <c r="O656" s="36"/>
      <c r="P656" s="68"/>
      <c r="Q656" s="24"/>
      <c r="R656" s="24"/>
      <c r="S656" s="64"/>
      <c r="V656" s="67"/>
      <c r="X656" s="67"/>
    </row>
    <row r="657" spans="1:24" s="27" customFormat="1">
      <c r="A657" s="31"/>
      <c r="B657" s="24"/>
      <c r="C657" s="30"/>
      <c r="D657" s="28"/>
      <c r="E657" s="31"/>
      <c r="F657" s="31"/>
      <c r="G657" s="31"/>
      <c r="I657" s="28"/>
      <c r="J657" s="62"/>
      <c r="K657" s="62"/>
      <c r="L657" s="33"/>
      <c r="M657" s="32"/>
      <c r="N657" s="34"/>
      <c r="O657" s="36"/>
      <c r="P657" s="68"/>
      <c r="Q657" s="24"/>
      <c r="R657" s="24"/>
      <c r="S657" s="64"/>
      <c r="V657" s="67"/>
      <c r="X657" s="67"/>
    </row>
    <row r="658" spans="1:24" s="27" customFormat="1">
      <c r="A658" s="31"/>
      <c r="B658" s="24"/>
      <c r="C658" s="30"/>
      <c r="D658" s="28"/>
      <c r="E658" s="31"/>
      <c r="F658" s="31"/>
      <c r="G658" s="31"/>
      <c r="I658" s="28"/>
      <c r="J658" s="62"/>
      <c r="K658" s="62"/>
      <c r="L658" s="33"/>
      <c r="M658" s="32"/>
      <c r="N658" s="34"/>
      <c r="O658" s="36"/>
      <c r="P658" s="68"/>
      <c r="Q658" s="24"/>
      <c r="R658" s="24"/>
      <c r="S658" s="64"/>
      <c r="V658" s="67"/>
      <c r="X658" s="67"/>
    </row>
    <row r="659" spans="1:24" s="27" customFormat="1">
      <c r="A659" s="31"/>
      <c r="B659" s="24"/>
      <c r="C659" s="30"/>
      <c r="D659" s="28"/>
      <c r="E659" s="31"/>
      <c r="F659" s="31"/>
      <c r="G659" s="31"/>
      <c r="I659" s="28"/>
      <c r="J659" s="62"/>
      <c r="K659" s="62"/>
      <c r="L659" s="33"/>
      <c r="M659" s="32"/>
      <c r="N659" s="34"/>
      <c r="O659" s="36"/>
      <c r="P659" s="68"/>
      <c r="Q659" s="24"/>
      <c r="R659" s="24"/>
      <c r="S659" s="64"/>
      <c r="V659" s="67"/>
      <c r="X659" s="67"/>
    </row>
    <row r="660" spans="1:24" s="27" customFormat="1">
      <c r="A660" s="31"/>
      <c r="B660" s="24"/>
      <c r="C660" s="30"/>
      <c r="D660" s="28"/>
      <c r="E660" s="31"/>
      <c r="F660" s="31"/>
      <c r="G660" s="31"/>
      <c r="I660" s="28"/>
      <c r="J660" s="62"/>
      <c r="K660" s="62"/>
      <c r="L660" s="33"/>
      <c r="M660" s="32"/>
      <c r="N660" s="34"/>
      <c r="O660" s="36"/>
      <c r="P660" s="68"/>
      <c r="Q660" s="24"/>
      <c r="R660" s="24"/>
      <c r="S660" s="64"/>
      <c r="V660" s="67"/>
      <c r="X660" s="67"/>
    </row>
    <row r="661" spans="1:24" s="27" customFormat="1">
      <c r="A661" s="31"/>
      <c r="B661" s="24"/>
      <c r="C661" s="30"/>
      <c r="D661" s="28"/>
      <c r="E661" s="31"/>
      <c r="F661" s="31"/>
      <c r="G661" s="31"/>
      <c r="I661" s="28"/>
      <c r="J661" s="62"/>
      <c r="K661" s="62"/>
      <c r="L661" s="33"/>
      <c r="M661" s="32"/>
      <c r="N661" s="34"/>
      <c r="O661" s="36"/>
      <c r="P661" s="68"/>
      <c r="Q661" s="24"/>
      <c r="R661" s="24"/>
      <c r="S661" s="64"/>
      <c r="V661" s="67"/>
      <c r="X661" s="67"/>
    </row>
    <row r="662" spans="1:24" s="27" customFormat="1">
      <c r="A662" s="31"/>
      <c r="B662" s="24"/>
      <c r="C662" s="30"/>
      <c r="D662" s="28"/>
      <c r="E662" s="31"/>
      <c r="F662" s="31"/>
      <c r="G662" s="31"/>
      <c r="I662" s="28"/>
      <c r="J662" s="62"/>
      <c r="K662" s="62"/>
      <c r="L662" s="33"/>
      <c r="M662" s="32"/>
      <c r="N662" s="34"/>
      <c r="O662" s="36"/>
      <c r="P662" s="68"/>
      <c r="Q662" s="24"/>
      <c r="R662" s="24"/>
      <c r="S662" s="64"/>
      <c r="V662" s="67"/>
      <c r="X662" s="67"/>
    </row>
    <row r="663" spans="1:24" s="27" customFormat="1">
      <c r="A663" s="31"/>
      <c r="B663" s="24"/>
      <c r="C663" s="30"/>
      <c r="D663" s="28"/>
      <c r="E663" s="31"/>
      <c r="F663" s="31"/>
      <c r="G663" s="31"/>
      <c r="I663" s="28"/>
      <c r="J663" s="62"/>
      <c r="K663" s="62"/>
      <c r="L663" s="33"/>
      <c r="M663" s="32"/>
      <c r="N663" s="34"/>
      <c r="O663" s="36"/>
      <c r="P663" s="68"/>
      <c r="Q663" s="24"/>
      <c r="R663" s="24"/>
      <c r="S663" s="64"/>
      <c r="V663" s="67"/>
      <c r="X663" s="67"/>
    </row>
    <row r="664" spans="1:24" s="27" customFormat="1">
      <c r="A664" s="31"/>
      <c r="B664" s="24"/>
      <c r="C664" s="30"/>
      <c r="D664" s="28"/>
      <c r="E664" s="31"/>
      <c r="F664" s="31"/>
      <c r="G664" s="31"/>
      <c r="I664" s="28"/>
      <c r="J664" s="62"/>
      <c r="K664" s="62"/>
      <c r="L664" s="33"/>
      <c r="M664" s="32"/>
      <c r="N664" s="34"/>
      <c r="O664" s="36"/>
      <c r="P664" s="68"/>
      <c r="Q664" s="24"/>
      <c r="R664" s="24"/>
      <c r="S664" s="64"/>
      <c r="V664" s="67"/>
      <c r="X664" s="67"/>
    </row>
    <row r="665" spans="1:24" s="27" customFormat="1">
      <c r="A665" s="31"/>
      <c r="B665" s="24"/>
      <c r="C665" s="30"/>
      <c r="D665" s="28"/>
      <c r="E665" s="31"/>
      <c r="F665" s="31"/>
      <c r="G665" s="31"/>
      <c r="I665" s="28"/>
      <c r="J665" s="62"/>
      <c r="K665" s="62"/>
      <c r="L665" s="33"/>
      <c r="M665" s="32"/>
      <c r="N665" s="34"/>
      <c r="O665" s="36"/>
      <c r="P665" s="68"/>
      <c r="Q665" s="24"/>
      <c r="R665" s="24"/>
      <c r="S665" s="64"/>
      <c r="V665" s="67"/>
      <c r="X665" s="67"/>
    </row>
    <row r="666" spans="1:24" s="27" customFormat="1">
      <c r="A666" s="31"/>
      <c r="B666" s="24"/>
      <c r="C666" s="30"/>
      <c r="D666" s="28"/>
      <c r="E666" s="31"/>
      <c r="F666" s="31"/>
      <c r="G666" s="31"/>
      <c r="I666" s="28"/>
      <c r="J666" s="62"/>
      <c r="K666" s="62"/>
      <c r="L666" s="33"/>
      <c r="M666" s="32"/>
      <c r="N666" s="34"/>
      <c r="O666" s="36"/>
      <c r="P666" s="68"/>
      <c r="Q666" s="24"/>
      <c r="R666" s="24"/>
      <c r="S666" s="64"/>
      <c r="V666" s="67"/>
      <c r="X666" s="67"/>
    </row>
    <row r="667" spans="1:24" s="27" customFormat="1">
      <c r="A667" s="31"/>
      <c r="B667" s="24"/>
      <c r="C667" s="30"/>
      <c r="D667" s="28"/>
      <c r="E667" s="31"/>
      <c r="F667" s="31"/>
      <c r="G667" s="31"/>
      <c r="I667" s="28"/>
      <c r="J667" s="62"/>
      <c r="K667" s="62"/>
      <c r="L667" s="33"/>
      <c r="M667" s="32"/>
      <c r="N667" s="34"/>
      <c r="O667" s="36"/>
      <c r="P667" s="68"/>
      <c r="Q667" s="24"/>
      <c r="R667" s="24"/>
      <c r="S667" s="64"/>
      <c r="V667" s="67"/>
      <c r="X667" s="67"/>
    </row>
    <row r="668" spans="1:24" s="27" customFormat="1">
      <c r="A668" s="31"/>
      <c r="B668" s="24"/>
      <c r="C668" s="30"/>
      <c r="D668" s="28"/>
      <c r="E668" s="31"/>
      <c r="F668" s="31"/>
      <c r="G668" s="31"/>
      <c r="I668" s="28"/>
      <c r="J668" s="62"/>
      <c r="K668" s="62"/>
      <c r="L668" s="33"/>
      <c r="M668" s="32"/>
      <c r="N668" s="34"/>
      <c r="O668" s="36"/>
      <c r="P668" s="68"/>
      <c r="Q668" s="24"/>
      <c r="R668" s="24"/>
      <c r="S668" s="64"/>
      <c r="V668" s="67"/>
      <c r="X668" s="67"/>
    </row>
    <row r="669" spans="1:24" s="27" customFormat="1">
      <c r="A669" s="31"/>
      <c r="B669" s="24"/>
      <c r="C669" s="30"/>
      <c r="D669" s="28"/>
      <c r="E669" s="31"/>
      <c r="F669" s="31"/>
      <c r="G669" s="31"/>
      <c r="I669" s="28"/>
      <c r="J669" s="62"/>
      <c r="K669" s="62"/>
      <c r="L669" s="33"/>
      <c r="M669" s="32"/>
      <c r="N669" s="34"/>
      <c r="O669" s="36"/>
      <c r="P669" s="68"/>
      <c r="Q669" s="24"/>
      <c r="R669" s="24"/>
      <c r="S669" s="64"/>
      <c r="V669" s="67"/>
      <c r="X669" s="67"/>
    </row>
    <row r="670" spans="1:24" s="27" customFormat="1">
      <c r="A670" s="31"/>
      <c r="B670" s="24"/>
      <c r="C670" s="30"/>
      <c r="D670" s="28"/>
      <c r="E670" s="31"/>
      <c r="F670" s="31"/>
      <c r="G670" s="31"/>
      <c r="I670" s="28"/>
      <c r="J670" s="62"/>
      <c r="K670" s="62"/>
      <c r="L670" s="33"/>
      <c r="M670" s="32"/>
      <c r="N670" s="34"/>
      <c r="O670" s="36"/>
      <c r="P670" s="68"/>
      <c r="Q670" s="24"/>
      <c r="R670" s="24"/>
      <c r="S670" s="64"/>
      <c r="V670" s="67"/>
      <c r="X670" s="67"/>
    </row>
    <row r="671" spans="1:24" s="27" customFormat="1">
      <c r="A671" s="31"/>
      <c r="B671" s="24"/>
      <c r="C671" s="30"/>
      <c r="D671" s="28"/>
      <c r="E671" s="31"/>
      <c r="F671" s="31"/>
      <c r="G671" s="31"/>
      <c r="I671" s="28"/>
      <c r="J671" s="62"/>
      <c r="K671" s="62"/>
      <c r="L671" s="33"/>
      <c r="M671" s="32"/>
      <c r="N671" s="34"/>
      <c r="O671" s="36"/>
      <c r="P671" s="68"/>
      <c r="Q671" s="24"/>
      <c r="R671" s="24"/>
      <c r="S671" s="64"/>
      <c r="V671" s="67"/>
      <c r="X671" s="67"/>
    </row>
    <row r="672" spans="1:24" s="27" customFormat="1">
      <c r="A672" s="31"/>
      <c r="B672" s="24"/>
      <c r="C672" s="30"/>
      <c r="D672" s="28"/>
      <c r="E672" s="31"/>
      <c r="F672" s="31"/>
      <c r="G672" s="31"/>
      <c r="I672" s="28"/>
      <c r="J672" s="62"/>
      <c r="K672" s="62"/>
      <c r="L672" s="33"/>
      <c r="M672" s="32"/>
      <c r="N672" s="34"/>
      <c r="O672" s="36"/>
      <c r="P672" s="68"/>
      <c r="Q672" s="24"/>
      <c r="R672" s="24"/>
      <c r="S672" s="64"/>
      <c r="V672" s="67"/>
      <c r="X672" s="67"/>
    </row>
    <row r="673" spans="1:24" s="27" customFormat="1">
      <c r="A673" s="31"/>
      <c r="B673" s="24"/>
      <c r="C673" s="30"/>
      <c r="D673" s="28"/>
      <c r="E673" s="31"/>
      <c r="F673" s="31"/>
      <c r="G673" s="31"/>
      <c r="I673" s="28"/>
      <c r="J673" s="62"/>
      <c r="K673" s="62"/>
      <c r="L673" s="33"/>
      <c r="M673" s="32"/>
      <c r="N673" s="34"/>
      <c r="O673" s="36"/>
      <c r="P673" s="68"/>
      <c r="Q673" s="24"/>
      <c r="R673" s="24"/>
      <c r="S673" s="64"/>
      <c r="V673" s="67"/>
      <c r="X673" s="67"/>
    </row>
    <row r="674" spans="1:24" s="27" customFormat="1">
      <c r="A674" s="31"/>
      <c r="B674" s="24"/>
      <c r="C674" s="30"/>
      <c r="D674" s="28"/>
      <c r="E674" s="31"/>
      <c r="F674" s="31"/>
      <c r="G674" s="31"/>
      <c r="I674" s="28"/>
      <c r="J674" s="62"/>
      <c r="K674" s="62"/>
      <c r="L674" s="33"/>
      <c r="M674" s="32"/>
      <c r="N674" s="34"/>
      <c r="O674" s="36"/>
      <c r="P674" s="68"/>
      <c r="Q674" s="24"/>
      <c r="R674" s="24"/>
      <c r="S674" s="64"/>
      <c r="V674" s="67"/>
      <c r="X674" s="67"/>
    </row>
    <row r="675" spans="1:24" s="27" customFormat="1">
      <c r="A675" s="31"/>
      <c r="B675" s="24"/>
      <c r="C675" s="30"/>
      <c r="D675" s="28"/>
      <c r="E675" s="31"/>
      <c r="F675" s="31"/>
      <c r="G675" s="31"/>
      <c r="I675" s="28"/>
      <c r="J675" s="62"/>
      <c r="K675" s="62"/>
      <c r="L675" s="33"/>
      <c r="M675" s="32"/>
      <c r="N675" s="34"/>
      <c r="O675" s="36"/>
      <c r="P675" s="68"/>
      <c r="Q675" s="24"/>
      <c r="R675" s="24"/>
      <c r="S675" s="64"/>
      <c r="V675" s="67"/>
      <c r="X675" s="67"/>
    </row>
    <row r="676" spans="1:24" s="27" customFormat="1">
      <c r="A676" s="31"/>
      <c r="B676" s="24"/>
      <c r="C676" s="30"/>
      <c r="D676" s="28"/>
      <c r="E676" s="31"/>
      <c r="F676" s="31"/>
      <c r="G676" s="31"/>
      <c r="I676" s="28"/>
      <c r="J676" s="62"/>
      <c r="K676" s="62"/>
      <c r="L676" s="33"/>
      <c r="M676" s="32"/>
      <c r="N676" s="34"/>
      <c r="O676" s="36"/>
      <c r="P676" s="68"/>
      <c r="Q676" s="24"/>
      <c r="R676" s="24"/>
      <c r="S676" s="64"/>
      <c r="V676" s="67"/>
      <c r="X676" s="67"/>
    </row>
    <row r="677" spans="1:24" s="27" customFormat="1">
      <c r="A677" s="31"/>
      <c r="B677" s="24"/>
      <c r="C677" s="30"/>
      <c r="D677" s="28"/>
      <c r="E677" s="31"/>
      <c r="F677" s="31"/>
      <c r="G677" s="31"/>
      <c r="I677" s="28"/>
      <c r="J677" s="62"/>
      <c r="K677" s="62"/>
      <c r="L677" s="33"/>
      <c r="M677" s="32"/>
      <c r="N677" s="34"/>
      <c r="O677" s="36"/>
      <c r="P677" s="68"/>
      <c r="Q677" s="24"/>
      <c r="R677" s="24"/>
      <c r="S677" s="64"/>
      <c r="V677" s="67"/>
      <c r="X677" s="67"/>
    </row>
    <row r="678" spans="1:24" s="27" customFormat="1">
      <c r="A678" s="31"/>
      <c r="B678" s="24"/>
      <c r="C678" s="30"/>
      <c r="D678" s="28"/>
      <c r="E678" s="31"/>
      <c r="F678" s="31"/>
      <c r="G678" s="31"/>
      <c r="I678" s="28"/>
      <c r="J678" s="62"/>
      <c r="K678" s="62"/>
      <c r="L678" s="33"/>
      <c r="M678" s="32"/>
      <c r="N678" s="34"/>
      <c r="O678" s="36"/>
      <c r="P678" s="68"/>
      <c r="Q678" s="24"/>
      <c r="R678" s="24"/>
      <c r="S678" s="64"/>
      <c r="V678" s="67"/>
      <c r="X678" s="67"/>
    </row>
    <row r="679" spans="1:24" s="27" customFormat="1">
      <c r="A679" s="31"/>
      <c r="B679" s="24"/>
      <c r="C679" s="30"/>
      <c r="D679" s="28"/>
      <c r="E679" s="31"/>
      <c r="F679" s="31"/>
      <c r="G679" s="31"/>
      <c r="I679" s="28"/>
      <c r="J679" s="62"/>
      <c r="K679" s="62"/>
      <c r="L679" s="33"/>
      <c r="M679" s="32"/>
      <c r="N679" s="34"/>
      <c r="O679" s="36"/>
      <c r="P679" s="68"/>
      <c r="Q679" s="24"/>
      <c r="R679" s="24"/>
      <c r="S679" s="64"/>
      <c r="V679" s="67"/>
      <c r="X679" s="67"/>
    </row>
    <row r="680" spans="1:24" s="27" customFormat="1">
      <c r="A680" s="31"/>
      <c r="B680" s="24"/>
      <c r="C680" s="30"/>
      <c r="D680" s="28"/>
      <c r="E680" s="31"/>
      <c r="F680" s="31"/>
      <c r="G680" s="31"/>
      <c r="I680" s="28"/>
      <c r="J680" s="62"/>
      <c r="K680" s="62"/>
      <c r="L680" s="33"/>
      <c r="M680" s="32"/>
      <c r="N680" s="34"/>
      <c r="O680" s="36"/>
      <c r="P680" s="68"/>
      <c r="Q680" s="24"/>
      <c r="R680" s="24"/>
      <c r="S680" s="64"/>
      <c r="V680" s="67"/>
      <c r="X680" s="67"/>
    </row>
    <row r="681" spans="1:24" s="27" customFormat="1">
      <c r="A681" s="31"/>
      <c r="B681" s="24"/>
      <c r="C681" s="30"/>
      <c r="D681" s="28"/>
      <c r="E681" s="31"/>
      <c r="F681" s="31"/>
      <c r="G681" s="31"/>
      <c r="I681" s="28"/>
      <c r="J681" s="62"/>
      <c r="K681" s="62"/>
      <c r="L681" s="33"/>
      <c r="M681" s="32"/>
      <c r="N681" s="34"/>
      <c r="O681" s="36"/>
      <c r="P681" s="68"/>
      <c r="Q681" s="24"/>
      <c r="R681" s="24"/>
      <c r="S681" s="64"/>
      <c r="V681" s="67"/>
      <c r="X681" s="67"/>
    </row>
    <row r="682" spans="1:24" s="27" customFormat="1">
      <c r="A682" s="31"/>
      <c r="B682" s="24"/>
      <c r="C682" s="30"/>
      <c r="D682" s="28"/>
      <c r="E682" s="31"/>
      <c r="F682" s="31"/>
      <c r="G682" s="31"/>
      <c r="I682" s="28"/>
      <c r="J682" s="62"/>
      <c r="K682" s="62"/>
      <c r="L682" s="33"/>
      <c r="M682" s="32"/>
      <c r="N682" s="34"/>
      <c r="O682" s="36"/>
      <c r="P682" s="68"/>
      <c r="Q682" s="24"/>
      <c r="R682" s="24"/>
      <c r="S682" s="64"/>
      <c r="V682" s="67"/>
      <c r="X682" s="67"/>
    </row>
    <row r="683" spans="1:24" s="27" customFormat="1">
      <c r="A683" s="31"/>
      <c r="B683" s="24"/>
      <c r="C683" s="30"/>
      <c r="D683" s="28"/>
      <c r="E683" s="31"/>
      <c r="F683" s="31"/>
      <c r="G683" s="31"/>
      <c r="I683" s="28"/>
      <c r="J683" s="62"/>
      <c r="K683" s="62"/>
      <c r="L683" s="33"/>
      <c r="M683" s="32"/>
      <c r="N683" s="34"/>
      <c r="O683" s="36"/>
      <c r="P683" s="68"/>
      <c r="Q683" s="24"/>
      <c r="R683" s="24"/>
      <c r="S683" s="64"/>
      <c r="V683" s="67"/>
      <c r="X683" s="67"/>
    </row>
    <row r="684" spans="1:24" s="27" customFormat="1">
      <c r="A684" s="31"/>
      <c r="B684" s="24"/>
      <c r="C684" s="30"/>
      <c r="D684" s="28"/>
      <c r="E684" s="31"/>
      <c r="F684" s="31"/>
      <c r="G684" s="31"/>
      <c r="I684" s="28"/>
      <c r="J684" s="62"/>
      <c r="K684" s="62"/>
      <c r="L684" s="33"/>
      <c r="M684" s="32"/>
      <c r="N684" s="34"/>
      <c r="O684" s="36"/>
      <c r="P684" s="68"/>
      <c r="Q684" s="24"/>
      <c r="R684" s="24"/>
      <c r="S684" s="64"/>
      <c r="V684" s="67"/>
      <c r="X684" s="67"/>
    </row>
    <row r="685" spans="1:24" s="27" customFormat="1">
      <c r="A685" s="31"/>
      <c r="B685" s="24"/>
      <c r="C685" s="30"/>
      <c r="D685" s="28"/>
      <c r="E685" s="31"/>
      <c r="F685" s="31"/>
      <c r="G685" s="31"/>
      <c r="I685" s="28"/>
      <c r="J685" s="62"/>
      <c r="K685" s="62"/>
      <c r="L685" s="33"/>
      <c r="M685" s="32"/>
      <c r="N685" s="34"/>
      <c r="O685" s="36"/>
      <c r="P685" s="68"/>
      <c r="Q685" s="24"/>
      <c r="R685" s="24"/>
      <c r="S685" s="64"/>
      <c r="V685" s="67"/>
      <c r="X685" s="67"/>
    </row>
    <row r="686" spans="1:24" s="27" customFormat="1">
      <c r="A686" s="31"/>
      <c r="B686" s="24"/>
      <c r="C686" s="30"/>
      <c r="D686" s="28"/>
      <c r="E686" s="31"/>
      <c r="F686" s="31"/>
      <c r="G686" s="31"/>
      <c r="I686" s="28"/>
      <c r="J686" s="62"/>
      <c r="K686" s="62"/>
      <c r="L686" s="33"/>
      <c r="M686" s="32"/>
      <c r="N686" s="34"/>
      <c r="O686" s="36"/>
      <c r="P686" s="68"/>
      <c r="Q686" s="24"/>
      <c r="R686" s="24"/>
      <c r="S686" s="64"/>
      <c r="V686" s="67"/>
      <c r="X686" s="67"/>
    </row>
    <row r="687" spans="1:24" s="27" customFormat="1">
      <c r="A687" s="31"/>
      <c r="B687" s="24"/>
      <c r="C687" s="30"/>
      <c r="D687" s="28"/>
      <c r="E687" s="31"/>
      <c r="F687" s="31"/>
      <c r="G687" s="31"/>
      <c r="I687" s="28"/>
      <c r="J687" s="62"/>
      <c r="K687" s="62"/>
      <c r="L687" s="33"/>
      <c r="M687" s="32"/>
      <c r="N687" s="34"/>
      <c r="O687" s="36"/>
      <c r="P687" s="68"/>
      <c r="Q687" s="24"/>
      <c r="R687" s="24"/>
      <c r="S687" s="64"/>
      <c r="V687" s="67"/>
      <c r="X687" s="67"/>
    </row>
    <row r="688" spans="1:24" s="27" customFormat="1">
      <c r="A688" s="31"/>
      <c r="B688" s="24"/>
      <c r="C688" s="30"/>
      <c r="D688" s="28"/>
      <c r="E688" s="31"/>
      <c r="F688" s="31"/>
      <c r="G688" s="31"/>
      <c r="I688" s="28"/>
      <c r="J688" s="62"/>
      <c r="K688" s="62"/>
      <c r="L688" s="33"/>
      <c r="M688" s="32"/>
      <c r="N688" s="34"/>
      <c r="O688" s="36"/>
      <c r="P688" s="68"/>
      <c r="Q688" s="24"/>
      <c r="R688" s="24"/>
      <c r="S688" s="64"/>
      <c r="V688" s="67"/>
      <c r="X688" s="67"/>
    </row>
    <row r="689" spans="1:24" s="27" customFormat="1">
      <c r="A689" s="31"/>
      <c r="B689" s="24"/>
      <c r="C689" s="30"/>
      <c r="D689" s="28"/>
      <c r="E689" s="31"/>
      <c r="F689" s="31"/>
      <c r="G689" s="31"/>
      <c r="I689" s="28"/>
      <c r="J689" s="62"/>
      <c r="K689" s="62"/>
      <c r="L689" s="33"/>
      <c r="M689" s="32"/>
      <c r="N689" s="34"/>
      <c r="O689" s="36"/>
      <c r="P689" s="68"/>
      <c r="Q689" s="24"/>
      <c r="R689" s="24"/>
      <c r="S689" s="64"/>
      <c r="V689" s="67"/>
      <c r="X689" s="67"/>
    </row>
    <row r="690" spans="1:24" s="27" customFormat="1">
      <c r="A690" s="31"/>
      <c r="B690" s="24"/>
      <c r="C690" s="30"/>
      <c r="D690" s="28"/>
      <c r="E690" s="31"/>
      <c r="F690" s="31"/>
      <c r="G690" s="31"/>
      <c r="I690" s="28"/>
      <c r="J690" s="62"/>
      <c r="K690" s="62"/>
      <c r="L690" s="33"/>
      <c r="M690" s="32"/>
      <c r="N690" s="34"/>
      <c r="O690" s="36"/>
      <c r="P690" s="68"/>
      <c r="Q690" s="24"/>
      <c r="R690" s="24"/>
      <c r="S690" s="64"/>
      <c r="V690" s="67"/>
      <c r="X690" s="67"/>
    </row>
    <row r="691" spans="1:24" s="27" customFormat="1">
      <c r="A691" s="31"/>
      <c r="B691" s="24"/>
      <c r="C691" s="30"/>
      <c r="D691" s="28"/>
      <c r="E691" s="31"/>
      <c r="F691" s="31"/>
      <c r="G691" s="31"/>
      <c r="I691" s="28"/>
      <c r="J691" s="62"/>
      <c r="K691" s="62"/>
      <c r="L691" s="33"/>
      <c r="M691" s="32"/>
      <c r="N691" s="34"/>
      <c r="O691" s="36"/>
      <c r="P691" s="68"/>
      <c r="Q691" s="24"/>
      <c r="R691" s="24"/>
      <c r="S691" s="64"/>
      <c r="V691" s="67"/>
      <c r="X691" s="67"/>
    </row>
    <row r="692" spans="1:24" s="27" customFormat="1">
      <c r="A692" s="31"/>
      <c r="B692" s="24"/>
      <c r="C692" s="30"/>
      <c r="D692" s="28"/>
      <c r="E692" s="31"/>
      <c r="F692" s="31"/>
      <c r="G692" s="31"/>
      <c r="I692" s="28"/>
      <c r="J692" s="62"/>
      <c r="K692" s="62"/>
      <c r="L692" s="33"/>
      <c r="M692" s="32"/>
      <c r="N692" s="34"/>
      <c r="O692" s="36"/>
      <c r="P692" s="68"/>
      <c r="Q692" s="24"/>
      <c r="R692" s="24"/>
      <c r="S692" s="64"/>
      <c r="V692" s="67"/>
      <c r="X692" s="67"/>
    </row>
    <row r="693" spans="1:24" s="27" customFormat="1">
      <c r="A693" s="31"/>
      <c r="B693" s="24"/>
      <c r="C693" s="30"/>
      <c r="D693" s="28"/>
      <c r="E693" s="31"/>
      <c r="F693" s="31"/>
      <c r="G693" s="31"/>
      <c r="I693" s="28"/>
      <c r="J693" s="62"/>
      <c r="K693" s="62"/>
      <c r="L693" s="33"/>
      <c r="M693" s="32"/>
      <c r="N693" s="34"/>
      <c r="O693" s="36"/>
      <c r="P693" s="68"/>
      <c r="Q693" s="24"/>
      <c r="R693" s="24"/>
      <c r="S693" s="64"/>
      <c r="V693" s="67"/>
      <c r="X693" s="67"/>
    </row>
    <row r="694" spans="1:24" s="27" customFormat="1">
      <c r="A694" s="31"/>
      <c r="B694" s="24"/>
      <c r="C694" s="30"/>
      <c r="D694" s="28"/>
      <c r="E694" s="31"/>
      <c r="F694" s="31"/>
      <c r="G694" s="31"/>
      <c r="I694" s="28"/>
      <c r="J694" s="62"/>
      <c r="K694" s="62"/>
      <c r="L694" s="33"/>
      <c r="M694" s="32"/>
      <c r="N694" s="34"/>
      <c r="O694" s="36"/>
      <c r="P694" s="68"/>
      <c r="Q694" s="24"/>
      <c r="R694" s="24"/>
      <c r="S694" s="64"/>
      <c r="V694" s="67"/>
      <c r="X694" s="67"/>
    </row>
    <row r="695" spans="1:24" s="27" customFormat="1">
      <c r="A695" s="31"/>
      <c r="B695" s="24"/>
      <c r="C695" s="30"/>
      <c r="D695" s="28"/>
      <c r="E695" s="31"/>
      <c r="F695" s="31"/>
      <c r="G695" s="31"/>
      <c r="I695" s="28"/>
      <c r="J695" s="62"/>
      <c r="K695" s="62"/>
      <c r="L695" s="33"/>
      <c r="M695" s="32"/>
      <c r="N695" s="34"/>
      <c r="O695" s="36"/>
      <c r="P695" s="68"/>
      <c r="Q695" s="24"/>
      <c r="R695" s="24"/>
      <c r="S695" s="64"/>
      <c r="V695" s="67"/>
      <c r="X695" s="67"/>
    </row>
    <row r="696" spans="1:24" s="27" customFormat="1">
      <c r="A696" s="31"/>
      <c r="B696" s="24"/>
      <c r="C696" s="30"/>
      <c r="D696" s="28"/>
      <c r="E696" s="31"/>
      <c r="F696" s="31"/>
      <c r="G696" s="31"/>
      <c r="I696" s="28"/>
      <c r="J696" s="62"/>
      <c r="K696" s="62"/>
      <c r="L696" s="33"/>
      <c r="M696" s="32"/>
      <c r="N696" s="34"/>
      <c r="O696" s="36"/>
      <c r="P696" s="68"/>
      <c r="Q696" s="24"/>
      <c r="R696" s="24"/>
      <c r="S696" s="64"/>
      <c r="V696" s="67"/>
      <c r="X696" s="67"/>
    </row>
    <row r="697" spans="1:24" s="27" customFormat="1">
      <c r="A697" s="31"/>
      <c r="B697" s="24"/>
      <c r="C697" s="30"/>
      <c r="D697" s="28"/>
      <c r="E697" s="31"/>
      <c r="F697" s="31"/>
      <c r="G697" s="31"/>
      <c r="I697" s="28"/>
      <c r="J697" s="62"/>
      <c r="K697" s="62"/>
      <c r="L697" s="33"/>
      <c r="M697" s="32"/>
      <c r="N697" s="34"/>
      <c r="O697" s="36"/>
      <c r="P697" s="68"/>
      <c r="Q697" s="24"/>
      <c r="R697" s="24"/>
      <c r="S697" s="64"/>
      <c r="V697" s="67"/>
      <c r="X697" s="67"/>
    </row>
    <row r="698" spans="1:24" s="27" customFormat="1">
      <c r="A698" s="31"/>
      <c r="B698" s="24"/>
      <c r="C698" s="30"/>
      <c r="D698" s="28"/>
      <c r="E698" s="31"/>
      <c r="F698" s="31"/>
      <c r="G698" s="31"/>
      <c r="I698" s="28"/>
      <c r="J698" s="62"/>
      <c r="K698" s="62"/>
      <c r="L698" s="33"/>
      <c r="M698" s="32"/>
      <c r="N698" s="34"/>
      <c r="O698" s="36"/>
      <c r="P698" s="68"/>
      <c r="Q698" s="24"/>
      <c r="R698" s="24"/>
      <c r="S698" s="64"/>
      <c r="V698" s="67"/>
      <c r="X698" s="67"/>
    </row>
    <row r="699" spans="1:24" s="27" customFormat="1">
      <c r="A699" s="31"/>
      <c r="B699" s="24"/>
      <c r="C699" s="30"/>
      <c r="D699" s="28"/>
      <c r="E699" s="31"/>
      <c r="F699" s="31"/>
      <c r="G699" s="31"/>
      <c r="I699" s="28"/>
      <c r="J699" s="62"/>
      <c r="K699" s="62"/>
      <c r="L699" s="33"/>
      <c r="M699" s="32"/>
      <c r="N699" s="34"/>
      <c r="O699" s="36"/>
      <c r="P699" s="68"/>
      <c r="Q699" s="24"/>
      <c r="R699" s="24"/>
      <c r="S699" s="64"/>
      <c r="V699" s="67"/>
      <c r="X699" s="67"/>
    </row>
    <row r="700" spans="1:24" s="27" customFormat="1">
      <c r="A700" s="31"/>
      <c r="B700" s="24"/>
      <c r="C700" s="30"/>
      <c r="D700" s="28"/>
      <c r="E700" s="31"/>
      <c r="F700" s="31"/>
      <c r="G700" s="31"/>
      <c r="I700" s="28"/>
      <c r="J700" s="62"/>
      <c r="K700" s="62"/>
      <c r="L700" s="33"/>
      <c r="M700" s="32"/>
      <c r="N700" s="34"/>
      <c r="O700" s="36"/>
      <c r="P700" s="68"/>
      <c r="Q700" s="24"/>
      <c r="R700" s="24"/>
      <c r="S700" s="64"/>
      <c r="V700" s="67"/>
      <c r="X700" s="67"/>
    </row>
    <row r="701" spans="1:24" s="27" customFormat="1">
      <c r="A701" s="31"/>
      <c r="B701" s="24"/>
      <c r="C701" s="30"/>
      <c r="D701" s="28"/>
      <c r="E701" s="31"/>
      <c r="F701" s="31"/>
      <c r="G701" s="31"/>
      <c r="I701" s="28"/>
      <c r="J701" s="62"/>
      <c r="K701" s="62"/>
      <c r="L701" s="33"/>
      <c r="M701" s="32"/>
      <c r="N701" s="34"/>
      <c r="O701" s="36"/>
      <c r="P701" s="68"/>
      <c r="Q701" s="24"/>
      <c r="R701" s="24"/>
      <c r="S701" s="64"/>
      <c r="V701" s="67"/>
      <c r="X701" s="67"/>
    </row>
    <row r="702" spans="1:24" s="27" customFormat="1">
      <c r="A702" s="31"/>
      <c r="B702" s="24"/>
      <c r="C702" s="30"/>
      <c r="D702" s="28"/>
      <c r="E702" s="31"/>
      <c r="F702" s="31"/>
      <c r="G702" s="31"/>
      <c r="I702" s="28"/>
      <c r="J702" s="62"/>
      <c r="K702" s="62"/>
      <c r="L702" s="33"/>
      <c r="M702" s="32"/>
      <c r="N702" s="34"/>
      <c r="O702" s="36"/>
      <c r="P702" s="68"/>
      <c r="Q702" s="24"/>
      <c r="R702" s="24"/>
      <c r="S702" s="64"/>
      <c r="V702" s="67"/>
      <c r="X702" s="67"/>
    </row>
    <row r="703" spans="1:24" s="27" customFormat="1">
      <c r="A703" s="31"/>
      <c r="B703" s="24"/>
      <c r="C703" s="30"/>
      <c r="D703" s="28"/>
      <c r="E703" s="31"/>
      <c r="F703" s="31"/>
      <c r="G703" s="31"/>
      <c r="I703" s="28"/>
      <c r="J703" s="62"/>
      <c r="K703" s="62"/>
      <c r="L703" s="33"/>
      <c r="M703" s="32"/>
      <c r="N703" s="34"/>
      <c r="O703" s="36"/>
      <c r="P703" s="68"/>
      <c r="Q703" s="24"/>
      <c r="R703" s="24"/>
      <c r="S703" s="64"/>
      <c r="V703" s="67"/>
      <c r="X703" s="67"/>
    </row>
    <row r="704" spans="1:24" s="27" customFormat="1">
      <c r="A704" s="31"/>
      <c r="B704" s="24"/>
      <c r="C704" s="30"/>
      <c r="D704" s="28"/>
      <c r="E704" s="31"/>
      <c r="F704" s="31"/>
      <c r="G704" s="31"/>
      <c r="I704" s="28"/>
      <c r="J704" s="62"/>
      <c r="K704" s="62"/>
      <c r="L704" s="33"/>
      <c r="M704" s="32"/>
      <c r="N704" s="34"/>
      <c r="O704" s="36"/>
      <c r="P704" s="68"/>
      <c r="Q704" s="24"/>
      <c r="R704" s="24"/>
      <c r="S704" s="64"/>
      <c r="V704" s="67"/>
      <c r="X704" s="67"/>
    </row>
    <row r="705" spans="1:24" s="27" customFormat="1">
      <c r="A705" s="31"/>
      <c r="B705" s="24"/>
      <c r="C705" s="30"/>
      <c r="D705" s="28"/>
      <c r="E705" s="31"/>
      <c r="F705" s="31"/>
      <c r="G705" s="31"/>
      <c r="I705" s="28"/>
      <c r="J705" s="62"/>
      <c r="K705" s="62"/>
      <c r="L705" s="33"/>
      <c r="M705" s="32"/>
      <c r="N705" s="34"/>
      <c r="O705" s="36"/>
      <c r="P705" s="68"/>
      <c r="Q705" s="24"/>
      <c r="R705" s="24"/>
      <c r="S705" s="64"/>
      <c r="V705" s="67"/>
      <c r="X705" s="67"/>
    </row>
    <row r="706" spans="1:24" s="27" customFormat="1">
      <c r="A706" s="31"/>
      <c r="B706" s="24"/>
      <c r="C706" s="30"/>
      <c r="D706" s="28"/>
      <c r="E706" s="31"/>
      <c r="F706" s="31"/>
      <c r="G706" s="31"/>
      <c r="I706" s="28"/>
      <c r="J706" s="62"/>
      <c r="K706" s="62"/>
      <c r="L706" s="33"/>
      <c r="M706" s="32"/>
      <c r="N706" s="34"/>
      <c r="O706" s="36"/>
      <c r="P706" s="68"/>
      <c r="Q706" s="24"/>
      <c r="R706" s="24"/>
      <c r="S706" s="64"/>
      <c r="V706" s="67"/>
      <c r="X706" s="67"/>
    </row>
    <row r="707" spans="1:24" s="27" customFormat="1">
      <c r="A707" s="31"/>
      <c r="B707" s="24"/>
      <c r="C707" s="30"/>
      <c r="D707" s="28"/>
      <c r="E707" s="31"/>
      <c r="F707" s="31"/>
      <c r="G707" s="31"/>
      <c r="I707" s="28"/>
      <c r="J707" s="62"/>
      <c r="K707" s="62"/>
      <c r="L707" s="33"/>
      <c r="M707" s="32"/>
      <c r="N707" s="34"/>
      <c r="O707" s="36"/>
      <c r="P707" s="68"/>
      <c r="Q707" s="24"/>
      <c r="R707" s="24"/>
      <c r="S707" s="64"/>
      <c r="V707" s="67"/>
      <c r="X707" s="67"/>
    </row>
    <row r="708" spans="1:24" s="27" customFormat="1">
      <c r="A708" s="31"/>
      <c r="B708" s="24"/>
      <c r="C708" s="30"/>
      <c r="D708" s="28"/>
      <c r="E708" s="31"/>
      <c r="F708" s="31"/>
      <c r="G708" s="31"/>
      <c r="I708" s="28"/>
      <c r="J708" s="62"/>
      <c r="K708" s="62"/>
      <c r="L708" s="33"/>
      <c r="M708" s="32"/>
      <c r="N708" s="34"/>
      <c r="O708" s="36"/>
      <c r="P708" s="68"/>
      <c r="Q708" s="24"/>
      <c r="R708" s="24"/>
      <c r="S708" s="64"/>
      <c r="V708" s="67"/>
      <c r="X708" s="67"/>
    </row>
    <row r="709" spans="1:24" s="27" customFormat="1">
      <c r="A709" s="31"/>
      <c r="B709" s="24"/>
      <c r="C709" s="30"/>
      <c r="D709" s="28"/>
      <c r="E709" s="31"/>
      <c r="F709" s="31"/>
      <c r="G709" s="31"/>
      <c r="I709" s="28"/>
      <c r="J709" s="62"/>
      <c r="K709" s="62"/>
      <c r="L709" s="33"/>
      <c r="M709" s="32"/>
      <c r="N709" s="34"/>
      <c r="O709" s="36"/>
      <c r="P709" s="68"/>
      <c r="Q709" s="24"/>
      <c r="R709" s="24"/>
      <c r="S709" s="64"/>
      <c r="V709" s="67"/>
      <c r="X709" s="67"/>
    </row>
    <row r="710" spans="1:24" s="27" customFormat="1">
      <c r="A710" s="31"/>
      <c r="B710" s="24"/>
      <c r="C710" s="30"/>
      <c r="D710" s="28"/>
      <c r="E710" s="31"/>
      <c r="F710" s="31"/>
      <c r="G710" s="31"/>
      <c r="I710" s="28"/>
      <c r="J710" s="62"/>
      <c r="K710" s="62"/>
      <c r="L710" s="33"/>
      <c r="M710" s="32"/>
      <c r="N710" s="34"/>
      <c r="O710" s="36"/>
      <c r="P710" s="68"/>
      <c r="Q710" s="24"/>
      <c r="R710" s="24"/>
      <c r="S710" s="64"/>
      <c r="V710" s="67"/>
      <c r="X710" s="67"/>
    </row>
    <row r="711" spans="1:24" s="27" customFormat="1">
      <c r="A711" s="31"/>
      <c r="B711" s="24"/>
      <c r="C711" s="30"/>
      <c r="D711" s="28"/>
      <c r="E711" s="31"/>
      <c r="F711" s="31"/>
      <c r="G711" s="31"/>
      <c r="I711" s="28"/>
      <c r="J711" s="62"/>
      <c r="K711" s="62"/>
      <c r="L711" s="33"/>
      <c r="M711" s="32"/>
      <c r="N711" s="34"/>
      <c r="O711" s="36"/>
      <c r="P711" s="68"/>
      <c r="Q711" s="24"/>
      <c r="R711" s="24"/>
      <c r="S711" s="64"/>
      <c r="V711" s="67"/>
      <c r="X711" s="67"/>
    </row>
    <row r="712" spans="1:24" s="27" customFormat="1">
      <c r="A712" s="31"/>
      <c r="B712" s="24"/>
      <c r="C712" s="30"/>
      <c r="D712" s="28"/>
      <c r="E712" s="31"/>
      <c r="F712" s="31"/>
      <c r="G712" s="31"/>
      <c r="I712" s="28"/>
      <c r="J712" s="62"/>
      <c r="K712" s="62"/>
      <c r="L712" s="33"/>
      <c r="M712" s="32"/>
      <c r="N712" s="34"/>
      <c r="O712" s="36"/>
      <c r="P712" s="68"/>
      <c r="Q712" s="24"/>
      <c r="R712" s="24"/>
      <c r="S712" s="64"/>
      <c r="V712" s="67"/>
      <c r="X712" s="67"/>
    </row>
    <row r="713" spans="1:24" s="27" customFormat="1">
      <c r="A713" s="31"/>
      <c r="B713" s="24"/>
      <c r="C713" s="30"/>
      <c r="D713" s="28"/>
      <c r="E713" s="31"/>
      <c r="F713" s="31"/>
      <c r="G713" s="31"/>
      <c r="I713" s="28"/>
      <c r="J713" s="62"/>
      <c r="K713" s="62"/>
      <c r="L713" s="33"/>
      <c r="M713" s="32"/>
      <c r="N713" s="34"/>
      <c r="O713" s="36"/>
      <c r="P713" s="68"/>
      <c r="Q713" s="24"/>
      <c r="R713" s="24"/>
      <c r="S713" s="64"/>
      <c r="V713" s="67"/>
      <c r="X713" s="67"/>
    </row>
    <row r="714" spans="1:24" s="27" customFormat="1">
      <c r="A714" s="31"/>
      <c r="B714" s="24"/>
      <c r="C714" s="30"/>
      <c r="D714" s="28"/>
      <c r="E714" s="31"/>
      <c r="F714" s="31"/>
      <c r="G714" s="31"/>
      <c r="I714" s="28"/>
      <c r="J714" s="62"/>
      <c r="K714" s="62"/>
      <c r="L714" s="33"/>
      <c r="M714" s="32"/>
      <c r="N714" s="34"/>
      <c r="O714" s="36"/>
      <c r="P714" s="68"/>
      <c r="Q714" s="24"/>
      <c r="R714" s="24"/>
      <c r="S714" s="64"/>
      <c r="V714" s="67"/>
      <c r="X714" s="67"/>
    </row>
    <row r="715" spans="1:24" s="27" customFormat="1">
      <c r="A715" s="31"/>
      <c r="B715" s="24"/>
      <c r="C715" s="30"/>
      <c r="D715" s="28"/>
      <c r="E715" s="31"/>
      <c r="F715" s="31"/>
      <c r="G715" s="31"/>
      <c r="I715" s="28"/>
      <c r="J715" s="62"/>
      <c r="K715" s="62"/>
      <c r="L715" s="33"/>
      <c r="M715" s="32"/>
      <c r="N715" s="34"/>
      <c r="O715" s="36"/>
      <c r="P715" s="68"/>
      <c r="Q715" s="24"/>
      <c r="R715" s="24"/>
      <c r="S715" s="64"/>
      <c r="V715" s="67"/>
      <c r="X715" s="67"/>
    </row>
    <row r="716" spans="1:24" s="27" customFormat="1">
      <c r="A716" s="31"/>
      <c r="B716" s="24"/>
      <c r="C716" s="30"/>
      <c r="D716" s="28"/>
      <c r="E716" s="31"/>
      <c r="F716" s="31"/>
      <c r="G716" s="31"/>
      <c r="I716" s="28"/>
      <c r="J716" s="62"/>
      <c r="K716" s="62"/>
      <c r="L716" s="33"/>
      <c r="M716" s="32"/>
      <c r="N716" s="34"/>
      <c r="O716" s="36"/>
      <c r="P716" s="68"/>
      <c r="Q716" s="24"/>
      <c r="R716" s="24"/>
      <c r="S716" s="64"/>
      <c r="V716" s="67"/>
      <c r="X716" s="67"/>
    </row>
    <row r="717" spans="1:24" s="27" customFormat="1">
      <c r="A717" s="31"/>
      <c r="B717" s="24"/>
      <c r="C717" s="30"/>
      <c r="D717" s="28"/>
      <c r="E717" s="31"/>
      <c r="F717" s="31"/>
      <c r="G717" s="31"/>
      <c r="I717" s="28"/>
      <c r="J717" s="62"/>
      <c r="K717" s="62"/>
      <c r="L717" s="33"/>
      <c r="M717" s="32"/>
      <c r="N717" s="34"/>
      <c r="O717" s="36"/>
      <c r="P717" s="68"/>
      <c r="Q717" s="24"/>
      <c r="R717" s="24"/>
      <c r="S717" s="64"/>
      <c r="V717" s="67"/>
      <c r="X717" s="67"/>
    </row>
    <row r="718" spans="1:24" s="27" customFormat="1">
      <c r="A718" s="31"/>
      <c r="B718" s="24"/>
      <c r="C718" s="30"/>
      <c r="D718" s="28"/>
      <c r="E718" s="31"/>
      <c r="F718" s="31"/>
      <c r="G718" s="31"/>
      <c r="I718" s="28"/>
      <c r="J718" s="62"/>
      <c r="K718" s="62"/>
      <c r="L718" s="33"/>
      <c r="M718" s="32"/>
      <c r="N718" s="34"/>
      <c r="O718" s="36"/>
      <c r="P718" s="68"/>
      <c r="Q718" s="24"/>
      <c r="R718" s="24"/>
      <c r="S718" s="64"/>
      <c r="V718" s="67"/>
      <c r="X718" s="67"/>
    </row>
    <row r="719" spans="1:24" s="27" customFormat="1">
      <c r="A719" s="31"/>
      <c r="B719" s="24"/>
      <c r="C719" s="30"/>
      <c r="D719" s="28"/>
      <c r="E719" s="31"/>
      <c r="F719" s="31"/>
      <c r="G719" s="31"/>
      <c r="I719" s="28"/>
      <c r="J719" s="62"/>
      <c r="K719" s="62"/>
      <c r="L719" s="33"/>
      <c r="M719" s="32"/>
      <c r="N719" s="34"/>
      <c r="O719" s="36"/>
      <c r="P719" s="68"/>
      <c r="Q719" s="24"/>
      <c r="R719" s="24"/>
      <c r="S719" s="64"/>
      <c r="V719" s="67"/>
      <c r="X719" s="67"/>
    </row>
    <row r="720" spans="1:24" s="27" customFormat="1">
      <c r="A720" s="31"/>
      <c r="B720" s="24"/>
      <c r="C720" s="30"/>
      <c r="D720" s="28"/>
      <c r="E720" s="31"/>
      <c r="F720" s="31"/>
      <c r="G720" s="31"/>
      <c r="I720" s="28"/>
      <c r="J720" s="62"/>
      <c r="K720" s="62"/>
      <c r="L720" s="33"/>
      <c r="M720" s="32"/>
      <c r="N720" s="34"/>
      <c r="O720" s="36"/>
      <c r="P720" s="68"/>
      <c r="Q720" s="24"/>
      <c r="R720" s="24"/>
      <c r="S720" s="64"/>
      <c r="V720" s="67"/>
      <c r="X720" s="67"/>
    </row>
    <row r="721" spans="1:24" s="27" customFormat="1">
      <c r="A721" s="31"/>
      <c r="B721" s="24"/>
      <c r="C721" s="30"/>
      <c r="D721" s="28"/>
      <c r="E721" s="31"/>
      <c r="F721" s="31"/>
      <c r="G721" s="31"/>
      <c r="I721" s="28"/>
      <c r="J721" s="62"/>
      <c r="K721" s="62"/>
      <c r="L721" s="33"/>
      <c r="M721" s="32"/>
      <c r="N721" s="34"/>
      <c r="O721" s="36"/>
      <c r="P721" s="68"/>
      <c r="Q721" s="24"/>
      <c r="R721" s="24"/>
      <c r="S721" s="64"/>
      <c r="V721" s="67"/>
      <c r="X721" s="67"/>
    </row>
    <row r="722" spans="1:24" s="27" customFormat="1">
      <c r="A722" s="31"/>
      <c r="B722" s="24"/>
      <c r="C722" s="30"/>
      <c r="D722" s="28"/>
      <c r="E722" s="31"/>
      <c r="F722" s="31"/>
      <c r="G722" s="31"/>
      <c r="I722" s="28"/>
      <c r="J722" s="62"/>
      <c r="K722" s="62"/>
      <c r="L722" s="33"/>
      <c r="M722" s="32"/>
      <c r="N722" s="34"/>
      <c r="O722" s="36"/>
      <c r="P722" s="68"/>
      <c r="Q722" s="24"/>
      <c r="R722" s="24"/>
      <c r="S722" s="64"/>
      <c r="V722" s="67"/>
      <c r="X722" s="67"/>
    </row>
    <row r="723" spans="1:24" s="27" customFormat="1">
      <c r="A723" s="31"/>
      <c r="B723" s="24"/>
      <c r="C723" s="30"/>
      <c r="D723" s="28"/>
      <c r="E723" s="31"/>
      <c r="F723" s="31"/>
      <c r="G723" s="31"/>
      <c r="I723" s="28"/>
      <c r="J723" s="62"/>
      <c r="K723" s="62"/>
      <c r="L723" s="33"/>
      <c r="M723" s="32"/>
      <c r="N723" s="34"/>
      <c r="O723" s="36"/>
      <c r="P723" s="68"/>
      <c r="Q723" s="24"/>
      <c r="R723" s="24"/>
      <c r="S723" s="64"/>
      <c r="V723" s="67"/>
      <c r="X723" s="67"/>
    </row>
    <row r="724" spans="1:24" s="27" customFormat="1">
      <c r="A724" s="31"/>
      <c r="B724" s="24"/>
      <c r="C724" s="30"/>
      <c r="D724" s="28"/>
      <c r="E724" s="31"/>
      <c r="F724" s="31"/>
      <c r="G724" s="31"/>
      <c r="I724" s="28"/>
      <c r="J724" s="62"/>
      <c r="K724" s="62"/>
      <c r="L724" s="33"/>
      <c r="M724" s="32"/>
      <c r="N724" s="34"/>
      <c r="O724" s="36"/>
      <c r="P724" s="68"/>
      <c r="Q724" s="24"/>
      <c r="R724" s="24"/>
      <c r="S724" s="64"/>
      <c r="V724" s="67"/>
      <c r="X724" s="67"/>
    </row>
    <row r="725" spans="1:24" s="27" customFormat="1">
      <c r="A725" s="31"/>
      <c r="B725" s="24"/>
      <c r="C725" s="30"/>
      <c r="D725" s="28"/>
      <c r="E725" s="31"/>
      <c r="F725" s="31"/>
      <c r="G725" s="31"/>
      <c r="I725" s="28"/>
      <c r="J725" s="62"/>
      <c r="K725" s="62"/>
      <c r="L725" s="33"/>
      <c r="M725" s="32"/>
      <c r="N725" s="34"/>
      <c r="O725" s="36"/>
      <c r="P725" s="68"/>
      <c r="Q725" s="24"/>
      <c r="R725" s="24"/>
      <c r="S725" s="64"/>
      <c r="V725" s="67"/>
      <c r="X725" s="67"/>
    </row>
    <row r="726" spans="1:24" s="27" customFormat="1">
      <c r="A726" s="31"/>
      <c r="B726" s="24"/>
      <c r="C726" s="30"/>
      <c r="D726" s="28"/>
      <c r="E726" s="31"/>
      <c r="F726" s="31"/>
      <c r="G726" s="31"/>
      <c r="I726" s="28"/>
      <c r="J726" s="62"/>
      <c r="K726" s="62"/>
      <c r="L726" s="33"/>
      <c r="M726" s="32"/>
      <c r="N726" s="34"/>
      <c r="O726" s="36"/>
      <c r="P726" s="68"/>
      <c r="Q726" s="24"/>
      <c r="R726" s="24"/>
      <c r="S726" s="64"/>
      <c r="V726" s="67"/>
      <c r="X726" s="67"/>
    </row>
    <row r="727" spans="1:24" s="27" customFormat="1">
      <c r="A727" s="31"/>
      <c r="B727" s="24"/>
      <c r="C727" s="30"/>
      <c r="D727" s="28"/>
      <c r="E727" s="31"/>
      <c r="F727" s="31"/>
      <c r="G727" s="31"/>
      <c r="I727" s="28"/>
      <c r="J727" s="62"/>
      <c r="K727" s="62"/>
      <c r="L727" s="33"/>
      <c r="M727" s="32"/>
      <c r="N727" s="34"/>
      <c r="O727" s="36"/>
      <c r="P727" s="68"/>
      <c r="Q727" s="24"/>
      <c r="R727" s="24"/>
      <c r="S727" s="64"/>
      <c r="V727" s="67"/>
      <c r="X727" s="67"/>
    </row>
    <row r="728" spans="1:24" s="27" customFormat="1">
      <c r="A728" s="31"/>
      <c r="B728" s="24"/>
      <c r="C728" s="30"/>
      <c r="D728" s="28"/>
      <c r="E728" s="31"/>
      <c r="F728" s="31"/>
      <c r="G728" s="31"/>
      <c r="I728" s="28"/>
      <c r="J728" s="62"/>
      <c r="K728" s="62"/>
      <c r="L728" s="33"/>
      <c r="M728" s="32"/>
      <c r="N728" s="34"/>
      <c r="O728" s="36"/>
      <c r="P728" s="68"/>
      <c r="Q728" s="24"/>
      <c r="R728" s="24"/>
      <c r="S728" s="64"/>
      <c r="V728" s="67"/>
      <c r="X728" s="67"/>
    </row>
    <row r="729" spans="1:24" s="27" customFormat="1">
      <c r="A729" s="31"/>
      <c r="B729" s="24"/>
      <c r="C729" s="30"/>
      <c r="D729" s="28"/>
      <c r="E729" s="31"/>
      <c r="F729" s="31"/>
      <c r="G729" s="31"/>
      <c r="I729" s="28"/>
      <c r="J729" s="62"/>
      <c r="K729" s="62"/>
      <c r="L729" s="33"/>
      <c r="M729" s="32"/>
      <c r="N729" s="34"/>
      <c r="O729" s="36"/>
      <c r="P729" s="68"/>
      <c r="Q729" s="24"/>
      <c r="R729" s="24"/>
      <c r="S729" s="64"/>
      <c r="V729" s="67"/>
      <c r="X729" s="67"/>
    </row>
    <row r="730" spans="1:24" s="27" customFormat="1">
      <c r="A730" s="31"/>
      <c r="B730" s="24"/>
      <c r="C730" s="30"/>
      <c r="D730" s="28"/>
      <c r="E730" s="31"/>
      <c r="F730" s="31"/>
      <c r="G730" s="31"/>
      <c r="I730" s="28"/>
      <c r="J730" s="62"/>
      <c r="K730" s="62"/>
      <c r="L730" s="33"/>
      <c r="M730" s="32"/>
      <c r="N730" s="34"/>
      <c r="O730" s="36"/>
      <c r="P730" s="68"/>
      <c r="Q730" s="24"/>
      <c r="R730" s="24"/>
      <c r="S730" s="64"/>
      <c r="V730" s="67"/>
      <c r="X730" s="67"/>
    </row>
    <row r="731" spans="1:24" s="27" customFormat="1">
      <c r="A731" s="31"/>
      <c r="B731" s="24"/>
      <c r="C731" s="30"/>
      <c r="D731" s="28"/>
      <c r="E731" s="31"/>
      <c r="F731" s="31"/>
      <c r="G731" s="31"/>
      <c r="I731" s="28"/>
      <c r="J731" s="62"/>
      <c r="K731" s="62"/>
      <c r="L731" s="33"/>
      <c r="M731" s="32"/>
      <c r="N731" s="34"/>
      <c r="O731" s="36"/>
      <c r="P731" s="68"/>
      <c r="Q731" s="24"/>
      <c r="R731" s="24"/>
      <c r="S731" s="64"/>
      <c r="V731" s="67"/>
      <c r="X731" s="67"/>
    </row>
    <row r="732" spans="1:24" s="27" customFormat="1">
      <c r="A732" s="31"/>
      <c r="B732" s="24"/>
      <c r="C732" s="30"/>
      <c r="D732" s="28"/>
      <c r="E732" s="31"/>
      <c r="F732" s="31"/>
      <c r="G732" s="31"/>
      <c r="I732" s="28"/>
      <c r="J732" s="62"/>
      <c r="K732" s="62"/>
      <c r="L732" s="33"/>
      <c r="M732" s="32"/>
      <c r="N732" s="34"/>
      <c r="O732" s="36"/>
      <c r="P732" s="68"/>
      <c r="Q732" s="24"/>
      <c r="R732" s="24"/>
      <c r="S732" s="64"/>
      <c r="V732" s="67"/>
      <c r="X732" s="67"/>
    </row>
    <row r="733" spans="1:24" s="27" customFormat="1">
      <c r="A733" s="31"/>
      <c r="B733" s="24"/>
      <c r="C733" s="30"/>
      <c r="D733" s="28"/>
      <c r="E733" s="31"/>
      <c r="F733" s="31"/>
      <c r="G733" s="31"/>
      <c r="I733" s="28"/>
      <c r="J733" s="62"/>
      <c r="K733" s="62"/>
      <c r="L733" s="33"/>
      <c r="M733" s="32"/>
      <c r="N733" s="34"/>
      <c r="O733" s="36"/>
      <c r="P733" s="68"/>
      <c r="Q733" s="24"/>
      <c r="R733" s="24"/>
      <c r="S733" s="64"/>
      <c r="V733" s="67"/>
      <c r="X733" s="67"/>
    </row>
    <row r="734" spans="1:24" s="27" customFormat="1">
      <c r="A734" s="31"/>
      <c r="B734" s="24"/>
      <c r="C734" s="30"/>
      <c r="D734" s="28"/>
      <c r="E734" s="31"/>
      <c r="F734" s="31"/>
      <c r="G734" s="31"/>
      <c r="I734" s="28"/>
      <c r="J734" s="62"/>
      <c r="K734" s="62"/>
      <c r="L734" s="33"/>
      <c r="M734" s="32"/>
      <c r="N734" s="34"/>
      <c r="O734" s="36"/>
      <c r="P734" s="68"/>
      <c r="Q734" s="24"/>
      <c r="R734" s="24"/>
      <c r="S734" s="64"/>
      <c r="V734" s="67"/>
      <c r="X734" s="67"/>
    </row>
    <row r="735" spans="1:24" s="27" customFormat="1">
      <c r="A735" s="31"/>
      <c r="B735" s="24"/>
      <c r="C735" s="30"/>
      <c r="D735" s="28"/>
      <c r="E735" s="31"/>
      <c r="F735" s="31"/>
      <c r="G735" s="31"/>
      <c r="I735" s="28"/>
      <c r="J735" s="62"/>
      <c r="K735" s="62"/>
      <c r="L735" s="33"/>
      <c r="M735" s="32"/>
      <c r="N735" s="34"/>
      <c r="O735" s="36"/>
      <c r="P735" s="68"/>
      <c r="Q735" s="24"/>
      <c r="R735" s="24"/>
      <c r="S735" s="64"/>
      <c r="V735" s="67"/>
      <c r="X735" s="67"/>
    </row>
    <row r="736" spans="1:24" s="27" customFormat="1">
      <c r="A736" s="31"/>
      <c r="B736" s="24"/>
      <c r="C736" s="30"/>
      <c r="D736" s="28"/>
      <c r="E736" s="31"/>
      <c r="F736" s="31"/>
      <c r="G736" s="31"/>
      <c r="I736" s="28"/>
      <c r="J736" s="62"/>
      <c r="K736" s="62"/>
      <c r="L736" s="33"/>
      <c r="M736" s="32"/>
      <c r="N736" s="34"/>
      <c r="O736" s="36"/>
      <c r="P736" s="68"/>
      <c r="Q736" s="24"/>
      <c r="R736" s="24"/>
      <c r="S736" s="64"/>
      <c r="V736" s="67"/>
      <c r="X736" s="67"/>
    </row>
    <row r="737" spans="1:24" s="27" customFormat="1">
      <c r="A737" s="31"/>
      <c r="B737" s="24"/>
      <c r="C737" s="30"/>
      <c r="D737" s="28"/>
      <c r="E737" s="31"/>
      <c r="F737" s="31"/>
      <c r="G737" s="31"/>
      <c r="I737" s="28"/>
      <c r="J737" s="62"/>
      <c r="K737" s="62"/>
      <c r="L737" s="33"/>
      <c r="M737" s="32"/>
      <c r="N737" s="34"/>
      <c r="O737" s="36"/>
      <c r="P737" s="68"/>
      <c r="Q737" s="24"/>
      <c r="R737" s="24"/>
      <c r="S737" s="64"/>
      <c r="V737" s="67"/>
      <c r="X737" s="67"/>
    </row>
    <row r="738" spans="1:24" s="27" customFormat="1">
      <c r="A738" s="31"/>
      <c r="B738" s="24"/>
      <c r="C738" s="30"/>
      <c r="D738" s="28"/>
      <c r="E738" s="31"/>
      <c r="F738" s="31"/>
      <c r="G738" s="31"/>
      <c r="I738" s="28"/>
      <c r="J738" s="62"/>
      <c r="K738" s="62"/>
      <c r="L738" s="33"/>
      <c r="M738" s="32"/>
      <c r="N738" s="34"/>
      <c r="O738" s="36"/>
      <c r="P738" s="68"/>
      <c r="Q738" s="24"/>
      <c r="R738" s="24"/>
      <c r="S738" s="64"/>
      <c r="V738" s="67"/>
      <c r="X738" s="67"/>
    </row>
    <row r="739" spans="1:24" s="27" customFormat="1">
      <c r="A739" s="31"/>
      <c r="B739" s="24"/>
      <c r="C739" s="30"/>
      <c r="D739" s="28"/>
      <c r="E739" s="31"/>
      <c r="F739" s="31"/>
      <c r="G739" s="31"/>
      <c r="I739" s="28"/>
      <c r="J739" s="62"/>
      <c r="K739" s="62"/>
      <c r="L739" s="33"/>
      <c r="M739" s="32"/>
      <c r="N739" s="34"/>
      <c r="O739" s="36"/>
      <c r="P739" s="68"/>
      <c r="Q739" s="24"/>
      <c r="R739" s="24"/>
      <c r="S739" s="64"/>
      <c r="V739" s="67"/>
      <c r="X739" s="67"/>
    </row>
    <row r="740" spans="1:24" s="27" customFormat="1">
      <c r="A740" s="31"/>
      <c r="B740" s="24"/>
      <c r="C740" s="30"/>
      <c r="D740" s="28"/>
      <c r="E740" s="31"/>
      <c r="F740" s="31"/>
      <c r="G740" s="31"/>
      <c r="I740" s="28"/>
      <c r="J740" s="62"/>
      <c r="K740" s="62"/>
      <c r="L740" s="33"/>
      <c r="M740" s="32"/>
      <c r="N740" s="34"/>
      <c r="O740" s="36"/>
      <c r="P740" s="68"/>
      <c r="Q740" s="24"/>
      <c r="R740" s="24"/>
      <c r="S740" s="64"/>
      <c r="V740" s="67"/>
      <c r="X740" s="67"/>
    </row>
    <row r="741" spans="1:24" s="27" customFormat="1">
      <c r="A741" s="31"/>
      <c r="B741" s="24"/>
      <c r="C741" s="30"/>
      <c r="D741" s="28"/>
      <c r="E741" s="31"/>
      <c r="F741" s="31"/>
      <c r="G741" s="31"/>
      <c r="I741" s="28"/>
      <c r="J741" s="62"/>
      <c r="K741" s="62"/>
      <c r="L741" s="33"/>
      <c r="M741" s="32"/>
      <c r="N741" s="34"/>
      <c r="O741" s="36"/>
      <c r="P741" s="68"/>
      <c r="Q741" s="24"/>
      <c r="R741" s="24"/>
      <c r="S741" s="64"/>
      <c r="V741" s="67"/>
      <c r="X741" s="67"/>
    </row>
    <row r="742" spans="1:24" s="27" customFormat="1">
      <c r="A742" s="31"/>
      <c r="B742" s="24"/>
      <c r="C742" s="30"/>
      <c r="D742" s="28"/>
      <c r="E742" s="31"/>
      <c r="F742" s="31"/>
      <c r="G742" s="31"/>
      <c r="I742" s="28"/>
      <c r="J742" s="62"/>
      <c r="K742" s="62"/>
      <c r="L742" s="33"/>
      <c r="M742" s="32"/>
      <c r="N742" s="34"/>
      <c r="O742" s="36"/>
      <c r="P742" s="68"/>
      <c r="Q742" s="24"/>
      <c r="R742" s="24"/>
      <c r="S742" s="64"/>
      <c r="V742" s="67"/>
      <c r="X742" s="67"/>
    </row>
    <row r="743" spans="1:24" s="27" customFormat="1">
      <c r="A743" s="31"/>
      <c r="B743" s="24"/>
      <c r="C743" s="30"/>
      <c r="D743" s="28"/>
      <c r="E743" s="31"/>
      <c r="F743" s="31"/>
      <c r="G743" s="31"/>
      <c r="I743" s="28"/>
      <c r="J743" s="62"/>
      <c r="K743" s="62"/>
      <c r="L743" s="33"/>
      <c r="M743" s="32"/>
      <c r="N743" s="34"/>
      <c r="O743" s="36"/>
      <c r="P743" s="68"/>
      <c r="Q743" s="24"/>
      <c r="R743" s="24"/>
      <c r="S743" s="64"/>
      <c r="V743" s="67"/>
      <c r="X743" s="67"/>
    </row>
    <row r="744" spans="1:24" s="27" customFormat="1">
      <c r="A744" s="31"/>
      <c r="B744" s="24"/>
      <c r="C744" s="30"/>
      <c r="D744" s="28"/>
      <c r="E744" s="31"/>
      <c r="F744" s="31"/>
      <c r="G744" s="31"/>
      <c r="I744" s="28"/>
      <c r="J744" s="62"/>
      <c r="K744" s="62"/>
      <c r="L744" s="33"/>
      <c r="M744" s="32"/>
      <c r="N744" s="34"/>
      <c r="O744" s="36"/>
      <c r="P744" s="68"/>
      <c r="Q744" s="24"/>
      <c r="R744" s="24"/>
      <c r="S744" s="64"/>
      <c r="V744" s="67"/>
      <c r="X744" s="67"/>
    </row>
    <row r="745" spans="1:24" s="27" customFormat="1">
      <c r="A745" s="31"/>
      <c r="B745" s="24"/>
      <c r="C745" s="30"/>
      <c r="D745" s="28"/>
      <c r="E745" s="31"/>
      <c r="F745" s="31"/>
      <c r="G745" s="31"/>
      <c r="I745" s="28"/>
      <c r="J745" s="62"/>
      <c r="K745" s="62"/>
      <c r="L745" s="33"/>
      <c r="M745" s="32"/>
      <c r="N745" s="34"/>
      <c r="O745" s="36"/>
      <c r="P745" s="68"/>
      <c r="Q745" s="24"/>
      <c r="R745" s="24"/>
      <c r="S745" s="64"/>
      <c r="V745" s="67"/>
      <c r="X745" s="67"/>
    </row>
    <row r="746" spans="1:24" s="27" customFormat="1">
      <c r="A746" s="31"/>
      <c r="B746" s="24"/>
      <c r="C746" s="30"/>
      <c r="D746" s="28"/>
      <c r="E746" s="31"/>
      <c r="F746" s="31"/>
      <c r="G746" s="31"/>
      <c r="I746" s="28"/>
      <c r="J746" s="62"/>
      <c r="K746" s="62"/>
      <c r="L746" s="33"/>
      <c r="M746" s="32"/>
      <c r="N746" s="34"/>
      <c r="O746" s="36"/>
      <c r="P746" s="68"/>
      <c r="Q746" s="24"/>
      <c r="R746" s="24"/>
      <c r="S746" s="64"/>
      <c r="V746" s="67"/>
      <c r="X746" s="67"/>
    </row>
    <row r="747" spans="1:24" s="27" customFormat="1">
      <c r="A747" s="31"/>
      <c r="B747" s="24"/>
      <c r="C747" s="30"/>
      <c r="D747" s="28"/>
      <c r="E747" s="31"/>
      <c r="F747" s="31"/>
      <c r="G747" s="31"/>
      <c r="I747" s="28"/>
      <c r="J747" s="62"/>
      <c r="K747" s="62"/>
      <c r="L747" s="33"/>
      <c r="M747" s="32"/>
      <c r="N747" s="34"/>
      <c r="O747" s="36"/>
      <c r="P747" s="68"/>
      <c r="Q747" s="24"/>
      <c r="R747" s="24"/>
      <c r="S747" s="64"/>
      <c r="V747" s="67"/>
      <c r="X747" s="67"/>
    </row>
    <row r="748" spans="1:24" s="27" customFormat="1">
      <c r="A748" s="31"/>
      <c r="B748" s="24"/>
      <c r="C748" s="30"/>
      <c r="D748" s="28"/>
      <c r="E748" s="31"/>
      <c r="F748" s="31"/>
      <c r="G748" s="31"/>
      <c r="I748" s="28"/>
      <c r="J748" s="62"/>
      <c r="K748" s="62"/>
      <c r="L748" s="33"/>
      <c r="M748" s="32"/>
      <c r="N748" s="34"/>
      <c r="O748" s="36"/>
      <c r="P748" s="68"/>
      <c r="Q748" s="24"/>
      <c r="R748" s="24"/>
      <c r="S748" s="64"/>
      <c r="V748" s="67"/>
      <c r="X748" s="67"/>
    </row>
    <row r="749" spans="1:24" s="27" customFormat="1">
      <c r="A749" s="31"/>
      <c r="B749" s="24"/>
      <c r="C749" s="30"/>
      <c r="D749" s="28"/>
      <c r="E749" s="31"/>
      <c r="F749" s="31"/>
      <c r="G749" s="31"/>
      <c r="I749" s="28"/>
      <c r="J749" s="62"/>
      <c r="K749" s="62"/>
      <c r="L749" s="33"/>
      <c r="M749" s="32"/>
      <c r="N749" s="34"/>
      <c r="O749" s="36"/>
      <c r="P749" s="68"/>
      <c r="Q749" s="24"/>
      <c r="R749" s="24"/>
      <c r="S749" s="64"/>
      <c r="V749" s="67"/>
      <c r="X749" s="67"/>
    </row>
    <row r="750" spans="1:24" s="27" customFormat="1">
      <c r="A750" s="31"/>
      <c r="B750" s="24"/>
      <c r="C750" s="30"/>
      <c r="D750" s="28"/>
      <c r="E750" s="31"/>
      <c r="F750" s="31"/>
      <c r="G750" s="31"/>
      <c r="I750" s="28"/>
      <c r="J750" s="62"/>
      <c r="K750" s="62"/>
      <c r="L750" s="33"/>
      <c r="M750" s="32"/>
      <c r="N750" s="34"/>
      <c r="O750" s="36"/>
      <c r="P750" s="68"/>
      <c r="Q750" s="24"/>
      <c r="R750" s="24"/>
      <c r="S750" s="64"/>
      <c r="V750" s="67"/>
      <c r="X750" s="67"/>
    </row>
    <row r="751" spans="1:24" s="27" customFormat="1">
      <c r="A751" s="31"/>
      <c r="B751" s="24"/>
      <c r="C751" s="30"/>
      <c r="D751" s="28"/>
      <c r="E751" s="31"/>
      <c r="F751" s="31"/>
      <c r="G751" s="31"/>
      <c r="I751" s="28"/>
      <c r="J751" s="62"/>
      <c r="K751" s="62"/>
      <c r="L751" s="33"/>
      <c r="M751" s="32"/>
      <c r="N751" s="34"/>
      <c r="O751" s="36"/>
      <c r="P751" s="68"/>
      <c r="Q751" s="24"/>
      <c r="R751" s="24"/>
      <c r="S751" s="64"/>
      <c r="V751" s="67"/>
      <c r="X751" s="67"/>
    </row>
    <row r="752" spans="1:24" s="27" customFormat="1">
      <c r="A752" s="31"/>
      <c r="B752" s="24"/>
      <c r="C752" s="30"/>
      <c r="D752" s="28"/>
      <c r="E752" s="31"/>
      <c r="F752" s="31"/>
      <c r="G752" s="31"/>
      <c r="I752" s="28"/>
      <c r="J752" s="62"/>
      <c r="K752" s="62"/>
      <c r="L752" s="33"/>
      <c r="M752" s="32"/>
      <c r="N752" s="34"/>
      <c r="O752" s="36"/>
      <c r="P752" s="68"/>
      <c r="Q752" s="24"/>
      <c r="R752" s="24"/>
      <c r="S752" s="64"/>
      <c r="V752" s="67"/>
      <c r="X752" s="67"/>
    </row>
    <row r="753" spans="1:24" s="27" customFormat="1">
      <c r="A753" s="31"/>
      <c r="B753" s="24"/>
      <c r="C753" s="30"/>
      <c r="D753" s="28"/>
      <c r="E753" s="31"/>
      <c r="F753" s="31"/>
      <c r="G753" s="31"/>
      <c r="I753" s="28"/>
      <c r="J753" s="62"/>
      <c r="K753" s="62"/>
      <c r="L753" s="33"/>
      <c r="M753" s="32"/>
      <c r="N753" s="34"/>
      <c r="O753" s="36"/>
      <c r="P753" s="68"/>
      <c r="Q753" s="24"/>
      <c r="R753" s="24"/>
      <c r="S753" s="64"/>
      <c r="V753" s="67"/>
      <c r="X753" s="67"/>
    </row>
    <row r="754" spans="1:24" s="27" customFormat="1">
      <c r="A754" s="31"/>
      <c r="B754" s="24"/>
      <c r="C754" s="30"/>
      <c r="D754" s="28"/>
      <c r="E754" s="31"/>
      <c r="F754" s="31"/>
      <c r="G754" s="31"/>
      <c r="I754" s="28"/>
      <c r="J754" s="62"/>
      <c r="K754" s="62"/>
      <c r="L754" s="33"/>
      <c r="M754" s="32"/>
      <c r="N754" s="34"/>
      <c r="O754" s="36"/>
      <c r="P754" s="68"/>
      <c r="Q754" s="24"/>
      <c r="R754" s="24"/>
      <c r="S754" s="64"/>
      <c r="V754" s="67"/>
      <c r="X754" s="67"/>
    </row>
    <row r="755" spans="1:24" s="27" customFormat="1">
      <c r="A755" s="31"/>
      <c r="B755" s="24"/>
      <c r="C755" s="30"/>
      <c r="D755" s="28"/>
      <c r="E755" s="31"/>
      <c r="F755" s="31"/>
      <c r="G755" s="31"/>
      <c r="I755" s="28"/>
      <c r="J755" s="62"/>
      <c r="K755" s="62"/>
      <c r="L755" s="33"/>
      <c r="M755" s="32"/>
      <c r="N755" s="34"/>
      <c r="O755" s="36"/>
      <c r="P755" s="68"/>
      <c r="Q755" s="24"/>
      <c r="R755" s="24"/>
      <c r="S755" s="64"/>
      <c r="V755" s="67"/>
      <c r="X755" s="67"/>
    </row>
    <row r="756" spans="1:24" s="27" customFormat="1">
      <c r="A756" s="31"/>
      <c r="B756" s="24"/>
      <c r="C756" s="30"/>
      <c r="D756" s="28"/>
      <c r="E756" s="31"/>
      <c r="F756" s="31"/>
      <c r="G756" s="31"/>
      <c r="I756" s="28"/>
      <c r="J756" s="62"/>
      <c r="K756" s="62"/>
      <c r="L756" s="33"/>
      <c r="M756" s="32"/>
      <c r="N756" s="34"/>
      <c r="O756" s="36"/>
      <c r="P756" s="68"/>
      <c r="Q756" s="24"/>
      <c r="R756" s="24"/>
      <c r="S756" s="64"/>
      <c r="V756" s="67"/>
      <c r="X756" s="67"/>
    </row>
    <row r="757" spans="1:24" s="27" customFormat="1">
      <c r="A757" s="31"/>
      <c r="B757" s="24"/>
      <c r="C757" s="30"/>
      <c r="D757" s="28"/>
      <c r="E757" s="31"/>
      <c r="F757" s="31"/>
      <c r="G757" s="31"/>
      <c r="I757" s="28"/>
      <c r="J757" s="62"/>
      <c r="K757" s="62"/>
      <c r="L757" s="33"/>
      <c r="M757" s="32"/>
      <c r="N757" s="34"/>
      <c r="O757" s="36"/>
      <c r="P757" s="68"/>
      <c r="Q757" s="24"/>
      <c r="R757" s="24"/>
      <c r="S757" s="64"/>
      <c r="V757" s="67"/>
      <c r="X757" s="67"/>
    </row>
    <row r="758" spans="1:24" s="27" customFormat="1">
      <c r="A758" s="31"/>
      <c r="B758" s="24"/>
      <c r="C758" s="30"/>
      <c r="D758" s="28"/>
      <c r="E758" s="31"/>
      <c r="F758" s="31"/>
      <c r="G758" s="31"/>
      <c r="I758" s="28"/>
      <c r="J758" s="62"/>
      <c r="K758" s="62"/>
      <c r="L758" s="33"/>
      <c r="M758" s="32"/>
      <c r="N758" s="34"/>
      <c r="O758" s="36"/>
      <c r="P758" s="68"/>
      <c r="Q758" s="24"/>
      <c r="R758" s="24"/>
      <c r="S758" s="64"/>
      <c r="V758" s="67"/>
      <c r="X758" s="67"/>
    </row>
    <row r="759" spans="1:24" s="27" customFormat="1">
      <c r="A759" s="31"/>
      <c r="B759" s="24"/>
      <c r="C759" s="30"/>
      <c r="D759" s="28"/>
      <c r="E759" s="31"/>
      <c r="F759" s="31"/>
      <c r="G759" s="31"/>
      <c r="I759" s="28"/>
      <c r="J759" s="62"/>
      <c r="K759" s="62"/>
      <c r="L759" s="33"/>
      <c r="M759" s="32"/>
      <c r="N759" s="34"/>
      <c r="O759" s="36"/>
      <c r="P759" s="68"/>
      <c r="Q759" s="24"/>
      <c r="R759" s="24"/>
      <c r="S759" s="64"/>
      <c r="V759" s="67"/>
      <c r="X759" s="67"/>
    </row>
    <row r="760" spans="1:24" s="27" customFormat="1">
      <c r="A760" s="31"/>
      <c r="B760" s="24"/>
      <c r="C760" s="30"/>
      <c r="D760" s="28"/>
      <c r="E760" s="31"/>
      <c r="F760" s="31"/>
      <c r="G760" s="31"/>
      <c r="I760" s="28"/>
      <c r="J760" s="62"/>
      <c r="K760" s="62"/>
      <c r="L760" s="33"/>
      <c r="M760" s="32"/>
      <c r="N760" s="34"/>
      <c r="O760" s="36"/>
      <c r="P760" s="68"/>
      <c r="Q760" s="24"/>
      <c r="R760" s="24"/>
      <c r="S760" s="64"/>
      <c r="V760" s="67"/>
      <c r="X760" s="67"/>
    </row>
    <row r="761" spans="1:24" s="27" customFormat="1">
      <c r="A761" s="31"/>
      <c r="B761" s="24"/>
      <c r="C761" s="30"/>
      <c r="D761" s="28"/>
      <c r="E761" s="31"/>
      <c r="F761" s="31"/>
      <c r="G761" s="31"/>
      <c r="I761" s="28"/>
      <c r="J761" s="62"/>
      <c r="K761" s="62"/>
      <c r="L761" s="33"/>
      <c r="M761" s="32"/>
      <c r="N761" s="34"/>
      <c r="O761" s="36"/>
      <c r="P761" s="68"/>
      <c r="Q761" s="24"/>
      <c r="R761" s="24"/>
      <c r="S761" s="64"/>
      <c r="V761" s="67"/>
      <c r="X761" s="67"/>
    </row>
    <row r="762" spans="1:24" s="27" customFormat="1">
      <c r="A762" s="31"/>
      <c r="B762" s="24"/>
      <c r="C762" s="30"/>
      <c r="D762" s="28"/>
      <c r="E762" s="31"/>
      <c r="F762" s="31"/>
      <c r="G762" s="31"/>
      <c r="I762" s="28"/>
      <c r="J762" s="62"/>
      <c r="K762" s="62"/>
      <c r="L762" s="33"/>
      <c r="M762" s="32"/>
      <c r="N762" s="34"/>
      <c r="O762" s="36"/>
      <c r="P762" s="68"/>
      <c r="Q762" s="24"/>
      <c r="R762" s="24"/>
      <c r="S762" s="64"/>
      <c r="V762" s="67"/>
      <c r="X762" s="67"/>
    </row>
    <row r="763" spans="1:24" s="27" customFormat="1">
      <c r="A763" s="31"/>
      <c r="B763" s="24"/>
      <c r="C763" s="30"/>
      <c r="D763" s="28"/>
      <c r="E763" s="31"/>
      <c r="F763" s="31"/>
      <c r="G763" s="31"/>
      <c r="I763" s="28"/>
      <c r="J763" s="62"/>
      <c r="K763" s="62"/>
      <c r="L763" s="33"/>
      <c r="M763" s="32"/>
      <c r="N763" s="34"/>
      <c r="O763" s="36"/>
      <c r="P763" s="68"/>
      <c r="Q763" s="24"/>
      <c r="R763" s="24"/>
      <c r="S763" s="64"/>
      <c r="V763" s="67"/>
      <c r="X763" s="67"/>
    </row>
    <row r="764" spans="1:24" s="27" customFormat="1">
      <c r="A764" s="31"/>
      <c r="B764" s="24"/>
      <c r="C764" s="30"/>
      <c r="D764" s="28"/>
      <c r="E764" s="31"/>
      <c r="F764" s="31"/>
      <c r="G764" s="31"/>
      <c r="I764" s="28"/>
      <c r="J764" s="62"/>
      <c r="K764" s="62"/>
      <c r="L764" s="33"/>
      <c r="M764" s="32"/>
      <c r="N764" s="34"/>
      <c r="O764" s="36"/>
      <c r="P764" s="68"/>
      <c r="Q764" s="24"/>
      <c r="R764" s="24"/>
      <c r="S764" s="64"/>
      <c r="V764" s="67"/>
      <c r="X764" s="67"/>
    </row>
    <row r="765" spans="1:24" s="27" customFormat="1">
      <c r="A765" s="31"/>
      <c r="B765" s="24"/>
      <c r="C765" s="30"/>
      <c r="D765" s="28"/>
      <c r="E765" s="31"/>
      <c r="F765" s="31"/>
      <c r="G765" s="31"/>
      <c r="I765" s="28"/>
      <c r="J765" s="62"/>
      <c r="K765" s="62"/>
      <c r="L765" s="33"/>
      <c r="M765" s="32"/>
      <c r="N765" s="34"/>
      <c r="O765" s="36"/>
      <c r="P765" s="68"/>
      <c r="Q765" s="24"/>
      <c r="R765" s="24"/>
      <c r="S765" s="64"/>
      <c r="V765" s="67"/>
      <c r="X765" s="67"/>
    </row>
    <row r="766" spans="1:24" s="27" customFormat="1">
      <c r="A766" s="31"/>
      <c r="B766" s="24"/>
      <c r="C766" s="30"/>
      <c r="D766" s="28"/>
      <c r="E766" s="31"/>
      <c r="F766" s="31"/>
      <c r="G766" s="31"/>
      <c r="I766" s="28"/>
      <c r="J766" s="62"/>
      <c r="K766" s="62"/>
      <c r="L766" s="33"/>
      <c r="M766" s="32"/>
      <c r="N766" s="34"/>
      <c r="O766" s="36"/>
      <c r="P766" s="68"/>
      <c r="Q766" s="24"/>
      <c r="R766" s="24"/>
      <c r="S766" s="64"/>
      <c r="V766" s="67"/>
      <c r="X766" s="67"/>
    </row>
    <row r="767" spans="1:24" s="27" customFormat="1">
      <c r="A767" s="31"/>
      <c r="B767" s="24"/>
      <c r="C767" s="30"/>
      <c r="D767" s="28"/>
      <c r="E767" s="31"/>
      <c r="F767" s="31"/>
      <c r="G767" s="31"/>
      <c r="I767" s="28"/>
      <c r="J767" s="62"/>
      <c r="K767" s="62"/>
      <c r="L767" s="33"/>
      <c r="M767" s="32"/>
      <c r="N767" s="34"/>
      <c r="O767" s="36"/>
      <c r="P767" s="68"/>
      <c r="Q767" s="24"/>
      <c r="R767" s="24"/>
      <c r="S767" s="64"/>
      <c r="V767" s="67"/>
      <c r="X767" s="67"/>
    </row>
    <row r="768" spans="1:24" s="27" customFormat="1">
      <c r="A768" s="31"/>
      <c r="B768" s="24"/>
      <c r="C768" s="30"/>
      <c r="D768" s="28"/>
      <c r="E768" s="31"/>
      <c r="F768" s="31"/>
      <c r="G768" s="31"/>
      <c r="I768" s="28"/>
      <c r="J768" s="62"/>
      <c r="K768" s="62"/>
      <c r="L768" s="33"/>
      <c r="M768" s="32"/>
      <c r="N768" s="34"/>
      <c r="O768" s="36"/>
      <c r="P768" s="68"/>
      <c r="Q768" s="24"/>
      <c r="R768" s="24"/>
      <c r="S768" s="64"/>
      <c r="V768" s="67"/>
      <c r="X768" s="67"/>
    </row>
    <row r="769" spans="1:24" s="27" customFormat="1">
      <c r="A769" s="31"/>
      <c r="B769" s="24"/>
      <c r="C769" s="30"/>
      <c r="D769" s="28"/>
      <c r="E769" s="31"/>
      <c r="F769" s="31"/>
      <c r="G769" s="31"/>
      <c r="I769" s="28"/>
      <c r="J769" s="62"/>
      <c r="K769" s="62"/>
      <c r="L769" s="33"/>
      <c r="M769" s="32"/>
      <c r="N769" s="34"/>
      <c r="O769" s="36"/>
      <c r="P769" s="68"/>
      <c r="Q769" s="24"/>
      <c r="R769" s="24"/>
      <c r="S769" s="64"/>
      <c r="V769" s="67"/>
      <c r="X769" s="67"/>
    </row>
    <row r="770" spans="1:24" s="27" customFormat="1">
      <c r="A770" s="31"/>
      <c r="B770" s="24"/>
      <c r="C770" s="30"/>
      <c r="D770" s="28"/>
      <c r="E770" s="31"/>
      <c r="F770" s="31"/>
      <c r="G770" s="31"/>
      <c r="I770" s="28"/>
      <c r="J770" s="62"/>
      <c r="K770" s="62"/>
      <c r="L770" s="33"/>
      <c r="M770" s="32"/>
      <c r="N770" s="34"/>
      <c r="O770" s="36"/>
      <c r="P770" s="68"/>
      <c r="Q770" s="24"/>
      <c r="R770" s="24"/>
      <c r="S770" s="64"/>
      <c r="V770" s="67"/>
      <c r="X770" s="67"/>
    </row>
    <row r="771" spans="1:24" s="27" customFormat="1">
      <c r="A771" s="31"/>
      <c r="B771" s="24"/>
      <c r="C771" s="30"/>
      <c r="D771" s="28"/>
      <c r="E771" s="31"/>
      <c r="F771" s="31"/>
      <c r="G771" s="31"/>
      <c r="I771" s="28"/>
      <c r="J771" s="62"/>
      <c r="K771" s="62"/>
      <c r="L771" s="33"/>
      <c r="M771" s="32"/>
      <c r="N771" s="34"/>
      <c r="O771" s="36"/>
      <c r="P771" s="68"/>
      <c r="Q771" s="24"/>
      <c r="R771" s="24"/>
      <c r="S771" s="64"/>
      <c r="V771" s="67"/>
      <c r="X771" s="67"/>
    </row>
    <row r="772" spans="1:24" s="27" customFormat="1">
      <c r="A772" s="31"/>
      <c r="B772" s="24"/>
      <c r="C772" s="30"/>
      <c r="D772" s="28"/>
      <c r="E772" s="31"/>
      <c r="F772" s="31"/>
      <c r="G772" s="31"/>
      <c r="I772" s="28"/>
      <c r="J772" s="62"/>
      <c r="K772" s="62"/>
      <c r="L772" s="33"/>
      <c r="M772" s="32"/>
      <c r="N772" s="34"/>
      <c r="O772" s="36"/>
      <c r="P772" s="68"/>
      <c r="Q772" s="24"/>
      <c r="R772" s="24"/>
      <c r="S772" s="64"/>
      <c r="V772" s="67"/>
      <c r="X772" s="67"/>
    </row>
    <row r="773" spans="1:24" s="27" customFormat="1">
      <c r="A773" s="31"/>
      <c r="B773" s="24"/>
      <c r="C773" s="30"/>
      <c r="D773" s="28"/>
      <c r="E773" s="31"/>
      <c r="F773" s="31"/>
      <c r="G773" s="31"/>
      <c r="I773" s="28"/>
      <c r="J773" s="62"/>
      <c r="K773" s="62"/>
      <c r="L773" s="33"/>
      <c r="M773" s="32"/>
      <c r="N773" s="34"/>
      <c r="O773" s="36"/>
      <c r="P773" s="68"/>
      <c r="Q773" s="24"/>
      <c r="R773" s="24"/>
      <c r="S773" s="64"/>
      <c r="V773" s="67"/>
      <c r="X773" s="67"/>
    </row>
    <row r="774" spans="1:24" s="27" customFormat="1">
      <c r="A774" s="31"/>
      <c r="B774" s="24"/>
      <c r="C774" s="30"/>
      <c r="D774" s="28"/>
      <c r="E774" s="31"/>
      <c r="F774" s="31"/>
      <c r="G774" s="31"/>
      <c r="I774" s="28"/>
      <c r="J774" s="62"/>
      <c r="K774" s="62"/>
      <c r="L774" s="33"/>
      <c r="M774" s="32"/>
      <c r="N774" s="34"/>
      <c r="O774" s="36"/>
      <c r="P774" s="68"/>
      <c r="Q774" s="24"/>
      <c r="R774" s="24"/>
      <c r="S774" s="64"/>
      <c r="V774" s="67"/>
      <c r="X774" s="67"/>
    </row>
    <row r="775" spans="1:24" s="27" customFormat="1">
      <c r="A775" s="31"/>
      <c r="B775" s="24"/>
      <c r="C775" s="30"/>
      <c r="D775" s="28"/>
      <c r="E775" s="31"/>
      <c r="F775" s="31"/>
      <c r="G775" s="31"/>
      <c r="I775" s="28"/>
      <c r="J775" s="62"/>
      <c r="K775" s="62"/>
      <c r="L775" s="33"/>
      <c r="M775" s="32"/>
      <c r="N775" s="34"/>
      <c r="O775" s="36"/>
      <c r="P775" s="68"/>
      <c r="Q775" s="24"/>
      <c r="R775" s="24"/>
      <c r="S775" s="64"/>
      <c r="V775" s="67"/>
      <c r="X775" s="67"/>
    </row>
    <row r="776" spans="1:24" s="27" customFormat="1">
      <c r="A776" s="31"/>
      <c r="B776" s="24"/>
      <c r="C776" s="30"/>
      <c r="D776" s="28"/>
      <c r="E776" s="31"/>
      <c r="F776" s="31"/>
      <c r="G776" s="31"/>
      <c r="I776" s="28"/>
      <c r="J776" s="62"/>
      <c r="K776" s="62"/>
      <c r="L776" s="33"/>
      <c r="M776" s="32"/>
      <c r="N776" s="34"/>
      <c r="O776" s="36"/>
      <c r="P776" s="68"/>
      <c r="Q776" s="24"/>
      <c r="R776" s="24"/>
      <c r="S776" s="64"/>
      <c r="V776" s="67"/>
      <c r="X776" s="67"/>
    </row>
    <row r="777" spans="1:24" s="27" customFormat="1">
      <c r="A777" s="31"/>
      <c r="B777" s="24"/>
      <c r="C777" s="30"/>
      <c r="D777" s="28"/>
      <c r="E777" s="31"/>
      <c r="F777" s="31"/>
      <c r="G777" s="31"/>
      <c r="I777" s="28"/>
      <c r="J777" s="62"/>
      <c r="K777" s="62"/>
      <c r="L777" s="33"/>
      <c r="M777" s="32"/>
      <c r="N777" s="34"/>
      <c r="O777" s="36"/>
      <c r="P777" s="68"/>
      <c r="Q777" s="24"/>
      <c r="R777" s="24"/>
      <c r="S777" s="64"/>
      <c r="V777" s="67"/>
      <c r="X777" s="67"/>
    </row>
    <row r="778" spans="1:24" s="27" customFormat="1">
      <c r="A778" s="31"/>
      <c r="B778" s="24"/>
      <c r="C778" s="30"/>
      <c r="D778" s="28"/>
      <c r="E778" s="31"/>
      <c r="F778" s="31"/>
      <c r="G778" s="31"/>
      <c r="I778" s="28"/>
      <c r="J778" s="62"/>
      <c r="K778" s="62"/>
      <c r="L778" s="33"/>
      <c r="M778" s="32"/>
      <c r="N778" s="34"/>
      <c r="O778" s="36"/>
      <c r="P778" s="68"/>
      <c r="Q778" s="24"/>
      <c r="R778" s="24"/>
      <c r="S778" s="64"/>
      <c r="V778" s="67"/>
      <c r="X778" s="67"/>
    </row>
    <row r="779" spans="1:24" s="27" customFormat="1">
      <c r="A779" s="31"/>
      <c r="B779" s="24"/>
      <c r="C779" s="30"/>
      <c r="D779" s="28"/>
      <c r="E779" s="31"/>
      <c r="F779" s="31"/>
      <c r="G779" s="31"/>
      <c r="I779" s="28"/>
      <c r="J779" s="62"/>
      <c r="K779" s="62"/>
      <c r="L779" s="33"/>
      <c r="M779" s="32"/>
      <c r="N779" s="34"/>
      <c r="O779" s="36"/>
      <c r="P779" s="68"/>
      <c r="Q779" s="24"/>
      <c r="R779" s="24"/>
      <c r="S779" s="64"/>
      <c r="V779" s="67"/>
      <c r="X779" s="67"/>
    </row>
    <row r="780" spans="1:24" s="27" customFormat="1">
      <c r="A780" s="31"/>
      <c r="B780" s="24"/>
      <c r="C780" s="30"/>
      <c r="D780" s="28"/>
      <c r="E780" s="31"/>
      <c r="F780" s="31"/>
      <c r="G780" s="31"/>
      <c r="I780" s="28"/>
      <c r="J780" s="62"/>
      <c r="K780" s="62"/>
      <c r="L780" s="33"/>
      <c r="M780" s="32"/>
      <c r="N780" s="34"/>
      <c r="O780" s="36"/>
      <c r="P780" s="68"/>
      <c r="Q780" s="24"/>
      <c r="R780" s="24"/>
      <c r="S780" s="64"/>
      <c r="V780" s="67"/>
      <c r="X780" s="67"/>
    </row>
    <row r="781" spans="1:24" s="27" customFormat="1">
      <c r="A781" s="31"/>
      <c r="B781" s="24"/>
      <c r="C781" s="30"/>
      <c r="D781" s="28"/>
      <c r="E781" s="31"/>
      <c r="F781" s="31"/>
      <c r="G781" s="31"/>
      <c r="I781" s="28"/>
      <c r="J781" s="62"/>
      <c r="K781" s="62"/>
      <c r="L781" s="33"/>
      <c r="M781" s="32"/>
      <c r="N781" s="34"/>
      <c r="O781" s="36"/>
      <c r="P781" s="68"/>
      <c r="Q781" s="24"/>
      <c r="R781" s="24"/>
      <c r="S781" s="64"/>
      <c r="V781" s="67"/>
      <c r="X781" s="67"/>
    </row>
    <row r="782" spans="1:24" s="27" customFormat="1">
      <c r="A782" s="31"/>
      <c r="B782" s="24"/>
      <c r="C782" s="30"/>
      <c r="D782" s="28"/>
      <c r="E782" s="31"/>
      <c r="F782" s="31"/>
      <c r="G782" s="31"/>
      <c r="I782" s="28"/>
      <c r="J782" s="62"/>
      <c r="K782" s="62"/>
      <c r="L782" s="33"/>
      <c r="M782" s="32"/>
      <c r="N782" s="34"/>
      <c r="O782" s="36"/>
      <c r="P782" s="68"/>
      <c r="Q782" s="24"/>
      <c r="R782" s="24"/>
      <c r="S782" s="64"/>
      <c r="V782" s="67"/>
      <c r="X782" s="67"/>
    </row>
    <row r="783" spans="1:24" s="27" customFormat="1">
      <c r="A783" s="31"/>
      <c r="B783" s="24"/>
      <c r="C783" s="30"/>
      <c r="D783" s="28"/>
      <c r="E783" s="31"/>
      <c r="F783" s="31"/>
      <c r="G783" s="31"/>
      <c r="I783" s="28"/>
      <c r="J783" s="62"/>
      <c r="K783" s="62"/>
      <c r="L783" s="33"/>
      <c r="M783" s="32"/>
      <c r="N783" s="34"/>
      <c r="O783" s="36"/>
      <c r="P783" s="68"/>
      <c r="Q783" s="24"/>
      <c r="R783" s="24"/>
      <c r="S783" s="64"/>
      <c r="V783" s="67"/>
      <c r="X783" s="67"/>
    </row>
    <row r="784" spans="1:24" s="27" customFormat="1">
      <c r="A784" s="31"/>
      <c r="B784" s="24"/>
      <c r="C784" s="30"/>
      <c r="D784" s="28"/>
      <c r="E784" s="31"/>
      <c r="F784" s="31"/>
      <c r="G784" s="31"/>
      <c r="I784" s="28"/>
      <c r="J784" s="62"/>
      <c r="K784" s="62"/>
      <c r="L784" s="33"/>
      <c r="M784" s="32"/>
      <c r="N784" s="34"/>
      <c r="O784" s="36"/>
      <c r="P784" s="68"/>
      <c r="Q784" s="24"/>
      <c r="R784" s="24"/>
      <c r="S784" s="64"/>
      <c r="V784" s="67"/>
      <c r="X784" s="67"/>
    </row>
    <row r="785" spans="1:24" s="27" customFormat="1">
      <c r="A785" s="31"/>
      <c r="B785" s="24"/>
      <c r="C785" s="30"/>
      <c r="D785" s="28"/>
      <c r="E785" s="31"/>
      <c r="F785" s="31"/>
      <c r="G785" s="31"/>
      <c r="I785" s="28"/>
      <c r="J785" s="62"/>
      <c r="K785" s="62"/>
      <c r="L785" s="33"/>
      <c r="M785" s="32"/>
      <c r="N785" s="34"/>
      <c r="O785" s="36"/>
      <c r="P785" s="68"/>
      <c r="Q785" s="24"/>
      <c r="R785" s="24"/>
      <c r="S785" s="64"/>
      <c r="V785" s="67"/>
      <c r="X785" s="67"/>
    </row>
    <row r="786" spans="1:24" s="27" customFormat="1">
      <c r="A786" s="31"/>
      <c r="B786" s="24"/>
      <c r="C786" s="30"/>
      <c r="D786" s="28"/>
      <c r="E786" s="31"/>
      <c r="F786" s="31"/>
      <c r="G786" s="31"/>
      <c r="I786" s="28"/>
      <c r="J786" s="62"/>
      <c r="K786" s="62"/>
      <c r="L786" s="33"/>
      <c r="M786" s="32"/>
      <c r="N786" s="34"/>
      <c r="O786" s="36"/>
      <c r="P786" s="68"/>
      <c r="Q786" s="24"/>
      <c r="R786" s="24"/>
      <c r="S786" s="64"/>
      <c r="V786" s="67"/>
      <c r="X786" s="67"/>
    </row>
    <row r="787" spans="1:24" s="27" customFormat="1">
      <c r="A787" s="31"/>
      <c r="B787" s="24"/>
      <c r="C787" s="30"/>
      <c r="D787" s="28"/>
      <c r="E787" s="31"/>
      <c r="F787" s="31"/>
      <c r="G787" s="31"/>
      <c r="I787" s="28"/>
      <c r="J787" s="62"/>
      <c r="K787" s="62"/>
      <c r="L787" s="33"/>
      <c r="M787" s="32"/>
      <c r="N787" s="34"/>
      <c r="O787" s="36"/>
      <c r="P787" s="68"/>
      <c r="Q787" s="24"/>
      <c r="R787" s="24"/>
      <c r="S787" s="64"/>
      <c r="V787" s="67"/>
      <c r="X787" s="67"/>
    </row>
    <row r="788" spans="1:24" s="27" customFormat="1">
      <c r="A788" s="31"/>
      <c r="B788" s="24"/>
      <c r="C788" s="30"/>
      <c r="D788" s="28"/>
      <c r="E788" s="31"/>
      <c r="F788" s="31"/>
      <c r="G788" s="31"/>
      <c r="I788" s="28"/>
      <c r="J788" s="62"/>
      <c r="K788" s="62"/>
      <c r="L788" s="33"/>
      <c r="M788" s="32"/>
      <c r="N788" s="34"/>
      <c r="O788" s="36"/>
      <c r="P788" s="68"/>
      <c r="Q788" s="24"/>
      <c r="R788" s="24"/>
      <c r="S788" s="64"/>
      <c r="V788" s="67"/>
      <c r="X788" s="67"/>
    </row>
    <row r="789" spans="1:24" s="27" customFormat="1">
      <c r="A789" s="31"/>
      <c r="B789" s="24"/>
      <c r="C789" s="30"/>
      <c r="D789" s="28"/>
      <c r="E789" s="31"/>
      <c r="F789" s="31"/>
      <c r="G789" s="31"/>
      <c r="I789" s="28"/>
      <c r="J789" s="62"/>
      <c r="K789" s="62"/>
      <c r="L789" s="33"/>
      <c r="M789" s="32"/>
      <c r="N789" s="34"/>
      <c r="O789" s="36"/>
      <c r="P789" s="68"/>
      <c r="Q789" s="24"/>
      <c r="R789" s="24"/>
      <c r="S789" s="64"/>
      <c r="V789" s="67"/>
      <c r="X789" s="67"/>
    </row>
    <row r="790" spans="1:24" s="27" customFormat="1">
      <c r="A790" s="31"/>
      <c r="B790" s="24"/>
      <c r="C790" s="30"/>
      <c r="D790" s="28"/>
      <c r="E790" s="31"/>
      <c r="F790" s="31"/>
      <c r="G790" s="31"/>
      <c r="I790" s="28"/>
      <c r="J790" s="62"/>
      <c r="K790" s="62"/>
      <c r="L790" s="33"/>
      <c r="M790" s="32"/>
      <c r="N790" s="34"/>
      <c r="O790" s="36"/>
      <c r="P790" s="68"/>
      <c r="Q790" s="24"/>
      <c r="R790" s="24"/>
      <c r="S790" s="64"/>
      <c r="V790" s="67"/>
      <c r="X790" s="67"/>
    </row>
    <row r="791" spans="1:24" s="27" customFormat="1">
      <c r="A791" s="31"/>
      <c r="B791" s="24"/>
      <c r="C791" s="30"/>
      <c r="D791" s="28"/>
      <c r="E791" s="31"/>
      <c r="F791" s="31"/>
      <c r="G791" s="31"/>
      <c r="I791" s="28"/>
      <c r="J791" s="62"/>
      <c r="K791" s="62"/>
      <c r="L791" s="33"/>
      <c r="M791" s="32"/>
      <c r="N791" s="34"/>
      <c r="O791" s="36"/>
      <c r="P791" s="68"/>
      <c r="Q791" s="24"/>
      <c r="R791" s="24"/>
      <c r="S791" s="64"/>
      <c r="V791" s="67"/>
      <c r="X791" s="67"/>
    </row>
    <row r="792" spans="1:24" s="27" customFormat="1">
      <c r="A792" s="31"/>
      <c r="B792" s="24"/>
      <c r="C792" s="30"/>
      <c r="D792" s="28"/>
      <c r="E792" s="31"/>
      <c r="F792" s="31"/>
      <c r="G792" s="31"/>
      <c r="I792" s="28"/>
      <c r="J792" s="62"/>
      <c r="K792" s="62"/>
      <c r="L792" s="33"/>
      <c r="M792" s="32"/>
      <c r="N792" s="34"/>
      <c r="O792" s="36"/>
      <c r="P792" s="68"/>
      <c r="Q792" s="24"/>
      <c r="R792" s="24"/>
      <c r="S792" s="64"/>
      <c r="V792" s="67"/>
      <c r="X792" s="67"/>
    </row>
    <row r="793" spans="1:24" s="27" customFormat="1">
      <c r="A793" s="31"/>
      <c r="B793" s="24"/>
      <c r="C793" s="30"/>
      <c r="D793" s="28"/>
      <c r="E793" s="31"/>
      <c r="F793" s="31"/>
      <c r="G793" s="31"/>
      <c r="I793" s="28"/>
      <c r="J793" s="62"/>
      <c r="K793" s="62"/>
      <c r="L793" s="33"/>
      <c r="M793" s="32"/>
      <c r="N793" s="34"/>
      <c r="O793" s="36"/>
      <c r="P793" s="68"/>
      <c r="Q793" s="24"/>
      <c r="R793" s="24"/>
      <c r="S793" s="64"/>
      <c r="V793" s="67"/>
      <c r="X793" s="67"/>
    </row>
    <row r="794" spans="1:24" s="27" customFormat="1">
      <c r="A794" s="31"/>
      <c r="B794" s="24"/>
      <c r="C794" s="30"/>
      <c r="D794" s="28"/>
      <c r="E794" s="31"/>
      <c r="F794" s="31"/>
      <c r="G794" s="31"/>
      <c r="I794" s="28"/>
      <c r="J794" s="62"/>
      <c r="K794" s="62"/>
      <c r="L794" s="33"/>
      <c r="M794" s="32"/>
      <c r="N794" s="34"/>
      <c r="O794" s="36"/>
      <c r="P794" s="68"/>
      <c r="Q794" s="24"/>
      <c r="R794" s="24"/>
      <c r="S794" s="64"/>
      <c r="V794" s="67"/>
      <c r="X794" s="67"/>
    </row>
    <row r="795" spans="1:24" s="27" customFormat="1">
      <c r="A795" s="31"/>
      <c r="B795" s="24"/>
      <c r="C795" s="30"/>
      <c r="D795" s="28"/>
      <c r="E795" s="31"/>
      <c r="F795" s="31"/>
      <c r="G795" s="31"/>
      <c r="I795" s="28"/>
      <c r="J795" s="62"/>
      <c r="K795" s="62"/>
      <c r="L795" s="33"/>
      <c r="M795" s="32"/>
      <c r="N795" s="34"/>
      <c r="O795" s="36"/>
      <c r="P795" s="68"/>
      <c r="Q795" s="24"/>
      <c r="R795" s="24"/>
      <c r="S795" s="64"/>
      <c r="V795" s="67"/>
      <c r="X795" s="67"/>
    </row>
    <row r="796" spans="1:24" s="27" customFormat="1">
      <c r="A796" s="31"/>
      <c r="B796" s="24"/>
      <c r="C796" s="30"/>
      <c r="D796" s="28"/>
      <c r="E796" s="31"/>
      <c r="F796" s="31"/>
      <c r="G796" s="31"/>
      <c r="I796" s="28"/>
      <c r="J796" s="62"/>
      <c r="K796" s="62"/>
      <c r="L796" s="33"/>
      <c r="M796" s="32"/>
      <c r="N796" s="34"/>
      <c r="O796" s="36"/>
      <c r="P796" s="68"/>
      <c r="Q796" s="24"/>
      <c r="R796" s="24"/>
      <c r="S796" s="64"/>
      <c r="V796" s="67"/>
      <c r="X796" s="67"/>
    </row>
    <row r="797" spans="1:24" s="27" customFormat="1">
      <c r="A797" s="31"/>
      <c r="B797" s="24"/>
      <c r="C797" s="30"/>
      <c r="D797" s="28"/>
      <c r="E797" s="31"/>
      <c r="F797" s="31"/>
      <c r="G797" s="31"/>
      <c r="I797" s="28"/>
      <c r="J797" s="62"/>
      <c r="K797" s="62"/>
      <c r="L797" s="33"/>
      <c r="M797" s="32"/>
      <c r="N797" s="34"/>
      <c r="O797" s="36"/>
      <c r="P797" s="68"/>
      <c r="Q797" s="24"/>
      <c r="R797" s="24"/>
      <c r="S797" s="64"/>
      <c r="V797" s="67"/>
      <c r="X797" s="67"/>
    </row>
    <row r="798" spans="1:24" s="27" customFormat="1">
      <c r="A798" s="31"/>
      <c r="B798" s="24"/>
      <c r="C798" s="30"/>
      <c r="D798" s="28"/>
      <c r="E798" s="31"/>
      <c r="F798" s="31"/>
      <c r="G798" s="31"/>
      <c r="I798" s="28"/>
      <c r="J798" s="62"/>
      <c r="K798" s="62"/>
      <c r="L798" s="33"/>
      <c r="M798" s="32"/>
      <c r="N798" s="34"/>
      <c r="O798" s="36"/>
      <c r="P798" s="68"/>
      <c r="Q798" s="24"/>
      <c r="R798" s="24"/>
      <c r="S798" s="64"/>
      <c r="V798" s="67"/>
      <c r="X798" s="67"/>
    </row>
    <row r="799" spans="1:24" s="27" customFormat="1">
      <c r="A799" s="31"/>
      <c r="B799" s="24"/>
      <c r="C799" s="30"/>
      <c r="D799" s="28"/>
      <c r="E799" s="31"/>
      <c r="F799" s="31"/>
      <c r="G799" s="31"/>
      <c r="I799" s="28"/>
      <c r="J799" s="62"/>
      <c r="K799" s="62"/>
      <c r="L799" s="33"/>
      <c r="M799" s="32"/>
      <c r="N799" s="34"/>
      <c r="O799" s="36"/>
      <c r="P799" s="68"/>
      <c r="Q799" s="24"/>
      <c r="R799" s="24"/>
      <c r="S799" s="64"/>
      <c r="V799" s="67"/>
      <c r="X799" s="67"/>
    </row>
    <row r="800" spans="1:24" s="27" customFormat="1">
      <c r="A800" s="31"/>
      <c r="B800" s="24"/>
      <c r="C800" s="30"/>
      <c r="D800" s="28"/>
      <c r="E800" s="31"/>
      <c r="F800" s="31"/>
      <c r="G800" s="31"/>
      <c r="I800" s="28"/>
      <c r="J800" s="62"/>
      <c r="K800" s="62"/>
      <c r="L800" s="33"/>
      <c r="M800" s="32"/>
      <c r="N800" s="34"/>
      <c r="O800" s="36"/>
      <c r="P800" s="68"/>
      <c r="Q800" s="24"/>
      <c r="R800" s="24"/>
      <c r="S800" s="64"/>
      <c r="V800" s="67"/>
      <c r="X800" s="67"/>
    </row>
    <row r="801" spans="1:24" s="27" customFormat="1">
      <c r="A801" s="31"/>
      <c r="B801" s="24"/>
      <c r="C801" s="30"/>
      <c r="D801" s="28"/>
      <c r="E801" s="31"/>
      <c r="F801" s="31"/>
      <c r="G801" s="31"/>
      <c r="I801" s="28"/>
      <c r="J801" s="62"/>
      <c r="K801" s="62"/>
      <c r="L801" s="33"/>
      <c r="M801" s="32"/>
      <c r="N801" s="34"/>
      <c r="O801" s="36"/>
      <c r="P801" s="68"/>
      <c r="Q801" s="24"/>
      <c r="R801" s="24"/>
      <c r="S801" s="64"/>
      <c r="V801" s="67"/>
      <c r="X801" s="67"/>
    </row>
    <row r="802" spans="1:24" s="27" customFormat="1">
      <c r="A802" s="31"/>
      <c r="B802" s="24"/>
      <c r="C802" s="30"/>
      <c r="D802" s="28"/>
      <c r="E802" s="31"/>
      <c r="F802" s="31"/>
      <c r="G802" s="31"/>
      <c r="I802" s="28"/>
      <c r="J802" s="62"/>
      <c r="K802" s="62"/>
      <c r="L802" s="33"/>
      <c r="M802" s="32"/>
      <c r="N802" s="34"/>
      <c r="O802" s="36"/>
      <c r="P802" s="68"/>
      <c r="Q802" s="24"/>
      <c r="R802" s="24"/>
      <c r="S802" s="64"/>
      <c r="V802" s="67"/>
      <c r="X802" s="67"/>
    </row>
    <row r="803" spans="1:24" s="27" customFormat="1">
      <c r="A803" s="31"/>
      <c r="B803" s="24"/>
      <c r="C803" s="30"/>
      <c r="D803" s="28"/>
      <c r="E803" s="31"/>
      <c r="F803" s="31"/>
      <c r="G803" s="31"/>
      <c r="I803" s="28"/>
      <c r="J803" s="62"/>
      <c r="K803" s="62"/>
      <c r="L803" s="33"/>
      <c r="M803" s="32"/>
      <c r="N803" s="34"/>
      <c r="O803" s="36"/>
      <c r="P803" s="68"/>
      <c r="Q803" s="24"/>
      <c r="R803" s="24"/>
      <c r="S803" s="64"/>
      <c r="V803" s="67"/>
      <c r="X803" s="67"/>
    </row>
    <row r="804" spans="1:24" s="27" customFormat="1">
      <c r="A804" s="31"/>
      <c r="B804" s="24"/>
      <c r="C804" s="30"/>
      <c r="D804" s="28"/>
      <c r="E804" s="31"/>
      <c r="F804" s="31"/>
      <c r="G804" s="31"/>
      <c r="I804" s="28"/>
      <c r="J804" s="62"/>
      <c r="K804" s="62"/>
      <c r="L804" s="33"/>
      <c r="M804" s="32"/>
      <c r="N804" s="34"/>
      <c r="O804" s="36"/>
      <c r="P804" s="68"/>
      <c r="Q804" s="24"/>
      <c r="R804" s="24"/>
      <c r="S804" s="64"/>
      <c r="V804" s="67"/>
      <c r="X804" s="67"/>
    </row>
    <row r="805" spans="1:24" s="27" customFormat="1">
      <c r="A805" s="31"/>
      <c r="B805" s="24"/>
      <c r="C805" s="30"/>
      <c r="D805" s="28"/>
      <c r="E805" s="31"/>
      <c r="F805" s="31"/>
      <c r="G805" s="31"/>
      <c r="I805" s="28"/>
      <c r="J805" s="62"/>
      <c r="K805" s="62"/>
      <c r="L805" s="33"/>
      <c r="M805" s="32"/>
      <c r="N805" s="34"/>
      <c r="O805" s="36"/>
      <c r="P805" s="68"/>
      <c r="Q805" s="24"/>
      <c r="R805" s="24"/>
      <c r="S805" s="64"/>
      <c r="V805" s="67"/>
      <c r="X805" s="67"/>
    </row>
    <row r="806" spans="1:24" s="27" customFormat="1">
      <c r="A806" s="31"/>
      <c r="B806" s="24"/>
      <c r="C806" s="30"/>
      <c r="D806" s="28"/>
      <c r="E806" s="31"/>
      <c r="F806" s="31"/>
      <c r="G806" s="31"/>
      <c r="I806" s="28"/>
      <c r="J806" s="62"/>
      <c r="K806" s="62"/>
      <c r="L806" s="33"/>
      <c r="M806" s="32"/>
      <c r="N806" s="34"/>
      <c r="O806" s="36"/>
      <c r="P806" s="68"/>
      <c r="Q806" s="24"/>
      <c r="R806" s="24"/>
      <c r="S806" s="64"/>
      <c r="V806" s="67"/>
      <c r="X806" s="67"/>
    </row>
    <row r="807" spans="1:24" s="27" customFormat="1">
      <c r="A807" s="31"/>
      <c r="B807" s="24"/>
      <c r="C807" s="30"/>
      <c r="D807" s="28"/>
      <c r="E807" s="31"/>
      <c r="F807" s="31"/>
      <c r="G807" s="31"/>
      <c r="I807" s="28"/>
      <c r="J807" s="62"/>
      <c r="K807" s="62"/>
      <c r="L807" s="33"/>
      <c r="M807" s="32"/>
      <c r="N807" s="34"/>
      <c r="O807" s="36"/>
      <c r="P807" s="68"/>
      <c r="Q807" s="24"/>
      <c r="R807" s="24"/>
      <c r="S807" s="64"/>
      <c r="V807" s="67"/>
      <c r="X807" s="67"/>
    </row>
    <row r="808" spans="1:24" s="27" customFormat="1">
      <c r="A808" s="31"/>
      <c r="B808" s="24"/>
      <c r="C808" s="30"/>
      <c r="D808" s="28"/>
      <c r="E808" s="31"/>
      <c r="F808" s="31"/>
      <c r="G808" s="31"/>
      <c r="I808" s="28"/>
      <c r="J808" s="62"/>
      <c r="K808" s="62"/>
      <c r="L808" s="33"/>
      <c r="M808" s="32"/>
      <c r="N808" s="34"/>
      <c r="O808" s="36"/>
      <c r="P808" s="68"/>
      <c r="Q808" s="24"/>
      <c r="R808" s="24"/>
      <c r="S808" s="64"/>
      <c r="V808" s="67"/>
      <c r="X808" s="67"/>
    </row>
    <row r="809" spans="1:24" s="27" customFormat="1">
      <c r="A809" s="31"/>
      <c r="B809" s="24"/>
      <c r="C809" s="30"/>
      <c r="D809" s="28"/>
      <c r="E809" s="31"/>
      <c r="F809" s="31"/>
      <c r="G809" s="31"/>
      <c r="I809" s="28"/>
      <c r="J809" s="62"/>
      <c r="K809" s="62"/>
      <c r="L809" s="33"/>
      <c r="M809" s="32"/>
      <c r="N809" s="34"/>
      <c r="O809" s="36"/>
      <c r="P809" s="68"/>
      <c r="Q809" s="24"/>
      <c r="R809" s="24"/>
      <c r="S809" s="64"/>
      <c r="V809" s="67"/>
      <c r="X809" s="67"/>
    </row>
    <row r="810" spans="1:24" s="27" customFormat="1">
      <c r="A810" s="31"/>
      <c r="B810" s="24"/>
      <c r="C810" s="30"/>
      <c r="D810" s="28"/>
      <c r="E810" s="31"/>
      <c r="F810" s="31"/>
      <c r="G810" s="31"/>
      <c r="I810" s="28"/>
      <c r="J810" s="62"/>
      <c r="K810" s="62"/>
      <c r="L810" s="33"/>
      <c r="M810" s="32"/>
      <c r="N810" s="34"/>
      <c r="O810" s="36"/>
      <c r="P810" s="68"/>
      <c r="Q810" s="24"/>
      <c r="R810" s="24"/>
      <c r="S810" s="64"/>
      <c r="V810" s="67"/>
      <c r="X810" s="67"/>
    </row>
    <row r="811" spans="1:24" s="27" customFormat="1">
      <c r="A811" s="31"/>
      <c r="B811" s="24"/>
      <c r="C811" s="30"/>
      <c r="D811" s="28"/>
      <c r="E811" s="31"/>
      <c r="F811" s="31"/>
      <c r="G811" s="31"/>
      <c r="I811" s="28"/>
      <c r="J811" s="62"/>
      <c r="K811" s="62"/>
      <c r="L811" s="33"/>
      <c r="M811" s="32"/>
      <c r="N811" s="34"/>
      <c r="O811" s="36"/>
      <c r="P811" s="68"/>
      <c r="Q811" s="24"/>
      <c r="R811" s="24"/>
      <c r="S811" s="64"/>
      <c r="V811" s="67"/>
      <c r="X811" s="67"/>
    </row>
    <row r="812" spans="1:24" s="27" customFormat="1">
      <c r="A812" s="31"/>
      <c r="B812" s="24"/>
      <c r="C812" s="30"/>
      <c r="D812" s="28"/>
      <c r="E812" s="31"/>
      <c r="F812" s="31"/>
      <c r="G812" s="31"/>
      <c r="I812" s="28"/>
      <c r="J812" s="62"/>
      <c r="K812" s="62"/>
      <c r="L812" s="33"/>
      <c r="M812" s="32"/>
      <c r="N812" s="34"/>
      <c r="O812" s="36"/>
      <c r="P812" s="68"/>
      <c r="Q812" s="24"/>
      <c r="R812" s="24"/>
      <c r="S812" s="64"/>
      <c r="V812" s="67"/>
      <c r="X812" s="67"/>
    </row>
    <row r="813" spans="1:24" s="27" customFormat="1">
      <c r="A813" s="31"/>
      <c r="B813" s="24"/>
      <c r="C813" s="30"/>
      <c r="D813" s="28"/>
      <c r="E813" s="31"/>
      <c r="F813" s="31"/>
      <c r="G813" s="31"/>
      <c r="I813" s="28"/>
      <c r="J813" s="62"/>
      <c r="K813" s="62"/>
      <c r="L813" s="33"/>
      <c r="M813" s="32"/>
      <c r="N813" s="34"/>
      <c r="O813" s="36"/>
      <c r="P813" s="68"/>
      <c r="Q813" s="24"/>
      <c r="R813" s="24"/>
      <c r="S813" s="64"/>
      <c r="V813" s="67"/>
      <c r="X813" s="67"/>
    </row>
    <row r="814" spans="1:24" s="27" customFormat="1">
      <c r="A814" s="31"/>
      <c r="B814" s="24"/>
      <c r="C814" s="30"/>
      <c r="D814" s="28"/>
      <c r="E814" s="31"/>
      <c r="F814" s="31"/>
      <c r="G814" s="31"/>
      <c r="I814" s="28"/>
      <c r="J814" s="62"/>
      <c r="K814" s="62"/>
      <c r="L814" s="33"/>
      <c r="M814" s="32"/>
      <c r="N814" s="34"/>
      <c r="O814" s="36"/>
      <c r="P814" s="68"/>
      <c r="Q814" s="24"/>
      <c r="R814" s="24"/>
      <c r="S814" s="64"/>
      <c r="V814" s="67"/>
      <c r="X814" s="67"/>
    </row>
    <row r="815" spans="1:24" s="27" customFormat="1">
      <c r="A815" s="31"/>
      <c r="B815" s="24"/>
      <c r="C815" s="30"/>
      <c r="D815" s="28"/>
      <c r="E815" s="31"/>
      <c r="F815" s="31"/>
      <c r="G815" s="31"/>
      <c r="I815" s="28"/>
      <c r="J815" s="62"/>
      <c r="K815" s="62"/>
      <c r="L815" s="33"/>
      <c r="M815" s="32"/>
      <c r="N815" s="34"/>
      <c r="O815" s="36"/>
      <c r="P815" s="68"/>
      <c r="Q815" s="24"/>
      <c r="R815" s="24"/>
      <c r="S815" s="64"/>
      <c r="V815" s="67"/>
      <c r="X815" s="67"/>
    </row>
    <row r="816" spans="1:24" s="27" customFormat="1">
      <c r="A816" s="31"/>
      <c r="B816" s="24"/>
      <c r="C816" s="30"/>
      <c r="D816" s="28"/>
      <c r="E816" s="31"/>
      <c r="F816" s="31"/>
      <c r="G816" s="31"/>
      <c r="I816" s="28"/>
      <c r="J816" s="62"/>
      <c r="K816" s="62"/>
      <c r="L816" s="33"/>
      <c r="M816" s="32"/>
      <c r="N816" s="34"/>
      <c r="O816" s="36"/>
      <c r="P816" s="68"/>
      <c r="Q816" s="24"/>
      <c r="R816" s="24"/>
      <c r="S816" s="64"/>
      <c r="V816" s="67"/>
      <c r="X816" s="67"/>
    </row>
    <row r="817" spans="1:24" s="27" customFormat="1">
      <c r="A817" s="31"/>
      <c r="B817" s="24"/>
      <c r="C817" s="30"/>
      <c r="D817" s="28"/>
      <c r="E817" s="31"/>
      <c r="F817" s="31"/>
      <c r="G817" s="31"/>
      <c r="I817" s="28"/>
      <c r="J817" s="62"/>
      <c r="K817" s="62"/>
      <c r="L817" s="33"/>
      <c r="M817" s="32"/>
      <c r="N817" s="34"/>
      <c r="O817" s="36"/>
      <c r="P817" s="68"/>
      <c r="Q817" s="24"/>
      <c r="R817" s="24"/>
      <c r="S817" s="64"/>
      <c r="V817" s="67"/>
      <c r="X817" s="67"/>
    </row>
    <row r="818" spans="1:24" s="27" customFormat="1">
      <c r="A818" s="31"/>
      <c r="B818" s="24"/>
      <c r="C818" s="30"/>
      <c r="D818" s="28"/>
      <c r="E818" s="31"/>
      <c r="F818" s="31"/>
      <c r="G818" s="31"/>
      <c r="I818" s="28"/>
      <c r="J818" s="62"/>
      <c r="K818" s="62"/>
      <c r="L818" s="33"/>
      <c r="M818" s="32"/>
      <c r="N818" s="34"/>
      <c r="O818" s="36"/>
      <c r="P818" s="68"/>
      <c r="Q818" s="24"/>
      <c r="R818" s="24"/>
      <c r="S818" s="64"/>
      <c r="V818" s="67"/>
      <c r="X818" s="67"/>
    </row>
    <row r="819" spans="1:24" s="27" customFormat="1">
      <c r="A819" s="31"/>
      <c r="B819" s="24"/>
      <c r="C819" s="30"/>
      <c r="D819" s="28"/>
      <c r="E819" s="31"/>
      <c r="F819" s="31"/>
      <c r="G819" s="31"/>
      <c r="I819" s="28"/>
      <c r="J819" s="62"/>
      <c r="K819" s="62"/>
      <c r="L819" s="33"/>
      <c r="M819" s="32"/>
      <c r="N819" s="34"/>
      <c r="O819" s="36"/>
      <c r="P819" s="68"/>
      <c r="Q819" s="24"/>
      <c r="R819" s="24"/>
      <c r="S819" s="64"/>
      <c r="V819" s="67"/>
      <c r="X819" s="67"/>
    </row>
    <row r="820" spans="1:24" s="27" customFormat="1">
      <c r="A820" s="31"/>
      <c r="B820" s="24"/>
      <c r="C820" s="30"/>
      <c r="D820" s="28"/>
      <c r="E820" s="31"/>
      <c r="F820" s="31"/>
      <c r="G820" s="31"/>
      <c r="I820" s="28"/>
      <c r="J820" s="62"/>
      <c r="K820" s="62"/>
      <c r="L820" s="33"/>
      <c r="M820" s="32"/>
      <c r="N820" s="34"/>
      <c r="O820" s="36"/>
      <c r="P820" s="68"/>
      <c r="Q820" s="24"/>
      <c r="R820" s="24"/>
      <c r="S820" s="64"/>
      <c r="V820" s="67"/>
      <c r="X820" s="67"/>
    </row>
    <row r="821" spans="1:24" s="27" customFormat="1">
      <c r="A821" s="31"/>
      <c r="B821" s="24"/>
      <c r="C821" s="30"/>
      <c r="D821" s="28"/>
      <c r="E821" s="31"/>
      <c r="F821" s="31"/>
      <c r="G821" s="31"/>
      <c r="I821" s="28"/>
      <c r="J821" s="62"/>
      <c r="K821" s="62"/>
      <c r="L821" s="33"/>
      <c r="M821" s="32"/>
      <c r="N821" s="34"/>
      <c r="O821" s="36"/>
      <c r="P821" s="68"/>
      <c r="Q821" s="24"/>
      <c r="R821" s="24"/>
      <c r="S821" s="64"/>
      <c r="V821" s="67"/>
      <c r="X821" s="67"/>
    </row>
    <row r="822" spans="1:24" s="27" customFormat="1">
      <c r="A822" s="31"/>
      <c r="B822" s="24"/>
      <c r="C822" s="30"/>
      <c r="D822" s="28"/>
      <c r="E822" s="31"/>
      <c r="F822" s="31"/>
      <c r="G822" s="31"/>
      <c r="I822" s="28"/>
      <c r="J822" s="62"/>
      <c r="K822" s="62"/>
      <c r="L822" s="33"/>
      <c r="M822" s="32"/>
      <c r="N822" s="34"/>
      <c r="O822" s="36"/>
      <c r="P822" s="68"/>
      <c r="Q822" s="24"/>
      <c r="R822" s="24"/>
      <c r="S822" s="64"/>
      <c r="V822" s="67"/>
      <c r="X822" s="67"/>
    </row>
    <row r="823" spans="1:24" s="27" customFormat="1">
      <c r="A823" s="31"/>
      <c r="B823" s="24"/>
      <c r="C823" s="30"/>
      <c r="D823" s="28"/>
      <c r="E823" s="31"/>
      <c r="F823" s="31"/>
      <c r="G823" s="31"/>
      <c r="I823" s="28"/>
      <c r="J823" s="62"/>
      <c r="K823" s="62"/>
      <c r="L823" s="33"/>
      <c r="M823" s="32"/>
      <c r="N823" s="34"/>
      <c r="O823" s="36"/>
      <c r="P823" s="68"/>
      <c r="Q823" s="24"/>
      <c r="R823" s="24"/>
      <c r="S823" s="64"/>
      <c r="V823" s="67"/>
      <c r="X823" s="67"/>
    </row>
    <row r="824" spans="1:24" s="27" customFormat="1">
      <c r="A824" s="31"/>
      <c r="B824" s="24"/>
      <c r="C824" s="30"/>
      <c r="D824" s="28"/>
      <c r="E824" s="31"/>
      <c r="F824" s="31"/>
      <c r="G824" s="31"/>
      <c r="I824" s="28"/>
      <c r="J824" s="62"/>
      <c r="K824" s="62"/>
      <c r="L824" s="33"/>
      <c r="M824" s="32"/>
      <c r="N824" s="34"/>
      <c r="O824" s="36"/>
      <c r="P824" s="68"/>
      <c r="Q824" s="24"/>
      <c r="R824" s="24"/>
      <c r="S824" s="64"/>
      <c r="V824" s="67"/>
      <c r="X824" s="67"/>
    </row>
    <row r="825" spans="1:24" s="27" customFormat="1">
      <c r="A825" s="31"/>
      <c r="B825" s="24"/>
      <c r="C825" s="30"/>
      <c r="D825" s="28"/>
      <c r="E825" s="31"/>
      <c r="F825" s="31"/>
      <c r="G825" s="31"/>
      <c r="I825" s="28"/>
      <c r="J825" s="62"/>
      <c r="K825" s="62"/>
      <c r="L825" s="33"/>
      <c r="M825" s="32"/>
      <c r="N825" s="34"/>
      <c r="O825" s="36"/>
      <c r="P825" s="68"/>
      <c r="Q825" s="24"/>
      <c r="R825" s="24"/>
      <c r="S825" s="64"/>
      <c r="V825" s="67"/>
      <c r="X825" s="67"/>
    </row>
    <row r="826" spans="1:24" s="27" customFormat="1">
      <c r="A826" s="31"/>
      <c r="B826" s="24"/>
      <c r="C826" s="30"/>
      <c r="D826" s="28"/>
      <c r="E826" s="31"/>
      <c r="F826" s="31"/>
      <c r="G826" s="31"/>
      <c r="I826" s="28"/>
      <c r="J826" s="62"/>
      <c r="K826" s="62"/>
      <c r="L826" s="33"/>
      <c r="M826" s="32"/>
      <c r="N826" s="34"/>
      <c r="O826" s="36"/>
      <c r="P826" s="68"/>
      <c r="Q826" s="24"/>
      <c r="R826" s="24"/>
      <c r="S826" s="64"/>
      <c r="V826" s="67"/>
      <c r="X826" s="67"/>
    </row>
    <row r="827" spans="1:24" s="27" customFormat="1">
      <c r="A827" s="31"/>
      <c r="B827" s="24"/>
      <c r="C827" s="30"/>
      <c r="D827" s="28"/>
      <c r="E827" s="31"/>
      <c r="F827" s="31"/>
      <c r="G827" s="31"/>
      <c r="I827" s="28"/>
      <c r="J827" s="62"/>
      <c r="K827" s="62"/>
      <c r="L827" s="33"/>
      <c r="M827" s="32"/>
      <c r="N827" s="34"/>
      <c r="O827" s="36"/>
      <c r="P827" s="68"/>
      <c r="Q827" s="24"/>
      <c r="R827" s="24"/>
      <c r="S827" s="64"/>
      <c r="V827" s="67"/>
      <c r="X827" s="67"/>
    </row>
    <row r="828" spans="1:24" s="27" customFormat="1">
      <c r="A828" s="31"/>
      <c r="B828" s="24"/>
      <c r="C828" s="30"/>
      <c r="D828" s="28"/>
      <c r="E828" s="31"/>
      <c r="F828" s="31"/>
      <c r="G828" s="31"/>
      <c r="I828" s="28"/>
      <c r="J828" s="62"/>
      <c r="K828" s="62"/>
      <c r="L828" s="33"/>
      <c r="M828" s="32"/>
      <c r="N828" s="34"/>
      <c r="O828" s="36"/>
      <c r="P828" s="68"/>
      <c r="Q828" s="24"/>
      <c r="R828" s="24"/>
      <c r="S828" s="64"/>
      <c r="V828" s="67"/>
      <c r="X828" s="67"/>
    </row>
    <row r="829" spans="1:24" s="27" customFormat="1">
      <c r="A829" s="31"/>
      <c r="B829" s="24"/>
      <c r="C829" s="30"/>
      <c r="D829" s="28"/>
      <c r="E829" s="31"/>
      <c r="F829" s="31"/>
      <c r="G829" s="31"/>
      <c r="I829" s="28"/>
      <c r="J829" s="62"/>
      <c r="K829" s="62"/>
      <c r="L829" s="33"/>
      <c r="M829" s="32"/>
      <c r="N829" s="34"/>
      <c r="O829" s="36"/>
      <c r="P829" s="68"/>
      <c r="Q829" s="24"/>
      <c r="R829" s="24"/>
      <c r="S829" s="64"/>
      <c r="V829" s="67"/>
      <c r="X829" s="67"/>
    </row>
    <row r="830" spans="1:24" s="27" customFormat="1">
      <c r="A830" s="31"/>
      <c r="B830" s="24"/>
      <c r="C830" s="30"/>
      <c r="D830" s="28"/>
      <c r="E830" s="31"/>
      <c r="F830" s="31"/>
      <c r="G830" s="31"/>
      <c r="I830" s="28"/>
      <c r="J830" s="62"/>
      <c r="K830" s="62"/>
      <c r="L830" s="33"/>
      <c r="M830" s="32"/>
      <c r="N830" s="34"/>
      <c r="O830" s="36"/>
      <c r="P830" s="68"/>
      <c r="Q830" s="24"/>
      <c r="R830" s="24"/>
      <c r="S830" s="64"/>
      <c r="V830" s="67"/>
      <c r="X830" s="67"/>
    </row>
    <row r="831" spans="1:24" s="27" customFormat="1">
      <c r="A831" s="31"/>
      <c r="B831" s="24"/>
      <c r="C831" s="30"/>
      <c r="D831" s="28"/>
      <c r="E831" s="31"/>
      <c r="F831" s="31"/>
      <c r="G831" s="31"/>
      <c r="I831" s="28"/>
      <c r="J831" s="62"/>
      <c r="K831" s="62"/>
      <c r="L831" s="33"/>
      <c r="M831" s="32"/>
      <c r="N831" s="34"/>
      <c r="O831" s="36"/>
      <c r="P831" s="68"/>
      <c r="Q831" s="24"/>
      <c r="R831" s="24"/>
      <c r="S831" s="64"/>
      <c r="V831" s="67"/>
      <c r="X831" s="67"/>
    </row>
    <row r="832" spans="1:24" s="27" customFormat="1">
      <c r="A832" s="31"/>
      <c r="B832" s="24"/>
      <c r="C832" s="30"/>
      <c r="D832" s="28"/>
      <c r="E832" s="31"/>
      <c r="F832" s="31"/>
      <c r="G832" s="31"/>
      <c r="I832" s="28"/>
      <c r="J832" s="62"/>
      <c r="K832" s="62"/>
      <c r="L832" s="33"/>
      <c r="M832" s="32"/>
      <c r="N832" s="34"/>
      <c r="O832" s="36"/>
      <c r="P832" s="68"/>
      <c r="Q832" s="24"/>
      <c r="R832" s="24"/>
      <c r="S832" s="64"/>
      <c r="V832" s="67"/>
      <c r="X832" s="67"/>
    </row>
    <row r="833" spans="1:24" s="27" customFormat="1">
      <c r="A833" s="31"/>
      <c r="B833" s="24"/>
      <c r="C833" s="30"/>
      <c r="D833" s="28"/>
      <c r="E833" s="31"/>
      <c r="F833" s="31"/>
      <c r="G833" s="31"/>
      <c r="I833" s="28"/>
      <c r="J833" s="62"/>
      <c r="K833" s="62"/>
      <c r="L833" s="33"/>
      <c r="M833" s="32"/>
      <c r="N833" s="34"/>
      <c r="O833" s="36"/>
      <c r="P833" s="68"/>
      <c r="Q833" s="24"/>
      <c r="R833" s="24"/>
      <c r="S833" s="64"/>
      <c r="V833" s="67"/>
      <c r="X833" s="67"/>
    </row>
    <row r="834" spans="1:24" s="27" customFormat="1">
      <c r="A834" s="31"/>
      <c r="B834" s="24"/>
      <c r="C834" s="30"/>
      <c r="D834" s="28"/>
      <c r="E834" s="31"/>
      <c r="F834" s="31"/>
      <c r="G834" s="31"/>
      <c r="I834" s="28"/>
      <c r="J834" s="62"/>
      <c r="K834" s="62"/>
      <c r="L834" s="33"/>
      <c r="M834" s="32"/>
      <c r="N834" s="34"/>
      <c r="O834" s="36"/>
      <c r="P834" s="68"/>
      <c r="Q834" s="24"/>
      <c r="R834" s="24"/>
      <c r="S834" s="64"/>
      <c r="V834" s="67"/>
      <c r="X834" s="67"/>
    </row>
    <row r="835" spans="1:24" s="27" customFormat="1">
      <c r="A835" s="31"/>
      <c r="B835" s="24"/>
      <c r="C835" s="30"/>
      <c r="D835" s="28"/>
      <c r="E835" s="31"/>
      <c r="F835" s="31"/>
      <c r="G835" s="31"/>
      <c r="I835" s="28"/>
      <c r="J835" s="62"/>
      <c r="K835" s="62"/>
      <c r="L835" s="33"/>
      <c r="M835" s="32"/>
      <c r="N835" s="34"/>
      <c r="O835" s="36"/>
      <c r="P835" s="68"/>
      <c r="Q835" s="24"/>
      <c r="R835" s="24"/>
      <c r="S835" s="64"/>
      <c r="V835" s="67"/>
      <c r="X835" s="67"/>
    </row>
    <row r="836" spans="1:24" s="27" customFormat="1">
      <c r="A836" s="31"/>
      <c r="B836" s="24"/>
      <c r="C836" s="30"/>
      <c r="D836" s="28"/>
      <c r="E836" s="31"/>
      <c r="F836" s="31"/>
      <c r="G836" s="31"/>
      <c r="I836" s="28"/>
      <c r="J836" s="62"/>
      <c r="K836" s="62"/>
      <c r="L836" s="33"/>
      <c r="M836" s="32"/>
      <c r="N836" s="34"/>
      <c r="O836" s="36"/>
      <c r="P836" s="68"/>
      <c r="Q836" s="24"/>
      <c r="R836" s="24"/>
      <c r="S836" s="64"/>
      <c r="V836" s="67"/>
      <c r="X836" s="67"/>
    </row>
    <row r="837" spans="1:24" s="27" customFormat="1">
      <c r="A837" s="31"/>
      <c r="B837" s="24"/>
      <c r="C837" s="30"/>
      <c r="D837" s="28"/>
      <c r="E837" s="31"/>
      <c r="F837" s="31"/>
      <c r="G837" s="31"/>
      <c r="I837" s="28"/>
      <c r="J837" s="62"/>
      <c r="K837" s="62"/>
      <c r="L837" s="33"/>
      <c r="M837" s="32"/>
      <c r="N837" s="34"/>
      <c r="O837" s="36"/>
      <c r="P837" s="68"/>
      <c r="Q837" s="24"/>
      <c r="R837" s="24"/>
      <c r="S837" s="64"/>
      <c r="V837" s="67"/>
      <c r="X837" s="67"/>
    </row>
    <row r="838" spans="1:24" s="27" customFormat="1">
      <c r="A838" s="31"/>
      <c r="B838" s="24"/>
      <c r="C838" s="30"/>
      <c r="D838" s="28"/>
      <c r="E838" s="31"/>
      <c r="F838" s="31"/>
      <c r="G838" s="31"/>
      <c r="I838" s="28"/>
      <c r="J838" s="62"/>
      <c r="K838" s="62"/>
      <c r="L838" s="33"/>
      <c r="M838" s="32"/>
      <c r="N838" s="34"/>
      <c r="O838" s="36"/>
      <c r="P838" s="68"/>
      <c r="Q838" s="24"/>
      <c r="R838" s="24"/>
      <c r="S838" s="64"/>
      <c r="V838" s="67"/>
      <c r="X838" s="67"/>
    </row>
    <row r="839" spans="1:24" s="27" customFormat="1">
      <c r="A839" s="31"/>
      <c r="B839" s="24"/>
      <c r="C839" s="30"/>
      <c r="D839" s="28"/>
      <c r="E839" s="31"/>
      <c r="F839" s="31"/>
      <c r="G839" s="31"/>
      <c r="I839" s="28"/>
      <c r="J839" s="62"/>
      <c r="K839" s="62"/>
      <c r="L839" s="33"/>
      <c r="M839" s="32"/>
      <c r="N839" s="34"/>
      <c r="O839" s="36"/>
      <c r="P839" s="68"/>
      <c r="Q839" s="24"/>
      <c r="R839" s="24"/>
      <c r="S839" s="64"/>
      <c r="V839" s="67"/>
      <c r="X839" s="67"/>
    </row>
    <row r="840" spans="1:24" s="27" customFormat="1">
      <c r="A840" s="31"/>
      <c r="B840" s="24"/>
      <c r="C840" s="30"/>
      <c r="D840" s="28"/>
      <c r="E840" s="31"/>
      <c r="F840" s="31"/>
      <c r="G840" s="31"/>
      <c r="I840" s="28"/>
      <c r="J840" s="62"/>
      <c r="K840" s="62"/>
      <c r="L840" s="33"/>
      <c r="M840" s="32"/>
      <c r="N840" s="34"/>
      <c r="O840" s="36"/>
      <c r="P840" s="68"/>
      <c r="Q840" s="24"/>
      <c r="R840" s="24"/>
      <c r="S840" s="64"/>
      <c r="V840" s="67"/>
      <c r="X840" s="67"/>
    </row>
    <row r="841" spans="1:24" s="27" customFormat="1">
      <c r="A841" s="31"/>
      <c r="B841" s="24"/>
      <c r="C841" s="30"/>
      <c r="D841" s="28"/>
      <c r="E841" s="31"/>
      <c r="F841" s="31"/>
      <c r="G841" s="31"/>
      <c r="I841" s="28"/>
      <c r="J841" s="62"/>
      <c r="K841" s="62"/>
      <c r="L841" s="33"/>
      <c r="M841" s="32"/>
      <c r="N841" s="34"/>
      <c r="O841" s="36"/>
      <c r="P841" s="68"/>
      <c r="Q841" s="24"/>
      <c r="R841" s="24"/>
      <c r="S841" s="64"/>
      <c r="V841" s="67"/>
      <c r="X841" s="67"/>
    </row>
    <row r="842" spans="1:24" s="27" customFormat="1">
      <c r="A842" s="31"/>
      <c r="B842" s="24"/>
      <c r="C842" s="30"/>
      <c r="D842" s="28"/>
      <c r="E842" s="31"/>
      <c r="F842" s="31"/>
      <c r="G842" s="31"/>
      <c r="I842" s="28"/>
      <c r="J842" s="62"/>
      <c r="K842" s="62"/>
      <c r="L842" s="33"/>
      <c r="M842" s="32"/>
      <c r="N842" s="34"/>
      <c r="O842" s="36"/>
      <c r="P842" s="68"/>
      <c r="Q842" s="24"/>
      <c r="R842" s="24"/>
      <c r="S842" s="64"/>
      <c r="V842" s="67"/>
      <c r="X842" s="67"/>
    </row>
    <row r="843" spans="1:24" s="27" customFormat="1">
      <c r="A843" s="31"/>
      <c r="B843" s="24"/>
      <c r="C843" s="30"/>
      <c r="D843" s="28"/>
      <c r="E843" s="31"/>
      <c r="F843" s="31"/>
      <c r="G843" s="31"/>
      <c r="I843" s="28"/>
      <c r="J843" s="62"/>
      <c r="K843" s="62"/>
      <c r="L843" s="33"/>
      <c r="M843" s="32"/>
      <c r="N843" s="34"/>
      <c r="O843" s="36"/>
      <c r="P843" s="68"/>
      <c r="Q843" s="24"/>
      <c r="R843" s="24"/>
      <c r="S843" s="64"/>
      <c r="V843" s="67"/>
      <c r="X843" s="67"/>
    </row>
    <row r="844" spans="1:24" s="27" customFormat="1">
      <c r="A844" s="31"/>
      <c r="B844" s="24"/>
      <c r="C844" s="30"/>
      <c r="D844" s="28"/>
      <c r="E844" s="31"/>
      <c r="F844" s="31"/>
      <c r="G844" s="31"/>
      <c r="I844" s="28"/>
      <c r="J844" s="62"/>
      <c r="K844" s="62"/>
      <c r="L844" s="33"/>
      <c r="M844" s="32"/>
      <c r="N844" s="34"/>
      <c r="O844" s="36"/>
      <c r="P844" s="68"/>
      <c r="Q844" s="24"/>
      <c r="R844" s="24"/>
      <c r="S844" s="64"/>
      <c r="V844" s="67"/>
      <c r="X844" s="67"/>
    </row>
    <row r="845" spans="1:24" s="27" customFormat="1">
      <c r="A845" s="31"/>
      <c r="B845" s="24"/>
      <c r="C845" s="30"/>
      <c r="D845" s="28"/>
      <c r="E845" s="31"/>
      <c r="F845" s="31"/>
      <c r="G845" s="31"/>
      <c r="I845" s="28"/>
      <c r="J845" s="62"/>
      <c r="K845" s="62"/>
      <c r="L845" s="33"/>
      <c r="M845" s="32"/>
      <c r="N845" s="34"/>
      <c r="O845" s="36"/>
      <c r="P845" s="68"/>
      <c r="Q845" s="24"/>
      <c r="R845" s="24"/>
      <c r="S845" s="64"/>
      <c r="V845" s="67"/>
      <c r="X845" s="67"/>
    </row>
    <row r="846" spans="1:24" s="27" customFormat="1">
      <c r="A846" s="31"/>
      <c r="B846" s="24"/>
      <c r="C846" s="30"/>
      <c r="D846" s="28"/>
      <c r="E846" s="31"/>
      <c r="F846" s="31"/>
      <c r="G846" s="31"/>
      <c r="I846" s="28"/>
      <c r="J846" s="62"/>
      <c r="K846" s="62"/>
      <c r="L846" s="33"/>
      <c r="M846" s="32"/>
      <c r="N846" s="34"/>
      <c r="O846" s="36"/>
      <c r="P846" s="68"/>
      <c r="Q846" s="24"/>
      <c r="R846" s="24"/>
      <c r="S846" s="64"/>
      <c r="V846" s="67"/>
      <c r="X846" s="67"/>
    </row>
    <row r="847" spans="1:24" s="27" customFormat="1">
      <c r="A847" s="31"/>
      <c r="B847" s="24"/>
      <c r="C847" s="30"/>
      <c r="D847" s="28"/>
      <c r="E847" s="31"/>
      <c r="F847" s="31"/>
      <c r="G847" s="31"/>
      <c r="I847" s="28"/>
      <c r="J847" s="62"/>
      <c r="K847" s="62"/>
      <c r="L847" s="33"/>
      <c r="M847" s="32"/>
      <c r="N847" s="34"/>
      <c r="O847" s="36"/>
      <c r="P847" s="68"/>
      <c r="Q847" s="24"/>
      <c r="R847" s="24"/>
      <c r="S847" s="64"/>
      <c r="V847" s="67"/>
      <c r="X847" s="67"/>
    </row>
    <row r="848" spans="1:24" s="27" customFormat="1">
      <c r="A848" s="31"/>
      <c r="B848" s="24"/>
      <c r="C848" s="30"/>
      <c r="D848" s="28"/>
      <c r="E848" s="31"/>
      <c r="F848" s="31"/>
      <c r="G848" s="31"/>
      <c r="I848" s="28"/>
      <c r="J848" s="62"/>
      <c r="K848" s="62"/>
      <c r="L848" s="33"/>
      <c r="M848" s="32"/>
      <c r="N848" s="34"/>
      <c r="O848" s="36"/>
      <c r="P848" s="68"/>
      <c r="Q848" s="24"/>
      <c r="R848" s="24"/>
      <c r="S848" s="64"/>
      <c r="V848" s="67"/>
      <c r="X848" s="67"/>
    </row>
    <row r="849" spans="1:24" s="27" customFormat="1">
      <c r="A849" s="31"/>
      <c r="B849" s="24"/>
      <c r="C849" s="30"/>
      <c r="D849" s="28"/>
      <c r="E849" s="31"/>
      <c r="F849" s="31"/>
      <c r="G849" s="31"/>
      <c r="I849" s="28"/>
      <c r="J849" s="62"/>
      <c r="K849" s="62"/>
      <c r="L849" s="33"/>
      <c r="M849" s="32"/>
      <c r="N849" s="34"/>
      <c r="O849" s="36"/>
      <c r="P849" s="68"/>
      <c r="Q849" s="24"/>
      <c r="R849" s="24"/>
      <c r="S849" s="64"/>
      <c r="V849" s="67"/>
      <c r="X849" s="67"/>
    </row>
    <row r="850" spans="1:24" s="27" customFormat="1">
      <c r="A850" s="31"/>
      <c r="B850" s="24"/>
      <c r="C850" s="30"/>
      <c r="D850" s="28"/>
      <c r="E850" s="31"/>
      <c r="F850" s="31"/>
      <c r="G850" s="31"/>
      <c r="I850" s="28"/>
      <c r="J850" s="62"/>
      <c r="K850" s="62"/>
      <c r="L850" s="33"/>
      <c r="M850" s="32"/>
      <c r="N850" s="34"/>
      <c r="O850" s="36"/>
      <c r="P850" s="68"/>
      <c r="Q850" s="24"/>
      <c r="R850" s="24"/>
      <c r="S850" s="64"/>
      <c r="V850" s="67"/>
      <c r="X850" s="67"/>
    </row>
    <row r="851" spans="1:24" s="27" customFormat="1">
      <c r="A851" s="31"/>
      <c r="B851" s="24"/>
      <c r="C851" s="30"/>
      <c r="D851" s="28"/>
      <c r="E851" s="31"/>
      <c r="F851" s="31"/>
      <c r="G851" s="31"/>
      <c r="I851" s="28"/>
      <c r="J851" s="62"/>
      <c r="K851" s="62"/>
      <c r="L851" s="33"/>
      <c r="M851" s="32"/>
      <c r="N851" s="34"/>
      <c r="O851" s="36"/>
      <c r="P851" s="68"/>
      <c r="Q851" s="24"/>
      <c r="R851" s="24"/>
      <c r="S851" s="64"/>
      <c r="V851" s="67"/>
      <c r="X851" s="67"/>
    </row>
    <row r="852" spans="1:24" s="27" customFormat="1">
      <c r="A852" s="31"/>
      <c r="B852" s="24"/>
      <c r="C852" s="30"/>
      <c r="D852" s="28"/>
      <c r="E852" s="31"/>
      <c r="F852" s="31"/>
      <c r="G852" s="31"/>
      <c r="I852" s="28"/>
      <c r="J852" s="62"/>
      <c r="K852" s="62"/>
      <c r="L852" s="33"/>
      <c r="M852" s="32"/>
      <c r="N852" s="34"/>
      <c r="O852" s="36"/>
      <c r="P852" s="68"/>
      <c r="Q852" s="24"/>
      <c r="R852" s="24"/>
      <c r="S852" s="64"/>
      <c r="V852" s="67"/>
      <c r="X852" s="67"/>
    </row>
    <row r="853" spans="1:24" s="27" customFormat="1">
      <c r="A853" s="31"/>
      <c r="B853" s="24"/>
      <c r="C853" s="30"/>
      <c r="D853" s="28"/>
      <c r="E853" s="31"/>
      <c r="F853" s="31"/>
      <c r="G853" s="31"/>
      <c r="I853" s="28"/>
      <c r="J853" s="62"/>
      <c r="K853" s="62"/>
      <c r="L853" s="33"/>
      <c r="M853" s="32"/>
      <c r="N853" s="34"/>
      <c r="O853" s="36"/>
      <c r="P853" s="68"/>
      <c r="Q853" s="24"/>
      <c r="R853" s="24"/>
      <c r="S853" s="64"/>
      <c r="V853" s="67"/>
      <c r="X853" s="67"/>
    </row>
    <row r="854" spans="1:24" s="27" customFormat="1">
      <c r="A854" s="31"/>
      <c r="B854" s="24"/>
      <c r="C854" s="30"/>
      <c r="D854" s="28"/>
      <c r="E854" s="31"/>
      <c r="F854" s="31"/>
      <c r="G854" s="31"/>
      <c r="I854" s="28"/>
      <c r="J854" s="62"/>
      <c r="K854" s="62"/>
      <c r="L854" s="33"/>
      <c r="M854" s="32"/>
      <c r="N854" s="34"/>
      <c r="O854" s="36"/>
      <c r="P854" s="68"/>
      <c r="Q854" s="24"/>
      <c r="R854" s="24"/>
      <c r="S854" s="64"/>
      <c r="V854" s="67"/>
      <c r="X854" s="67"/>
    </row>
    <row r="855" spans="1:24" s="27" customFormat="1">
      <c r="A855" s="31"/>
      <c r="B855" s="24"/>
      <c r="C855" s="30"/>
      <c r="D855" s="28"/>
      <c r="E855" s="31"/>
      <c r="F855" s="31"/>
      <c r="G855" s="31"/>
      <c r="I855" s="28"/>
      <c r="J855" s="62"/>
      <c r="K855" s="62"/>
      <c r="L855" s="33"/>
      <c r="M855" s="32"/>
      <c r="N855" s="34"/>
      <c r="O855" s="36"/>
      <c r="P855" s="68"/>
      <c r="Q855" s="24"/>
      <c r="R855" s="24"/>
      <c r="S855" s="64"/>
      <c r="V855" s="67"/>
      <c r="X855" s="67"/>
    </row>
    <row r="856" spans="1:24" s="27" customFormat="1">
      <c r="A856" s="31"/>
      <c r="B856" s="24"/>
      <c r="C856" s="30"/>
      <c r="D856" s="28"/>
      <c r="E856" s="31"/>
      <c r="F856" s="31"/>
      <c r="G856" s="31"/>
      <c r="I856" s="28"/>
      <c r="J856" s="62"/>
      <c r="K856" s="62"/>
      <c r="L856" s="33"/>
      <c r="M856" s="32"/>
      <c r="N856" s="34"/>
      <c r="O856" s="36"/>
      <c r="P856" s="68"/>
      <c r="Q856" s="24"/>
      <c r="R856" s="24"/>
      <c r="S856" s="64"/>
      <c r="V856" s="67"/>
      <c r="X856" s="67"/>
    </row>
    <row r="857" spans="1:24" s="27" customFormat="1">
      <c r="A857" s="31"/>
      <c r="B857" s="24"/>
      <c r="C857" s="30"/>
      <c r="D857" s="28"/>
      <c r="E857" s="31"/>
      <c r="F857" s="31"/>
      <c r="G857" s="31"/>
      <c r="I857" s="28"/>
      <c r="J857" s="62"/>
      <c r="K857" s="62"/>
      <c r="L857" s="33"/>
      <c r="M857" s="32"/>
      <c r="N857" s="34"/>
      <c r="O857" s="36"/>
      <c r="P857" s="68"/>
      <c r="Q857" s="24"/>
      <c r="R857" s="24"/>
      <c r="S857" s="64"/>
      <c r="V857" s="67"/>
      <c r="X857" s="67"/>
    </row>
    <row r="858" spans="1:24" s="27" customFormat="1">
      <c r="A858" s="31"/>
      <c r="B858" s="24"/>
      <c r="C858" s="30"/>
      <c r="D858" s="28"/>
      <c r="E858" s="31"/>
      <c r="F858" s="31"/>
      <c r="G858" s="31"/>
      <c r="I858" s="28"/>
      <c r="J858" s="62"/>
      <c r="K858" s="62"/>
      <c r="L858" s="33"/>
      <c r="M858" s="32"/>
      <c r="N858" s="34"/>
      <c r="O858" s="36"/>
      <c r="P858" s="68"/>
      <c r="Q858" s="24"/>
      <c r="R858" s="24"/>
      <c r="S858" s="64"/>
      <c r="V858" s="67"/>
      <c r="X858" s="67"/>
    </row>
    <row r="859" spans="1:24" s="27" customFormat="1">
      <c r="A859" s="31"/>
      <c r="B859" s="24"/>
      <c r="C859" s="30"/>
      <c r="D859" s="28"/>
      <c r="E859" s="31"/>
      <c r="F859" s="31"/>
      <c r="G859" s="31"/>
      <c r="I859" s="28"/>
      <c r="J859" s="62"/>
      <c r="K859" s="62"/>
      <c r="L859" s="33"/>
      <c r="M859" s="32"/>
      <c r="N859" s="34"/>
      <c r="O859" s="36"/>
      <c r="P859" s="68"/>
      <c r="Q859" s="24"/>
      <c r="R859" s="24"/>
      <c r="S859" s="64"/>
      <c r="V859" s="67"/>
      <c r="X859" s="67"/>
    </row>
    <row r="860" spans="1:24" s="27" customFormat="1">
      <c r="A860" s="31"/>
      <c r="B860" s="24"/>
      <c r="C860" s="30"/>
      <c r="D860" s="28"/>
      <c r="E860" s="31"/>
      <c r="F860" s="31"/>
      <c r="G860" s="31"/>
      <c r="I860" s="28"/>
      <c r="J860" s="62"/>
      <c r="K860" s="62"/>
      <c r="L860" s="33"/>
      <c r="M860" s="32"/>
      <c r="N860" s="34"/>
      <c r="O860" s="36"/>
      <c r="P860" s="68"/>
      <c r="Q860" s="24"/>
      <c r="R860" s="24"/>
      <c r="S860" s="64"/>
      <c r="V860" s="67"/>
      <c r="X860" s="67"/>
    </row>
    <row r="861" spans="1:24" s="27" customFormat="1">
      <c r="A861" s="31"/>
      <c r="B861" s="24"/>
      <c r="C861" s="30"/>
      <c r="D861" s="28"/>
      <c r="E861" s="31"/>
      <c r="F861" s="31"/>
      <c r="G861" s="31"/>
      <c r="I861" s="28"/>
      <c r="J861" s="62"/>
      <c r="K861" s="62"/>
      <c r="L861" s="33"/>
      <c r="M861" s="32"/>
      <c r="N861" s="34"/>
      <c r="O861" s="36"/>
      <c r="P861" s="68"/>
      <c r="Q861" s="24"/>
      <c r="R861" s="24"/>
      <c r="S861" s="64"/>
      <c r="V861" s="67"/>
      <c r="X861" s="67"/>
    </row>
    <row r="862" spans="1:24" s="27" customFormat="1">
      <c r="A862" s="31"/>
      <c r="B862" s="24"/>
      <c r="C862" s="30"/>
      <c r="D862" s="28"/>
      <c r="E862" s="31"/>
      <c r="F862" s="31"/>
      <c r="G862" s="31"/>
      <c r="I862" s="28"/>
      <c r="J862" s="62"/>
      <c r="K862" s="62"/>
      <c r="L862" s="33"/>
      <c r="M862" s="32"/>
      <c r="N862" s="34"/>
      <c r="O862" s="36"/>
      <c r="P862" s="68"/>
      <c r="Q862" s="24"/>
      <c r="R862" s="24"/>
      <c r="S862" s="64"/>
      <c r="V862" s="67"/>
      <c r="X862" s="67"/>
    </row>
    <row r="863" spans="1:24" s="27" customFormat="1">
      <c r="A863" s="31"/>
      <c r="B863" s="24"/>
      <c r="C863" s="30"/>
      <c r="D863" s="28"/>
      <c r="E863" s="31"/>
      <c r="F863" s="31"/>
      <c r="G863" s="31"/>
      <c r="I863" s="28"/>
      <c r="J863" s="62"/>
      <c r="K863" s="62"/>
      <c r="L863" s="33"/>
      <c r="M863" s="32"/>
      <c r="N863" s="34"/>
      <c r="O863" s="36"/>
      <c r="P863" s="68"/>
      <c r="Q863" s="24"/>
      <c r="R863" s="24"/>
      <c r="S863" s="64"/>
      <c r="V863" s="67"/>
      <c r="X863" s="67"/>
    </row>
    <row r="864" spans="1:24" s="27" customFormat="1">
      <c r="A864" s="31"/>
      <c r="B864" s="24"/>
      <c r="C864" s="30"/>
      <c r="D864" s="28"/>
      <c r="E864" s="31"/>
      <c r="F864" s="31"/>
      <c r="G864" s="31"/>
      <c r="I864" s="28"/>
      <c r="J864" s="62"/>
      <c r="K864" s="62"/>
      <c r="L864" s="33"/>
      <c r="M864" s="32"/>
      <c r="N864" s="34"/>
      <c r="O864" s="36"/>
      <c r="P864" s="68"/>
      <c r="Q864" s="24"/>
      <c r="R864" s="24"/>
      <c r="S864" s="64"/>
      <c r="V864" s="67"/>
      <c r="X864" s="67"/>
    </row>
    <row r="865" spans="1:24" s="27" customFormat="1">
      <c r="A865" s="31"/>
      <c r="B865" s="24"/>
      <c r="C865" s="30"/>
      <c r="D865" s="28"/>
      <c r="E865" s="31"/>
      <c r="F865" s="31"/>
      <c r="G865" s="31"/>
      <c r="I865" s="28"/>
      <c r="J865" s="62"/>
      <c r="K865" s="62"/>
      <c r="L865" s="33"/>
      <c r="M865" s="32"/>
      <c r="N865" s="34"/>
      <c r="O865" s="36"/>
      <c r="P865" s="68"/>
      <c r="Q865" s="24"/>
      <c r="R865" s="24"/>
      <c r="S865" s="64"/>
      <c r="V865" s="67"/>
      <c r="X865" s="67"/>
    </row>
    <row r="866" spans="1:24" s="27" customFormat="1">
      <c r="A866" s="31"/>
      <c r="B866" s="24"/>
      <c r="C866" s="30"/>
      <c r="D866" s="28"/>
      <c r="E866" s="31"/>
      <c r="F866" s="31"/>
      <c r="G866" s="31"/>
      <c r="I866" s="28"/>
      <c r="J866" s="62"/>
      <c r="K866" s="62"/>
      <c r="L866" s="33"/>
      <c r="M866" s="32"/>
      <c r="N866" s="34"/>
      <c r="O866" s="36"/>
      <c r="P866" s="68"/>
      <c r="Q866" s="24"/>
      <c r="R866" s="24"/>
      <c r="S866" s="64"/>
      <c r="V866" s="67"/>
      <c r="X866" s="67"/>
    </row>
    <row r="867" spans="1:24" s="27" customFormat="1">
      <c r="A867" s="31"/>
      <c r="B867" s="24"/>
      <c r="C867" s="30"/>
      <c r="D867" s="28"/>
      <c r="E867" s="31"/>
      <c r="F867" s="31"/>
      <c r="G867" s="31"/>
      <c r="I867" s="28"/>
      <c r="J867" s="62"/>
      <c r="K867" s="62"/>
      <c r="L867" s="33"/>
      <c r="M867" s="32"/>
      <c r="N867" s="34"/>
      <c r="O867" s="36"/>
      <c r="P867" s="68"/>
      <c r="Q867" s="24"/>
      <c r="R867" s="24"/>
      <c r="S867" s="64"/>
      <c r="V867" s="67"/>
      <c r="X867" s="67"/>
    </row>
    <row r="868" spans="1:24" s="27" customFormat="1">
      <c r="A868" s="31"/>
      <c r="B868" s="24"/>
      <c r="C868" s="30"/>
      <c r="D868" s="28"/>
      <c r="E868" s="31"/>
      <c r="F868" s="31"/>
      <c r="G868" s="31"/>
      <c r="I868" s="28"/>
      <c r="J868" s="62"/>
      <c r="K868" s="62"/>
      <c r="L868" s="33"/>
      <c r="M868" s="32"/>
      <c r="N868" s="34"/>
      <c r="O868" s="36"/>
      <c r="P868" s="68"/>
      <c r="Q868" s="24"/>
      <c r="R868" s="24"/>
      <c r="S868" s="64"/>
      <c r="V868" s="67"/>
      <c r="X868" s="67"/>
    </row>
    <row r="869" spans="1:24" s="27" customFormat="1">
      <c r="A869" s="31"/>
      <c r="B869" s="24"/>
      <c r="C869" s="30"/>
      <c r="D869" s="28"/>
      <c r="E869" s="31"/>
      <c r="F869" s="31"/>
      <c r="G869" s="31"/>
      <c r="I869" s="28"/>
      <c r="J869" s="62"/>
      <c r="K869" s="62"/>
      <c r="L869" s="33"/>
      <c r="M869" s="32"/>
      <c r="N869" s="34"/>
      <c r="O869" s="36"/>
      <c r="P869" s="68"/>
      <c r="Q869" s="24"/>
      <c r="R869" s="24"/>
      <c r="S869" s="64"/>
      <c r="V869" s="67"/>
      <c r="X869" s="67"/>
    </row>
    <row r="870" spans="1:24" s="27" customFormat="1">
      <c r="A870" s="31"/>
      <c r="B870" s="24"/>
      <c r="C870" s="30"/>
      <c r="D870" s="28"/>
      <c r="E870" s="31"/>
      <c r="F870" s="31"/>
      <c r="G870" s="31"/>
      <c r="I870" s="28"/>
      <c r="J870" s="62"/>
      <c r="K870" s="62"/>
      <c r="L870" s="33"/>
      <c r="M870" s="32"/>
      <c r="N870" s="34"/>
      <c r="O870" s="36"/>
      <c r="P870" s="68"/>
      <c r="Q870" s="24"/>
      <c r="R870" s="24"/>
      <c r="S870" s="64"/>
      <c r="V870" s="67"/>
      <c r="X870" s="67"/>
    </row>
    <row r="871" spans="1:24" s="27" customFormat="1">
      <c r="A871" s="31"/>
      <c r="B871" s="24"/>
      <c r="C871" s="30"/>
      <c r="D871" s="28"/>
      <c r="E871" s="31"/>
      <c r="F871" s="31"/>
      <c r="G871" s="31"/>
      <c r="I871" s="28"/>
      <c r="J871" s="62"/>
      <c r="K871" s="62"/>
      <c r="L871" s="33"/>
      <c r="M871" s="32"/>
      <c r="N871" s="34"/>
      <c r="O871" s="36"/>
      <c r="P871" s="68"/>
      <c r="Q871" s="24"/>
      <c r="R871" s="24"/>
      <c r="S871" s="64"/>
      <c r="V871" s="67"/>
      <c r="X871" s="67"/>
    </row>
    <row r="872" spans="1:24" s="27" customFormat="1">
      <c r="A872" s="31"/>
      <c r="B872" s="24"/>
      <c r="C872" s="30"/>
      <c r="D872" s="28"/>
      <c r="E872" s="31"/>
      <c r="F872" s="31"/>
      <c r="G872" s="31"/>
      <c r="I872" s="28"/>
      <c r="J872" s="62"/>
      <c r="K872" s="62"/>
      <c r="L872" s="33"/>
      <c r="M872" s="32"/>
      <c r="N872" s="34"/>
      <c r="O872" s="36"/>
      <c r="P872" s="68"/>
      <c r="Q872" s="24"/>
      <c r="R872" s="24"/>
      <c r="S872" s="64"/>
      <c r="V872" s="67"/>
      <c r="X872" s="67"/>
    </row>
    <row r="873" spans="1:24" s="27" customFormat="1">
      <c r="A873" s="31"/>
      <c r="B873" s="24"/>
      <c r="C873" s="30"/>
      <c r="D873" s="28"/>
      <c r="E873" s="31"/>
      <c r="F873" s="31"/>
      <c r="G873" s="31"/>
      <c r="I873" s="28"/>
      <c r="J873" s="62"/>
      <c r="K873" s="62"/>
      <c r="L873" s="33"/>
      <c r="M873" s="32"/>
      <c r="N873" s="34"/>
      <c r="O873" s="36"/>
      <c r="P873" s="68"/>
      <c r="Q873" s="24"/>
      <c r="R873" s="24"/>
      <c r="S873" s="64"/>
      <c r="V873" s="67"/>
      <c r="X873" s="67"/>
    </row>
    <row r="874" spans="1:24" s="27" customFormat="1">
      <c r="A874" s="31"/>
      <c r="B874" s="24"/>
      <c r="C874" s="30"/>
      <c r="D874" s="28"/>
      <c r="E874" s="31"/>
      <c r="F874" s="31"/>
      <c r="G874" s="31"/>
      <c r="I874" s="28"/>
      <c r="J874" s="62"/>
      <c r="K874" s="62"/>
      <c r="L874" s="33"/>
      <c r="M874" s="32"/>
      <c r="N874" s="34"/>
      <c r="O874" s="36"/>
      <c r="P874" s="68"/>
      <c r="Q874" s="24"/>
      <c r="R874" s="24"/>
      <c r="S874" s="64"/>
      <c r="V874" s="67"/>
      <c r="X874" s="67"/>
    </row>
    <row r="875" spans="1:24" s="27" customFormat="1">
      <c r="A875" s="31"/>
      <c r="B875" s="24"/>
      <c r="C875" s="30"/>
      <c r="D875" s="28"/>
      <c r="E875" s="31"/>
      <c r="F875" s="31"/>
      <c r="G875" s="31"/>
      <c r="I875" s="28"/>
      <c r="J875" s="62"/>
      <c r="K875" s="62"/>
      <c r="L875" s="33"/>
      <c r="M875" s="32"/>
      <c r="N875" s="34"/>
      <c r="O875" s="36"/>
      <c r="P875" s="68"/>
      <c r="Q875" s="24"/>
      <c r="R875" s="24"/>
      <c r="S875" s="64"/>
      <c r="V875" s="67"/>
      <c r="X875" s="67"/>
    </row>
    <row r="876" spans="1:24" s="27" customFormat="1">
      <c r="A876" s="31"/>
      <c r="B876" s="24"/>
      <c r="C876" s="30"/>
      <c r="D876" s="28"/>
      <c r="E876" s="31"/>
      <c r="F876" s="31"/>
      <c r="G876" s="31"/>
      <c r="I876" s="28"/>
      <c r="J876" s="62"/>
      <c r="K876" s="62"/>
      <c r="L876" s="33"/>
      <c r="M876" s="32"/>
      <c r="N876" s="34"/>
      <c r="O876" s="36"/>
      <c r="P876" s="68"/>
      <c r="Q876" s="24"/>
      <c r="R876" s="24"/>
      <c r="S876" s="64"/>
      <c r="V876" s="67"/>
      <c r="X876" s="67"/>
    </row>
    <row r="877" spans="1:24" s="27" customFormat="1">
      <c r="A877" s="31"/>
      <c r="B877" s="24"/>
      <c r="C877" s="30"/>
      <c r="D877" s="28"/>
      <c r="E877" s="31"/>
      <c r="F877" s="31"/>
      <c r="G877" s="31"/>
      <c r="I877" s="28"/>
      <c r="J877" s="62"/>
      <c r="K877" s="62"/>
      <c r="L877" s="33"/>
      <c r="M877" s="32"/>
      <c r="N877" s="34"/>
      <c r="O877" s="36"/>
      <c r="P877" s="68"/>
      <c r="Q877" s="24"/>
      <c r="R877" s="24"/>
      <c r="S877" s="64"/>
      <c r="V877" s="67"/>
      <c r="X877" s="67"/>
    </row>
    <row r="878" spans="1:24" s="27" customFormat="1">
      <c r="A878" s="31"/>
      <c r="B878" s="24"/>
      <c r="C878" s="30"/>
      <c r="D878" s="28"/>
      <c r="E878" s="31"/>
      <c r="F878" s="31"/>
      <c r="G878" s="31"/>
      <c r="I878" s="28"/>
      <c r="J878" s="62"/>
      <c r="K878" s="62"/>
      <c r="L878" s="33"/>
      <c r="M878" s="32"/>
      <c r="N878" s="34"/>
      <c r="O878" s="36"/>
      <c r="P878" s="68"/>
      <c r="Q878" s="24"/>
      <c r="R878" s="24"/>
      <c r="S878" s="64"/>
      <c r="V878" s="67"/>
      <c r="X878" s="67"/>
    </row>
    <row r="879" spans="1:24" s="27" customFormat="1">
      <c r="A879" s="31"/>
      <c r="B879" s="24"/>
      <c r="C879" s="30"/>
      <c r="D879" s="28"/>
      <c r="E879" s="31"/>
      <c r="F879" s="31"/>
      <c r="G879" s="31"/>
      <c r="I879" s="28"/>
      <c r="J879" s="62"/>
      <c r="K879" s="62"/>
      <c r="L879" s="33"/>
      <c r="M879" s="32"/>
      <c r="N879" s="34"/>
      <c r="O879" s="36"/>
      <c r="P879" s="68"/>
      <c r="Q879" s="24"/>
      <c r="R879" s="24"/>
      <c r="S879" s="64"/>
      <c r="V879" s="67"/>
      <c r="X879" s="67"/>
    </row>
    <row r="880" spans="1:24" s="27" customFormat="1">
      <c r="A880" s="31"/>
      <c r="B880" s="24"/>
      <c r="C880" s="30"/>
      <c r="D880" s="28"/>
      <c r="E880" s="31"/>
      <c r="F880" s="31"/>
      <c r="G880" s="31"/>
      <c r="I880" s="28"/>
      <c r="J880" s="62"/>
      <c r="K880" s="62"/>
      <c r="L880" s="33"/>
      <c r="M880" s="32"/>
      <c r="N880" s="34"/>
      <c r="O880" s="36"/>
      <c r="P880" s="68"/>
      <c r="Q880" s="24"/>
      <c r="R880" s="24"/>
      <c r="S880" s="64"/>
      <c r="V880" s="67"/>
      <c r="X880" s="67"/>
    </row>
    <row r="881" spans="1:24" s="27" customFormat="1">
      <c r="A881" s="31"/>
      <c r="B881" s="24"/>
      <c r="C881" s="30"/>
      <c r="D881" s="28"/>
      <c r="E881" s="31"/>
      <c r="F881" s="31"/>
      <c r="G881" s="31"/>
      <c r="I881" s="28"/>
      <c r="J881" s="62"/>
      <c r="K881" s="62"/>
      <c r="L881" s="33"/>
      <c r="M881" s="32"/>
      <c r="N881" s="34"/>
      <c r="O881" s="36"/>
      <c r="P881" s="68"/>
      <c r="Q881" s="24"/>
      <c r="R881" s="24"/>
      <c r="S881" s="64"/>
      <c r="V881" s="67"/>
      <c r="X881" s="67"/>
    </row>
    <row r="882" spans="1:24" s="27" customFormat="1">
      <c r="A882" s="31"/>
      <c r="B882" s="24"/>
      <c r="C882" s="30"/>
      <c r="D882" s="28"/>
      <c r="E882" s="31"/>
      <c r="F882" s="31"/>
      <c r="G882" s="31"/>
      <c r="I882" s="28"/>
      <c r="J882" s="62"/>
      <c r="K882" s="62"/>
      <c r="L882" s="33"/>
      <c r="M882" s="32"/>
      <c r="N882" s="34"/>
      <c r="O882" s="36"/>
      <c r="P882" s="68"/>
      <c r="Q882" s="24"/>
      <c r="R882" s="24"/>
      <c r="S882" s="64"/>
      <c r="V882" s="67"/>
      <c r="X882" s="67"/>
    </row>
    <row r="883" spans="1:24" s="27" customFormat="1">
      <c r="A883" s="31"/>
      <c r="B883" s="24"/>
      <c r="C883" s="30"/>
      <c r="D883" s="28"/>
      <c r="E883" s="31"/>
      <c r="F883" s="31"/>
      <c r="G883" s="31"/>
      <c r="I883" s="28"/>
      <c r="J883" s="62"/>
      <c r="K883" s="62"/>
      <c r="L883" s="33"/>
      <c r="M883" s="32"/>
      <c r="N883" s="34"/>
      <c r="O883" s="36"/>
      <c r="P883" s="68"/>
      <c r="Q883" s="24"/>
      <c r="R883" s="24"/>
      <c r="S883" s="64"/>
      <c r="V883" s="67"/>
      <c r="X883" s="67"/>
    </row>
    <row r="884" spans="1:24" s="27" customFormat="1">
      <c r="A884" s="31"/>
      <c r="B884" s="24"/>
      <c r="C884" s="30"/>
      <c r="D884" s="28"/>
      <c r="E884" s="31"/>
      <c r="F884" s="31"/>
      <c r="G884" s="31"/>
      <c r="I884" s="28"/>
      <c r="J884" s="62"/>
      <c r="K884" s="62"/>
      <c r="L884" s="33"/>
      <c r="M884" s="32"/>
      <c r="N884" s="34"/>
      <c r="O884" s="36"/>
      <c r="P884" s="68"/>
      <c r="Q884" s="24"/>
      <c r="R884" s="24"/>
      <c r="S884" s="64"/>
      <c r="V884" s="67"/>
      <c r="X884" s="67"/>
    </row>
    <row r="885" spans="1:24" s="27" customFormat="1">
      <c r="A885" s="31"/>
      <c r="B885" s="24"/>
      <c r="C885" s="30"/>
      <c r="D885" s="28"/>
      <c r="E885" s="31"/>
      <c r="F885" s="31"/>
      <c r="G885" s="31"/>
      <c r="I885" s="28"/>
      <c r="J885" s="62"/>
      <c r="K885" s="62"/>
      <c r="L885" s="33"/>
      <c r="M885" s="32"/>
      <c r="N885" s="34"/>
      <c r="O885" s="36"/>
      <c r="P885" s="68"/>
      <c r="Q885" s="24"/>
      <c r="R885" s="24"/>
      <c r="S885" s="64"/>
      <c r="V885" s="67"/>
      <c r="X885" s="67"/>
    </row>
    <row r="886" spans="1:24" s="27" customFormat="1">
      <c r="A886" s="31"/>
      <c r="B886" s="24"/>
      <c r="C886" s="30"/>
      <c r="D886" s="28"/>
      <c r="E886" s="31"/>
      <c r="F886" s="31"/>
      <c r="G886" s="31"/>
      <c r="I886" s="28"/>
      <c r="J886" s="62"/>
      <c r="K886" s="62"/>
      <c r="L886" s="33"/>
      <c r="M886" s="32"/>
      <c r="N886" s="34"/>
      <c r="O886" s="36"/>
      <c r="P886" s="68"/>
      <c r="Q886" s="24"/>
      <c r="R886" s="24"/>
      <c r="S886" s="64"/>
      <c r="V886" s="67"/>
      <c r="X886" s="67"/>
    </row>
    <row r="887" spans="1:24" s="27" customFormat="1">
      <c r="A887" s="31"/>
      <c r="B887" s="24"/>
      <c r="C887" s="30"/>
      <c r="D887" s="28"/>
      <c r="E887" s="31"/>
      <c r="F887" s="31"/>
      <c r="G887" s="31"/>
      <c r="I887" s="28"/>
      <c r="J887" s="62"/>
      <c r="K887" s="62"/>
      <c r="L887" s="33"/>
      <c r="M887" s="32"/>
      <c r="N887" s="34"/>
      <c r="O887" s="36"/>
      <c r="P887" s="68"/>
      <c r="Q887" s="24"/>
      <c r="R887" s="24"/>
      <c r="S887" s="64"/>
      <c r="V887" s="67"/>
      <c r="X887" s="67"/>
    </row>
    <row r="888" spans="1:24" s="27" customFormat="1">
      <c r="A888" s="31"/>
      <c r="B888" s="24"/>
      <c r="C888" s="30"/>
      <c r="D888" s="28"/>
      <c r="E888" s="31"/>
      <c r="F888" s="31"/>
      <c r="G888" s="31"/>
      <c r="I888" s="28"/>
      <c r="J888" s="62"/>
      <c r="K888" s="62"/>
      <c r="L888" s="33"/>
      <c r="M888" s="32"/>
      <c r="N888" s="34"/>
      <c r="O888" s="36"/>
      <c r="P888" s="68"/>
      <c r="Q888" s="24"/>
      <c r="R888" s="24"/>
      <c r="S888" s="64"/>
      <c r="V888" s="67"/>
      <c r="X888" s="67"/>
    </row>
    <row r="889" spans="1:24" s="27" customFormat="1">
      <c r="A889" s="31"/>
      <c r="B889" s="24"/>
      <c r="C889" s="30"/>
      <c r="D889" s="28"/>
      <c r="E889" s="31"/>
      <c r="F889" s="31"/>
      <c r="G889" s="31"/>
      <c r="I889" s="28"/>
      <c r="J889" s="62"/>
      <c r="K889" s="62"/>
      <c r="L889" s="33"/>
      <c r="M889" s="32"/>
      <c r="N889" s="34"/>
      <c r="O889" s="36"/>
      <c r="P889" s="68"/>
      <c r="Q889" s="24"/>
      <c r="R889" s="24"/>
      <c r="S889" s="64"/>
      <c r="V889" s="67"/>
      <c r="X889" s="67"/>
    </row>
    <row r="890" spans="1:24" s="27" customFormat="1">
      <c r="A890" s="31"/>
      <c r="B890" s="24"/>
      <c r="C890" s="30"/>
      <c r="D890" s="28"/>
      <c r="E890" s="31"/>
      <c r="F890" s="31"/>
      <c r="G890" s="31"/>
      <c r="I890" s="28"/>
      <c r="J890" s="62"/>
      <c r="K890" s="62"/>
      <c r="L890" s="33"/>
      <c r="M890" s="32"/>
      <c r="N890" s="34"/>
      <c r="O890" s="36"/>
      <c r="P890" s="68"/>
      <c r="Q890" s="24"/>
      <c r="R890" s="24"/>
      <c r="S890" s="64"/>
      <c r="V890" s="67"/>
      <c r="X890" s="67"/>
    </row>
    <row r="891" spans="1:24" s="27" customFormat="1">
      <c r="A891" s="31"/>
      <c r="B891" s="24"/>
      <c r="C891" s="30"/>
      <c r="D891" s="28"/>
      <c r="E891" s="31"/>
      <c r="F891" s="31"/>
      <c r="G891" s="31"/>
      <c r="I891" s="28"/>
      <c r="J891" s="62"/>
      <c r="K891" s="62"/>
      <c r="L891" s="33"/>
      <c r="M891" s="32"/>
      <c r="N891" s="34"/>
      <c r="O891" s="36"/>
      <c r="P891" s="68"/>
      <c r="Q891" s="24"/>
      <c r="R891" s="24"/>
      <c r="S891" s="64"/>
      <c r="V891" s="67"/>
      <c r="X891" s="67"/>
    </row>
    <row r="892" spans="1:24" s="27" customFormat="1">
      <c r="A892" s="31"/>
      <c r="B892" s="24"/>
      <c r="C892" s="30"/>
      <c r="D892" s="28"/>
      <c r="E892" s="31"/>
      <c r="F892" s="31"/>
      <c r="G892" s="31"/>
      <c r="I892" s="28"/>
      <c r="J892" s="62"/>
      <c r="K892" s="62"/>
      <c r="L892" s="33"/>
      <c r="M892" s="32"/>
      <c r="N892" s="34"/>
      <c r="O892" s="36"/>
      <c r="P892" s="68"/>
      <c r="Q892" s="24"/>
      <c r="R892" s="24"/>
      <c r="S892" s="64"/>
      <c r="V892" s="67"/>
      <c r="X892" s="67"/>
    </row>
    <row r="893" spans="1:24" s="27" customFormat="1">
      <c r="A893" s="31"/>
      <c r="B893" s="24"/>
      <c r="C893" s="30"/>
      <c r="D893" s="28"/>
      <c r="E893" s="31"/>
      <c r="F893" s="31"/>
      <c r="G893" s="31"/>
      <c r="I893" s="28"/>
      <c r="J893" s="62"/>
      <c r="K893" s="62"/>
      <c r="L893" s="33"/>
      <c r="M893" s="32"/>
      <c r="N893" s="34"/>
      <c r="O893" s="36"/>
      <c r="P893" s="68"/>
      <c r="Q893" s="24"/>
      <c r="R893" s="24"/>
      <c r="S893" s="64"/>
      <c r="V893" s="67"/>
      <c r="X893" s="67"/>
    </row>
    <row r="894" spans="1:24" s="27" customFormat="1">
      <c r="A894" s="31"/>
      <c r="B894" s="24"/>
      <c r="C894" s="30"/>
      <c r="D894" s="28"/>
      <c r="E894" s="31"/>
      <c r="F894" s="31"/>
      <c r="G894" s="31"/>
      <c r="I894" s="28"/>
      <c r="J894" s="62"/>
      <c r="K894" s="62"/>
      <c r="L894" s="33"/>
      <c r="M894" s="32"/>
      <c r="N894" s="34"/>
      <c r="O894" s="36"/>
      <c r="P894" s="68"/>
      <c r="Q894" s="24"/>
      <c r="R894" s="24"/>
      <c r="S894" s="64"/>
      <c r="V894" s="67"/>
      <c r="X894" s="67"/>
    </row>
    <row r="895" spans="1:24" s="27" customFormat="1">
      <c r="A895" s="31"/>
      <c r="B895" s="24"/>
      <c r="C895" s="30"/>
      <c r="D895" s="28"/>
      <c r="E895" s="31"/>
      <c r="F895" s="31"/>
      <c r="G895" s="31"/>
      <c r="I895" s="28"/>
      <c r="J895" s="62"/>
      <c r="K895" s="62"/>
      <c r="L895" s="33"/>
      <c r="M895" s="32"/>
      <c r="N895" s="34"/>
      <c r="O895" s="36"/>
      <c r="P895" s="68"/>
      <c r="Q895" s="24"/>
      <c r="R895" s="24"/>
      <c r="S895" s="64"/>
      <c r="V895" s="67"/>
      <c r="X895" s="67"/>
    </row>
    <row r="896" spans="1:24" s="27" customFormat="1">
      <c r="A896" s="31"/>
      <c r="B896" s="24"/>
      <c r="C896" s="30"/>
      <c r="D896" s="28"/>
      <c r="E896" s="31"/>
      <c r="F896" s="31"/>
      <c r="G896" s="31"/>
      <c r="I896" s="28"/>
      <c r="J896" s="62"/>
      <c r="K896" s="62"/>
      <c r="L896" s="33"/>
      <c r="M896" s="32"/>
      <c r="N896" s="34"/>
      <c r="O896" s="36"/>
      <c r="P896" s="68"/>
      <c r="Q896" s="24"/>
      <c r="R896" s="24"/>
      <c r="S896" s="64"/>
      <c r="V896" s="67"/>
      <c r="X896" s="67"/>
    </row>
    <row r="897" spans="1:24" s="27" customFormat="1">
      <c r="A897" s="31"/>
      <c r="B897" s="24"/>
      <c r="C897" s="30"/>
      <c r="D897" s="28"/>
      <c r="E897" s="31"/>
      <c r="F897" s="31"/>
      <c r="G897" s="31"/>
      <c r="I897" s="28"/>
      <c r="J897" s="62"/>
      <c r="K897" s="62"/>
      <c r="L897" s="33"/>
      <c r="M897" s="32"/>
      <c r="N897" s="34"/>
      <c r="O897" s="36"/>
      <c r="P897" s="68"/>
      <c r="Q897" s="24"/>
      <c r="R897" s="24"/>
      <c r="S897" s="64"/>
      <c r="V897" s="67"/>
      <c r="X897" s="67"/>
    </row>
    <row r="898" spans="1:24" s="27" customFormat="1">
      <c r="A898" s="31"/>
      <c r="B898" s="24"/>
      <c r="C898" s="30"/>
      <c r="D898" s="28"/>
      <c r="E898" s="31"/>
      <c r="F898" s="31"/>
      <c r="G898" s="31"/>
      <c r="I898" s="28"/>
      <c r="J898" s="62"/>
      <c r="K898" s="62"/>
      <c r="L898" s="33"/>
      <c r="M898" s="32"/>
      <c r="N898" s="34"/>
      <c r="O898" s="36"/>
      <c r="P898" s="68"/>
      <c r="Q898" s="24"/>
      <c r="R898" s="24"/>
      <c r="S898" s="64"/>
      <c r="V898" s="67"/>
      <c r="X898" s="67"/>
    </row>
    <row r="899" spans="1:24" s="27" customFormat="1">
      <c r="A899" s="31"/>
      <c r="B899" s="24"/>
      <c r="C899" s="30"/>
      <c r="D899" s="28"/>
      <c r="E899" s="31"/>
      <c r="F899" s="31"/>
      <c r="G899" s="31"/>
      <c r="I899" s="28"/>
      <c r="J899" s="62"/>
      <c r="K899" s="62"/>
      <c r="L899" s="33"/>
      <c r="M899" s="32"/>
      <c r="N899" s="34"/>
      <c r="O899" s="36"/>
      <c r="P899" s="68"/>
      <c r="Q899" s="24"/>
      <c r="R899" s="24"/>
      <c r="S899" s="64"/>
      <c r="V899" s="67"/>
      <c r="X899" s="67"/>
    </row>
    <row r="900" spans="1:24" s="27" customFormat="1">
      <c r="A900" s="31"/>
      <c r="B900" s="24"/>
      <c r="C900" s="30"/>
      <c r="D900" s="28"/>
      <c r="E900" s="31"/>
      <c r="F900" s="31"/>
      <c r="G900" s="31"/>
      <c r="I900" s="28"/>
      <c r="J900" s="62"/>
      <c r="K900" s="62"/>
      <c r="L900" s="33"/>
      <c r="M900" s="32"/>
      <c r="N900" s="34"/>
      <c r="O900" s="36"/>
      <c r="P900" s="68"/>
      <c r="Q900" s="24"/>
      <c r="R900" s="24"/>
      <c r="S900" s="64"/>
      <c r="V900" s="67"/>
      <c r="X900" s="67"/>
    </row>
    <row r="901" spans="1:24" s="27" customFormat="1">
      <c r="A901" s="31"/>
      <c r="B901" s="24"/>
      <c r="C901" s="30"/>
      <c r="D901" s="28"/>
      <c r="E901" s="31"/>
      <c r="F901" s="31"/>
      <c r="G901" s="31"/>
      <c r="I901" s="28"/>
      <c r="J901" s="62"/>
      <c r="K901" s="62"/>
      <c r="L901" s="33"/>
      <c r="M901" s="32"/>
      <c r="N901" s="34"/>
      <c r="O901" s="36"/>
      <c r="P901" s="68"/>
      <c r="Q901" s="24"/>
      <c r="R901" s="24"/>
      <c r="S901" s="64"/>
      <c r="V901" s="67"/>
      <c r="X901" s="67"/>
    </row>
    <row r="902" spans="1:24" s="27" customFormat="1">
      <c r="A902" s="31"/>
      <c r="B902" s="24"/>
      <c r="C902" s="30"/>
      <c r="D902" s="28"/>
      <c r="E902" s="31"/>
      <c r="F902" s="31"/>
      <c r="G902" s="31"/>
      <c r="I902" s="28"/>
      <c r="J902" s="62"/>
      <c r="K902" s="62"/>
      <c r="L902" s="33"/>
      <c r="M902" s="32"/>
      <c r="N902" s="34"/>
      <c r="O902" s="36"/>
      <c r="P902" s="68"/>
      <c r="Q902" s="24"/>
      <c r="R902" s="24"/>
      <c r="S902" s="64"/>
      <c r="V902" s="67"/>
      <c r="X902" s="67"/>
    </row>
    <row r="903" spans="1:24" s="27" customFormat="1">
      <c r="A903" s="31"/>
      <c r="B903" s="24"/>
      <c r="C903" s="30"/>
      <c r="D903" s="28"/>
      <c r="E903" s="31"/>
      <c r="F903" s="31"/>
      <c r="G903" s="31"/>
      <c r="I903" s="28"/>
      <c r="J903" s="62"/>
      <c r="K903" s="62"/>
      <c r="L903" s="33"/>
      <c r="M903" s="32"/>
      <c r="N903" s="34"/>
      <c r="O903" s="36"/>
      <c r="P903" s="68"/>
      <c r="Q903" s="24"/>
      <c r="R903" s="24"/>
      <c r="S903" s="64"/>
      <c r="V903" s="67"/>
      <c r="X903" s="67"/>
    </row>
    <row r="904" spans="1:24" s="27" customFormat="1">
      <c r="A904" s="31"/>
      <c r="B904" s="24"/>
      <c r="C904" s="30"/>
      <c r="D904" s="28"/>
      <c r="E904" s="31"/>
      <c r="F904" s="31"/>
      <c r="G904" s="31"/>
      <c r="I904" s="28"/>
      <c r="J904" s="62"/>
      <c r="K904" s="62"/>
      <c r="L904" s="33"/>
      <c r="M904" s="32"/>
      <c r="N904" s="34"/>
      <c r="O904" s="36"/>
      <c r="P904" s="68"/>
      <c r="Q904" s="24"/>
      <c r="R904" s="24"/>
      <c r="S904" s="64"/>
      <c r="V904" s="67"/>
      <c r="X904" s="67"/>
    </row>
    <row r="905" spans="1:24" s="27" customFormat="1">
      <c r="A905" s="31"/>
      <c r="B905" s="24"/>
      <c r="C905" s="30"/>
      <c r="D905" s="28"/>
      <c r="E905" s="31"/>
      <c r="F905" s="31"/>
      <c r="G905" s="31"/>
      <c r="I905" s="28"/>
      <c r="J905" s="62"/>
      <c r="K905" s="62"/>
      <c r="L905" s="33"/>
      <c r="M905" s="32"/>
      <c r="N905" s="34"/>
      <c r="O905" s="36"/>
      <c r="P905" s="68"/>
      <c r="Q905" s="24"/>
      <c r="R905" s="24"/>
      <c r="S905" s="64"/>
      <c r="V905" s="67"/>
      <c r="X905" s="67"/>
    </row>
    <row r="906" spans="1:24" s="27" customFormat="1">
      <c r="A906" s="31"/>
      <c r="B906" s="24"/>
      <c r="C906" s="30"/>
      <c r="D906" s="28"/>
      <c r="E906" s="31"/>
      <c r="F906" s="31"/>
      <c r="G906" s="31"/>
      <c r="I906" s="28"/>
      <c r="J906" s="62"/>
      <c r="K906" s="62"/>
      <c r="L906" s="33"/>
      <c r="M906" s="32"/>
      <c r="N906" s="34"/>
      <c r="O906" s="36"/>
      <c r="P906" s="68"/>
      <c r="Q906" s="24"/>
      <c r="R906" s="24"/>
      <c r="S906" s="64"/>
      <c r="V906" s="67"/>
      <c r="X906" s="67"/>
    </row>
    <row r="907" spans="1:24" s="27" customFormat="1">
      <c r="A907" s="31"/>
      <c r="B907" s="24"/>
      <c r="C907" s="30"/>
      <c r="D907" s="28"/>
      <c r="E907" s="31"/>
      <c r="F907" s="31"/>
      <c r="G907" s="31"/>
      <c r="I907" s="28"/>
      <c r="J907" s="62"/>
      <c r="K907" s="62"/>
      <c r="L907" s="33"/>
      <c r="M907" s="32"/>
      <c r="N907" s="34"/>
      <c r="O907" s="36"/>
      <c r="P907" s="68"/>
      <c r="Q907" s="24"/>
      <c r="R907" s="24"/>
      <c r="S907" s="64"/>
      <c r="V907" s="67"/>
      <c r="X907" s="67"/>
    </row>
    <row r="908" spans="1:24" s="27" customFormat="1">
      <c r="A908" s="31"/>
      <c r="B908" s="24"/>
      <c r="C908" s="30"/>
      <c r="D908" s="28"/>
      <c r="E908" s="31"/>
      <c r="F908" s="31"/>
      <c r="G908" s="31"/>
      <c r="I908" s="28"/>
      <c r="J908" s="62"/>
      <c r="K908" s="62"/>
      <c r="L908" s="33"/>
      <c r="M908" s="32"/>
      <c r="N908" s="34"/>
      <c r="O908" s="36"/>
      <c r="P908" s="68"/>
      <c r="Q908" s="24"/>
      <c r="R908" s="24"/>
      <c r="S908" s="64"/>
      <c r="V908" s="67"/>
      <c r="X908" s="67"/>
    </row>
    <row r="909" spans="1:24" s="27" customFormat="1">
      <c r="A909" s="31"/>
      <c r="B909" s="24"/>
      <c r="C909" s="30"/>
      <c r="D909" s="28"/>
      <c r="E909" s="31"/>
      <c r="F909" s="31"/>
      <c r="G909" s="31"/>
      <c r="I909" s="28"/>
      <c r="J909" s="62"/>
      <c r="K909" s="62"/>
      <c r="L909" s="33"/>
      <c r="M909" s="32"/>
      <c r="N909" s="34"/>
      <c r="O909" s="36"/>
      <c r="P909" s="68"/>
      <c r="Q909" s="24"/>
      <c r="R909" s="24"/>
      <c r="S909" s="64"/>
      <c r="V909" s="67"/>
      <c r="X909" s="67"/>
    </row>
    <row r="910" spans="1:24" s="27" customFormat="1">
      <c r="A910" s="31"/>
      <c r="B910" s="24"/>
      <c r="C910" s="30"/>
      <c r="D910" s="28"/>
      <c r="E910" s="31"/>
      <c r="F910" s="31"/>
      <c r="G910" s="31"/>
      <c r="I910" s="28"/>
      <c r="J910" s="62"/>
      <c r="K910" s="62"/>
      <c r="L910" s="33"/>
      <c r="M910" s="32"/>
      <c r="N910" s="34"/>
      <c r="O910" s="36"/>
      <c r="P910" s="68"/>
      <c r="Q910" s="24"/>
      <c r="R910" s="24"/>
      <c r="S910" s="64"/>
      <c r="V910" s="67"/>
      <c r="X910" s="67"/>
    </row>
    <row r="911" spans="1:24" s="27" customFormat="1">
      <c r="A911" s="31"/>
      <c r="B911" s="24"/>
      <c r="C911" s="30"/>
      <c r="D911" s="28"/>
      <c r="E911" s="31"/>
      <c r="F911" s="31"/>
      <c r="G911" s="31"/>
      <c r="I911" s="28"/>
      <c r="J911" s="62"/>
      <c r="K911" s="62"/>
      <c r="L911" s="33"/>
      <c r="M911" s="32"/>
      <c r="N911" s="34"/>
      <c r="O911" s="36"/>
      <c r="P911" s="68"/>
      <c r="Q911" s="24"/>
      <c r="R911" s="24"/>
      <c r="S911" s="64"/>
      <c r="V911" s="67"/>
      <c r="X911" s="67"/>
    </row>
    <row r="912" spans="1:24" s="27" customFormat="1">
      <c r="A912" s="31"/>
      <c r="B912" s="24"/>
      <c r="C912" s="30"/>
      <c r="D912" s="28"/>
      <c r="E912" s="31"/>
      <c r="F912" s="31"/>
      <c r="G912" s="31"/>
      <c r="I912" s="28"/>
      <c r="J912" s="62"/>
      <c r="K912" s="62"/>
      <c r="L912" s="33"/>
      <c r="M912" s="32"/>
      <c r="N912" s="34"/>
      <c r="O912" s="36"/>
      <c r="P912" s="68"/>
      <c r="Q912" s="24"/>
      <c r="R912" s="24"/>
      <c r="S912" s="64"/>
      <c r="V912" s="67"/>
      <c r="X912" s="67"/>
    </row>
    <row r="913" spans="1:24" s="27" customFormat="1">
      <c r="A913" s="31"/>
      <c r="B913" s="24"/>
      <c r="C913" s="30"/>
      <c r="D913" s="28"/>
      <c r="E913" s="31"/>
      <c r="F913" s="31"/>
      <c r="G913" s="31"/>
      <c r="I913" s="28"/>
      <c r="J913" s="62"/>
      <c r="K913" s="62"/>
      <c r="L913" s="33"/>
      <c r="M913" s="32"/>
      <c r="N913" s="34"/>
      <c r="O913" s="36"/>
      <c r="P913" s="68"/>
      <c r="Q913" s="24"/>
      <c r="R913" s="24"/>
      <c r="S913" s="64"/>
      <c r="V913" s="67"/>
      <c r="X913" s="67"/>
    </row>
    <row r="914" spans="1:24" s="27" customFormat="1">
      <c r="A914" s="31"/>
      <c r="B914" s="24"/>
      <c r="C914" s="30"/>
      <c r="D914" s="28"/>
      <c r="E914" s="31"/>
      <c r="F914" s="31"/>
      <c r="G914" s="31"/>
      <c r="I914" s="28"/>
      <c r="J914" s="62"/>
      <c r="K914" s="62"/>
      <c r="L914" s="33"/>
      <c r="M914" s="32"/>
      <c r="N914" s="34"/>
      <c r="O914" s="36"/>
      <c r="P914" s="68"/>
      <c r="Q914" s="24"/>
      <c r="R914" s="24"/>
      <c r="S914" s="64"/>
      <c r="V914" s="67"/>
      <c r="X914" s="67"/>
    </row>
    <row r="915" spans="1:24" s="27" customFormat="1">
      <c r="A915" s="31"/>
      <c r="B915" s="24"/>
      <c r="C915" s="30"/>
      <c r="D915" s="28"/>
      <c r="E915" s="31"/>
      <c r="F915" s="31"/>
      <c r="G915" s="31"/>
      <c r="I915" s="28"/>
      <c r="J915" s="62"/>
      <c r="K915" s="62"/>
      <c r="L915" s="33"/>
      <c r="M915" s="32"/>
      <c r="N915" s="34"/>
      <c r="O915" s="36"/>
      <c r="P915" s="68"/>
      <c r="Q915" s="24"/>
      <c r="R915" s="24"/>
      <c r="S915" s="64"/>
      <c r="V915" s="67"/>
      <c r="X915" s="67"/>
    </row>
    <row r="916" spans="1:24" s="27" customFormat="1">
      <c r="A916" s="31"/>
      <c r="B916" s="24"/>
      <c r="C916" s="30"/>
      <c r="D916" s="28"/>
      <c r="E916" s="31"/>
      <c r="F916" s="31"/>
      <c r="G916" s="31"/>
      <c r="I916" s="28"/>
      <c r="J916" s="62"/>
      <c r="K916" s="62"/>
      <c r="L916" s="33"/>
      <c r="M916" s="32"/>
      <c r="N916" s="34"/>
      <c r="O916" s="36"/>
      <c r="P916" s="68"/>
      <c r="Q916" s="24"/>
      <c r="R916" s="24"/>
      <c r="S916" s="64"/>
      <c r="V916" s="67"/>
      <c r="X916" s="67"/>
    </row>
    <row r="917" spans="1:24" s="27" customFormat="1">
      <c r="A917" s="31"/>
      <c r="B917" s="24"/>
      <c r="C917" s="30"/>
      <c r="D917" s="28"/>
      <c r="E917" s="31"/>
      <c r="F917" s="31"/>
      <c r="G917" s="31"/>
      <c r="I917" s="28"/>
      <c r="J917" s="62"/>
      <c r="K917" s="62"/>
      <c r="L917" s="33"/>
      <c r="M917" s="32"/>
      <c r="N917" s="34"/>
      <c r="O917" s="36"/>
      <c r="P917" s="68"/>
      <c r="Q917" s="24"/>
      <c r="R917" s="24"/>
      <c r="S917" s="64"/>
      <c r="V917" s="67"/>
      <c r="X917" s="67"/>
    </row>
    <row r="918" spans="1:24" s="27" customFormat="1">
      <c r="A918" s="31"/>
      <c r="B918" s="24"/>
      <c r="C918" s="30"/>
      <c r="D918" s="28"/>
      <c r="E918" s="31"/>
      <c r="F918" s="31"/>
      <c r="G918" s="31"/>
      <c r="I918" s="28"/>
      <c r="J918" s="62"/>
      <c r="K918" s="62"/>
      <c r="L918" s="33"/>
      <c r="M918" s="32"/>
      <c r="N918" s="34"/>
      <c r="O918" s="36"/>
      <c r="P918" s="68"/>
      <c r="Q918" s="24"/>
      <c r="R918" s="24"/>
      <c r="S918" s="64"/>
      <c r="V918" s="67"/>
      <c r="X918" s="67"/>
    </row>
    <row r="919" spans="1:24" s="27" customFormat="1">
      <c r="A919" s="31"/>
      <c r="B919" s="24"/>
      <c r="C919" s="30"/>
      <c r="D919" s="28"/>
      <c r="E919" s="31"/>
      <c r="F919" s="31"/>
      <c r="G919" s="31"/>
      <c r="I919" s="28"/>
      <c r="J919" s="62"/>
      <c r="K919" s="62"/>
      <c r="L919" s="33"/>
      <c r="M919" s="32"/>
      <c r="N919" s="34"/>
      <c r="O919" s="36"/>
      <c r="P919" s="68"/>
      <c r="Q919" s="24"/>
      <c r="R919" s="24"/>
      <c r="S919" s="64"/>
      <c r="V919" s="67"/>
      <c r="X919" s="67"/>
    </row>
    <row r="920" spans="1:24" s="27" customFormat="1">
      <c r="A920" s="31"/>
      <c r="B920" s="24"/>
      <c r="C920" s="30"/>
      <c r="D920" s="28"/>
      <c r="E920" s="31"/>
      <c r="F920" s="31"/>
      <c r="G920" s="31"/>
      <c r="I920" s="28"/>
      <c r="J920" s="62"/>
      <c r="K920" s="62"/>
      <c r="L920" s="33"/>
      <c r="M920" s="32"/>
      <c r="N920" s="34"/>
      <c r="O920" s="36"/>
      <c r="P920" s="68"/>
      <c r="Q920" s="24"/>
      <c r="R920" s="24"/>
      <c r="S920" s="64"/>
      <c r="V920" s="67"/>
      <c r="X920" s="67"/>
    </row>
    <row r="921" spans="1:24" s="27" customFormat="1">
      <c r="A921" s="31"/>
      <c r="B921" s="24"/>
      <c r="C921" s="30"/>
      <c r="D921" s="28"/>
      <c r="E921" s="31"/>
      <c r="F921" s="31"/>
      <c r="G921" s="31"/>
      <c r="I921" s="28"/>
      <c r="J921" s="62"/>
      <c r="K921" s="62"/>
      <c r="L921" s="33"/>
      <c r="M921" s="32"/>
      <c r="N921" s="34"/>
      <c r="O921" s="36"/>
      <c r="P921" s="68"/>
      <c r="Q921" s="24"/>
      <c r="R921" s="24"/>
      <c r="S921" s="64"/>
      <c r="V921" s="67"/>
      <c r="X921" s="67"/>
    </row>
    <row r="922" spans="1:24" s="27" customFormat="1">
      <c r="A922" s="31"/>
      <c r="B922" s="24"/>
      <c r="C922" s="30"/>
      <c r="D922" s="28"/>
      <c r="E922" s="31"/>
      <c r="F922" s="31"/>
      <c r="G922" s="31"/>
      <c r="I922" s="28"/>
      <c r="J922" s="62"/>
      <c r="K922" s="62"/>
      <c r="L922" s="33"/>
      <c r="M922" s="32"/>
      <c r="N922" s="34"/>
      <c r="O922" s="36"/>
      <c r="P922" s="68"/>
      <c r="Q922" s="24"/>
      <c r="R922" s="24"/>
      <c r="S922" s="64"/>
      <c r="V922" s="67"/>
      <c r="X922" s="67"/>
    </row>
    <row r="923" spans="1:24" s="27" customFormat="1">
      <c r="A923" s="31"/>
      <c r="B923" s="24"/>
      <c r="C923" s="30"/>
      <c r="D923" s="28"/>
      <c r="E923" s="31"/>
      <c r="F923" s="31"/>
      <c r="G923" s="31"/>
      <c r="I923" s="28"/>
      <c r="J923" s="62"/>
      <c r="K923" s="62"/>
      <c r="L923" s="33"/>
      <c r="M923" s="32"/>
      <c r="N923" s="34"/>
      <c r="O923" s="36"/>
      <c r="P923" s="68"/>
      <c r="Q923" s="24"/>
      <c r="R923" s="24"/>
      <c r="S923" s="64"/>
      <c r="V923" s="67"/>
      <c r="X923" s="67"/>
    </row>
    <row r="924" spans="1:24" s="27" customFormat="1">
      <c r="A924" s="31"/>
      <c r="B924" s="24"/>
      <c r="C924" s="30"/>
      <c r="D924" s="28"/>
      <c r="E924" s="31"/>
      <c r="F924" s="31"/>
      <c r="G924" s="31"/>
      <c r="I924" s="28"/>
      <c r="J924" s="62"/>
      <c r="K924" s="62"/>
      <c r="L924" s="33"/>
      <c r="M924" s="32"/>
      <c r="N924" s="34"/>
      <c r="O924" s="36"/>
      <c r="P924" s="68"/>
      <c r="Q924" s="24"/>
      <c r="R924" s="24"/>
      <c r="S924" s="64"/>
      <c r="V924" s="67"/>
      <c r="X924" s="67"/>
    </row>
    <row r="925" spans="1:24" s="27" customFormat="1">
      <c r="A925" s="31"/>
      <c r="B925" s="24"/>
      <c r="C925" s="30"/>
      <c r="D925" s="28"/>
      <c r="E925" s="31"/>
      <c r="F925" s="31"/>
      <c r="G925" s="31"/>
      <c r="I925" s="28"/>
      <c r="J925" s="62"/>
      <c r="K925" s="62"/>
      <c r="L925" s="33"/>
      <c r="M925" s="32"/>
      <c r="N925" s="34"/>
      <c r="O925" s="36"/>
      <c r="P925" s="68"/>
      <c r="Q925" s="24"/>
      <c r="R925" s="24"/>
      <c r="S925" s="64"/>
      <c r="V925" s="67"/>
      <c r="X925" s="67"/>
    </row>
    <row r="926" spans="1:24" s="27" customFormat="1">
      <c r="A926" s="31"/>
      <c r="B926" s="24"/>
      <c r="C926" s="30"/>
      <c r="D926" s="28"/>
      <c r="E926" s="31"/>
      <c r="F926" s="31"/>
      <c r="G926" s="31"/>
      <c r="I926" s="28"/>
      <c r="J926" s="62"/>
      <c r="K926" s="62"/>
      <c r="L926" s="33"/>
      <c r="M926" s="32"/>
      <c r="N926" s="34"/>
      <c r="O926" s="36"/>
      <c r="P926" s="68"/>
      <c r="Q926" s="24"/>
      <c r="R926" s="24"/>
      <c r="S926" s="64"/>
      <c r="V926" s="67"/>
      <c r="X926" s="67"/>
    </row>
    <row r="927" spans="1:24" s="27" customFormat="1">
      <c r="A927" s="31"/>
      <c r="B927" s="24"/>
      <c r="C927" s="30"/>
      <c r="D927" s="28"/>
      <c r="E927" s="31"/>
      <c r="F927" s="31"/>
      <c r="G927" s="31"/>
      <c r="I927" s="28"/>
      <c r="J927" s="62"/>
      <c r="K927" s="62"/>
      <c r="L927" s="33"/>
      <c r="M927" s="32"/>
      <c r="N927" s="34"/>
      <c r="O927" s="36"/>
      <c r="P927" s="68"/>
      <c r="Q927" s="24"/>
      <c r="R927" s="24"/>
      <c r="S927" s="64"/>
      <c r="V927" s="67"/>
      <c r="X927" s="67"/>
    </row>
    <row r="928" spans="1:24" s="27" customFormat="1">
      <c r="A928" s="31"/>
      <c r="B928" s="24"/>
      <c r="C928" s="30"/>
      <c r="D928" s="28"/>
      <c r="E928" s="31"/>
      <c r="F928" s="31"/>
      <c r="G928" s="31"/>
      <c r="I928" s="28"/>
      <c r="J928" s="62"/>
      <c r="K928" s="62"/>
      <c r="L928" s="33"/>
      <c r="M928" s="32"/>
      <c r="N928" s="34"/>
      <c r="O928" s="36"/>
      <c r="P928" s="68"/>
      <c r="Q928" s="24"/>
      <c r="R928" s="24"/>
      <c r="S928" s="64"/>
      <c r="V928" s="67"/>
      <c r="X928" s="67"/>
    </row>
    <row r="929" spans="1:24" s="27" customFormat="1">
      <c r="A929" s="31"/>
      <c r="B929" s="24"/>
      <c r="C929" s="30"/>
      <c r="D929" s="28"/>
      <c r="E929" s="31"/>
      <c r="F929" s="31"/>
      <c r="G929" s="31"/>
      <c r="I929" s="28"/>
      <c r="J929" s="62"/>
      <c r="K929" s="62"/>
      <c r="L929" s="33"/>
      <c r="M929" s="32"/>
      <c r="N929" s="34"/>
      <c r="O929" s="36"/>
      <c r="P929" s="68"/>
      <c r="Q929" s="24"/>
      <c r="R929" s="24"/>
      <c r="S929" s="64"/>
      <c r="V929" s="67"/>
      <c r="X929" s="67"/>
    </row>
    <row r="930" spans="1:24" s="27" customFormat="1">
      <c r="A930" s="31"/>
      <c r="B930" s="24"/>
      <c r="C930" s="30"/>
      <c r="D930" s="28"/>
      <c r="E930" s="31"/>
      <c r="F930" s="31"/>
      <c r="G930" s="31"/>
      <c r="I930" s="28"/>
      <c r="J930" s="62"/>
      <c r="K930" s="62"/>
      <c r="L930" s="33"/>
      <c r="M930" s="32"/>
      <c r="N930" s="34"/>
      <c r="O930" s="36"/>
      <c r="P930" s="68"/>
      <c r="Q930" s="24"/>
      <c r="R930" s="24"/>
      <c r="S930" s="64"/>
      <c r="V930" s="67"/>
      <c r="X930" s="67"/>
    </row>
    <row r="931" spans="1:24" s="27" customFormat="1">
      <c r="A931" s="31"/>
      <c r="B931" s="24"/>
      <c r="C931" s="30"/>
      <c r="D931" s="28"/>
      <c r="E931" s="31"/>
      <c r="F931" s="31"/>
      <c r="G931" s="31"/>
      <c r="I931" s="28"/>
      <c r="J931" s="62"/>
      <c r="K931" s="62"/>
      <c r="L931" s="33"/>
      <c r="M931" s="32"/>
      <c r="N931" s="34"/>
      <c r="O931" s="36"/>
      <c r="P931" s="68"/>
      <c r="Q931" s="24"/>
      <c r="R931" s="24"/>
      <c r="S931" s="64"/>
      <c r="V931" s="67"/>
      <c r="X931" s="67"/>
    </row>
    <row r="932" spans="1:24" s="27" customFormat="1">
      <c r="A932" s="31"/>
      <c r="B932" s="24"/>
      <c r="C932" s="30"/>
      <c r="D932" s="28"/>
      <c r="E932" s="31"/>
      <c r="F932" s="31"/>
      <c r="G932" s="31"/>
      <c r="I932" s="28"/>
      <c r="J932" s="62"/>
      <c r="K932" s="62"/>
      <c r="L932" s="33"/>
      <c r="M932" s="32"/>
      <c r="N932" s="34"/>
      <c r="O932" s="36"/>
      <c r="P932" s="68"/>
      <c r="Q932" s="24"/>
      <c r="R932" s="24"/>
      <c r="S932" s="64"/>
      <c r="V932" s="67"/>
      <c r="X932" s="67"/>
    </row>
    <row r="933" spans="1:24" s="27" customFormat="1">
      <c r="A933" s="31"/>
      <c r="B933" s="24"/>
      <c r="C933" s="30"/>
      <c r="D933" s="28"/>
      <c r="E933" s="31"/>
      <c r="F933" s="31"/>
      <c r="G933" s="31"/>
      <c r="I933" s="28"/>
      <c r="J933" s="62"/>
      <c r="K933" s="62"/>
      <c r="L933" s="33"/>
      <c r="M933" s="32"/>
      <c r="N933" s="34"/>
      <c r="O933" s="36"/>
      <c r="P933" s="68"/>
      <c r="Q933" s="24"/>
      <c r="R933" s="24"/>
      <c r="S933" s="64"/>
      <c r="V933" s="67"/>
      <c r="X933" s="67"/>
    </row>
    <row r="934" spans="1:24" s="27" customFormat="1">
      <c r="A934" s="31"/>
      <c r="B934" s="24"/>
      <c r="C934" s="30"/>
      <c r="D934" s="28"/>
      <c r="E934" s="31"/>
      <c r="F934" s="31"/>
      <c r="G934" s="31"/>
      <c r="I934" s="28"/>
      <c r="J934" s="62"/>
      <c r="K934" s="62"/>
      <c r="L934" s="33"/>
      <c r="M934" s="32"/>
      <c r="N934" s="34"/>
      <c r="O934" s="36"/>
      <c r="P934" s="68"/>
      <c r="Q934" s="24"/>
      <c r="R934" s="24"/>
      <c r="S934" s="64"/>
      <c r="V934" s="67"/>
      <c r="X934" s="67"/>
    </row>
    <row r="935" spans="1:24" s="27" customFormat="1">
      <c r="A935" s="31"/>
      <c r="B935" s="24"/>
      <c r="C935" s="30"/>
      <c r="D935" s="28"/>
      <c r="E935" s="31"/>
      <c r="F935" s="31"/>
      <c r="G935" s="31"/>
      <c r="I935" s="28"/>
      <c r="J935" s="62"/>
      <c r="K935" s="62"/>
      <c r="L935" s="33"/>
      <c r="M935" s="32"/>
      <c r="N935" s="34"/>
      <c r="O935" s="36"/>
      <c r="P935" s="68"/>
      <c r="Q935" s="24"/>
      <c r="R935" s="24"/>
      <c r="S935" s="64"/>
      <c r="V935" s="67"/>
      <c r="X935" s="67"/>
    </row>
    <row r="936" spans="1:24" s="27" customFormat="1">
      <c r="A936" s="31"/>
      <c r="B936" s="24"/>
      <c r="C936" s="30"/>
      <c r="D936" s="28"/>
      <c r="E936" s="31"/>
      <c r="F936" s="31"/>
      <c r="G936" s="31"/>
      <c r="I936" s="28"/>
      <c r="J936" s="62"/>
      <c r="K936" s="62"/>
      <c r="L936" s="33"/>
      <c r="M936" s="32"/>
      <c r="N936" s="34"/>
      <c r="O936" s="36"/>
      <c r="P936" s="68"/>
      <c r="Q936" s="24"/>
      <c r="R936" s="24"/>
      <c r="S936" s="64"/>
      <c r="V936" s="67"/>
      <c r="X936" s="67"/>
    </row>
    <row r="937" spans="1:24" s="27" customFormat="1">
      <c r="A937" s="31"/>
      <c r="B937" s="24"/>
      <c r="C937" s="30"/>
      <c r="D937" s="28"/>
      <c r="E937" s="31"/>
      <c r="F937" s="31"/>
      <c r="G937" s="31"/>
      <c r="I937" s="28"/>
      <c r="J937" s="62"/>
      <c r="K937" s="62"/>
      <c r="L937" s="33"/>
      <c r="M937" s="32"/>
      <c r="N937" s="34"/>
      <c r="O937" s="36"/>
      <c r="P937" s="68"/>
      <c r="Q937" s="24"/>
      <c r="R937" s="24"/>
      <c r="S937" s="64"/>
      <c r="V937" s="67"/>
      <c r="X937" s="67"/>
    </row>
    <row r="938" spans="1:24" s="27" customFormat="1">
      <c r="A938" s="31"/>
      <c r="B938" s="24"/>
      <c r="C938" s="30"/>
      <c r="D938" s="28"/>
      <c r="E938" s="31"/>
      <c r="F938" s="31"/>
      <c r="G938" s="31"/>
      <c r="I938" s="28"/>
      <c r="J938" s="62"/>
      <c r="K938" s="62"/>
      <c r="L938" s="33"/>
      <c r="M938" s="32"/>
      <c r="N938" s="34"/>
      <c r="O938" s="36"/>
      <c r="P938" s="68"/>
      <c r="Q938" s="24"/>
      <c r="R938" s="24"/>
      <c r="S938" s="64"/>
      <c r="V938" s="67"/>
      <c r="X938" s="67"/>
    </row>
    <row r="939" spans="1:24" s="27" customFormat="1">
      <c r="A939" s="31"/>
      <c r="B939" s="24"/>
      <c r="C939" s="30"/>
      <c r="D939" s="28"/>
      <c r="E939" s="31"/>
      <c r="F939" s="31"/>
      <c r="G939" s="31"/>
      <c r="I939" s="28"/>
      <c r="J939" s="62"/>
      <c r="K939" s="62"/>
      <c r="L939" s="33"/>
      <c r="M939" s="32"/>
      <c r="N939" s="34"/>
      <c r="O939" s="36"/>
      <c r="P939" s="68"/>
      <c r="Q939" s="24"/>
      <c r="R939" s="24"/>
      <c r="S939" s="64"/>
      <c r="V939" s="67"/>
      <c r="X939" s="67"/>
    </row>
    <row r="940" spans="1:24" s="27" customFormat="1">
      <c r="A940" s="31"/>
      <c r="B940" s="24"/>
      <c r="C940" s="30"/>
      <c r="D940" s="28"/>
      <c r="E940" s="31"/>
      <c r="F940" s="31"/>
      <c r="G940" s="31"/>
      <c r="I940" s="28"/>
      <c r="J940" s="62"/>
      <c r="K940" s="62"/>
      <c r="L940" s="33"/>
      <c r="M940" s="32"/>
      <c r="N940" s="34"/>
      <c r="O940" s="36"/>
      <c r="P940" s="68"/>
      <c r="Q940" s="24"/>
      <c r="R940" s="24"/>
      <c r="S940" s="64"/>
      <c r="V940" s="67"/>
      <c r="X940" s="67"/>
    </row>
    <row r="941" spans="1:24" s="27" customFormat="1">
      <c r="A941" s="31"/>
      <c r="B941" s="24"/>
      <c r="C941" s="30"/>
      <c r="D941" s="28"/>
      <c r="E941" s="31"/>
      <c r="F941" s="31"/>
      <c r="G941" s="31"/>
      <c r="I941" s="28"/>
      <c r="J941" s="62"/>
      <c r="K941" s="62"/>
      <c r="L941" s="33"/>
      <c r="M941" s="32"/>
      <c r="N941" s="34"/>
      <c r="O941" s="36"/>
      <c r="P941" s="68"/>
      <c r="Q941" s="24"/>
      <c r="R941" s="24"/>
      <c r="S941" s="64"/>
      <c r="V941" s="67"/>
      <c r="X941" s="67"/>
    </row>
    <row r="942" spans="1:24" s="27" customFormat="1">
      <c r="A942" s="31"/>
      <c r="B942" s="24"/>
      <c r="C942" s="30"/>
      <c r="D942" s="28"/>
      <c r="E942" s="31"/>
      <c r="F942" s="31"/>
      <c r="G942" s="31"/>
      <c r="I942" s="28"/>
      <c r="J942" s="62"/>
      <c r="K942" s="62"/>
      <c r="L942" s="33"/>
      <c r="M942" s="32"/>
      <c r="N942" s="34"/>
      <c r="O942" s="36"/>
      <c r="P942" s="68"/>
      <c r="Q942" s="24"/>
      <c r="R942" s="24"/>
      <c r="S942" s="64"/>
      <c r="V942" s="67"/>
      <c r="X942" s="67"/>
    </row>
    <row r="943" spans="1:24" s="27" customFormat="1">
      <c r="A943" s="31"/>
      <c r="B943" s="24"/>
      <c r="C943" s="30"/>
      <c r="D943" s="28"/>
      <c r="E943" s="31"/>
      <c r="F943" s="31"/>
      <c r="G943" s="31"/>
      <c r="I943" s="28"/>
      <c r="J943" s="62"/>
      <c r="K943" s="62"/>
      <c r="L943" s="33"/>
      <c r="M943" s="32"/>
      <c r="N943" s="34"/>
      <c r="O943" s="36"/>
      <c r="P943" s="68"/>
      <c r="Q943" s="24"/>
      <c r="R943" s="24"/>
      <c r="S943" s="64"/>
      <c r="V943" s="67"/>
      <c r="X943" s="67"/>
    </row>
    <row r="944" spans="1:24" s="27" customFormat="1">
      <c r="A944" s="31"/>
      <c r="B944" s="24"/>
      <c r="C944" s="30"/>
      <c r="D944" s="28"/>
      <c r="E944" s="31"/>
      <c r="F944" s="31"/>
      <c r="G944" s="31"/>
      <c r="I944" s="28"/>
      <c r="J944" s="62"/>
      <c r="K944" s="62"/>
      <c r="L944" s="33"/>
      <c r="M944" s="32"/>
      <c r="N944" s="34"/>
      <c r="O944" s="36"/>
      <c r="P944" s="68"/>
      <c r="Q944" s="24"/>
      <c r="R944" s="24"/>
      <c r="S944" s="64"/>
      <c r="V944" s="67"/>
      <c r="X944" s="67"/>
    </row>
    <row r="945" spans="1:24" s="27" customFormat="1">
      <c r="A945" s="31"/>
      <c r="B945" s="24"/>
      <c r="C945" s="30"/>
      <c r="D945" s="28"/>
      <c r="E945" s="31"/>
      <c r="F945" s="31"/>
      <c r="G945" s="31"/>
      <c r="I945" s="28"/>
      <c r="J945" s="62"/>
      <c r="K945" s="62"/>
      <c r="L945" s="33"/>
      <c r="M945" s="32"/>
      <c r="N945" s="34"/>
      <c r="O945" s="36"/>
      <c r="P945" s="68"/>
      <c r="Q945" s="24"/>
      <c r="R945" s="24"/>
      <c r="S945" s="64"/>
      <c r="V945" s="67"/>
      <c r="X945" s="67"/>
    </row>
    <row r="946" spans="1:24" s="27" customFormat="1">
      <c r="A946" s="31"/>
      <c r="B946" s="24"/>
      <c r="C946" s="30"/>
      <c r="D946" s="28"/>
      <c r="E946" s="31"/>
      <c r="F946" s="31"/>
      <c r="G946" s="31"/>
      <c r="I946" s="28"/>
      <c r="J946" s="62"/>
      <c r="K946" s="62"/>
      <c r="L946" s="33"/>
      <c r="M946" s="32"/>
      <c r="N946" s="34"/>
      <c r="O946" s="36"/>
      <c r="P946" s="68"/>
      <c r="Q946" s="24"/>
      <c r="R946" s="24"/>
      <c r="S946" s="64"/>
      <c r="V946" s="67"/>
      <c r="X946" s="67"/>
    </row>
    <row r="947" spans="1:24" s="27" customFormat="1">
      <c r="A947" s="31"/>
      <c r="B947" s="24"/>
      <c r="C947" s="30"/>
      <c r="D947" s="28"/>
      <c r="E947" s="31"/>
      <c r="F947" s="31"/>
      <c r="G947" s="31"/>
      <c r="I947" s="28"/>
      <c r="J947" s="62"/>
      <c r="K947" s="62"/>
      <c r="L947" s="33"/>
      <c r="M947" s="32"/>
      <c r="N947" s="34"/>
      <c r="O947" s="36"/>
      <c r="P947" s="68"/>
      <c r="Q947" s="24"/>
      <c r="R947" s="24"/>
      <c r="S947" s="64"/>
      <c r="V947" s="67"/>
      <c r="X947" s="67"/>
    </row>
    <row r="948" spans="1:24" s="27" customFormat="1">
      <c r="A948" s="31"/>
      <c r="B948" s="24"/>
      <c r="C948" s="30"/>
      <c r="D948" s="28"/>
      <c r="E948" s="31"/>
      <c r="F948" s="31"/>
      <c r="G948" s="31"/>
      <c r="I948" s="28"/>
      <c r="J948" s="62"/>
      <c r="K948" s="62"/>
      <c r="L948" s="33"/>
      <c r="M948" s="32"/>
      <c r="N948" s="34"/>
      <c r="O948" s="36"/>
      <c r="P948" s="68"/>
      <c r="Q948" s="24"/>
      <c r="R948" s="24"/>
      <c r="S948" s="64"/>
      <c r="V948" s="67"/>
      <c r="X948" s="67"/>
    </row>
    <row r="949" spans="1:24" s="27" customFormat="1">
      <c r="A949" s="31"/>
      <c r="B949" s="24"/>
      <c r="C949" s="30"/>
      <c r="D949" s="28"/>
      <c r="E949" s="31"/>
      <c r="F949" s="31"/>
      <c r="G949" s="31"/>
      <c r="I949" s="28"/>
      <c r="J949" s="62"/>
      <c r="K949" s="62"/>
      <c r="L949" s="33"/>
      <c r="M949" s="32"/>
      <c r="N949" s="34"/>
      <c r="O949" s="36"/>
      <c r="P949" s="68"/>
      <c r="Q949" s="24"/>
      <c r="R949" s="24"/>
      <c r="S949" s="64"/>
      <c r="V949" s="67"/>
      <c r="X949" s="67"/>
    </row>
    <row r="950" spans="1:24" s="27" customFormat="1">
      <c r="A950" s="31"/>
      <c r="B950" s="24"/>
      <c r="C950" s="30"/>
      <c r="D950" s="28"/>
      <c r="E950" s="31"/>
      <c r="F950" s="31"/>
      <c r="G950" s="31"/>
      <c r="I950" s="28"/>
      <c r="J950" s="62"/>
      <c r="K950" s="62"/>
      <c r="L950" s="33"/>
      <c r="M950" s="32"/>
      <c r="N950" s="34"/>
      <c r="O950" s="36"/>
      <c r="P950" s="68"/>
      <c r="Q950" s="24"/>
      <c r="R950" s="24"/>
      <c r="S950" s="64"/>
      <c r="V950" s="67"/>
      <c r="X950" s="67"/>
    </row>
    <row r="951" spans="1:24" s="27" customFormat="1">
      <c r="A951" s="31"/>
      <c r="B951" s="24"/>
      <c r="C951" s="30"/>
      <c r="D951" s="28"/>
      <c r="E951" s="31"/>
      <c r="F951" s="31"/>
      <c r="G951" s="31"/>
      <c r="I951" s="28"/>
      <c r="J951" s="62"/>
      <c r="K951" s="62"/>
      <c r="L951" s="33"/>
      <c r="M951" s="32"/>
      <c r="N951" s="34"/>
      <c r="O951" s="36"/>
      <c r="P951" s="68"/>
      <c r="Q951" s="24"/>
      <c r="R951" s="24"/>
      <c r="S951" s="64"/>
      <c r="V951" s="67"/>
      <c r="X951" s="67"/>
    </row>
    <row r="952" spans="1:24" s="27" customFormat="1">
      <c r="A952" s="31"/>
      <c r="B952" s="24"/>
      <c r="C952" s="30"/>
      <c r="D952" s="28"/>
      <c r="E952" s="31"/>
      <c r="F952" s="31"/>
      <c r="G952" s="31"/>
      <c r="I952" s="28"/>
      <c r="J952" s="62"/>
      <c r="K952" s="62"/>
      <c r="L952" s="33"/>
      <c r="M952" s="32"/>
      <c r="N952" s="34"/>
      <c r="O952" s="36"/>
      <c r="P952" s="68"/>
      <c r="Q952" s="24"/>
      <c r="R952" s="24"/>
      <c r="S952" s="64"/>
      <c r="V952" s="67"/>
      <c r="X952" s="67"/>
    </row>
    <row r="953" spans="1:24" s="27" customFormat="1">
      <c r="A953" s="31"/>
      <c r="B953" s="24"/>
      <c r="C953" s="30"/>
      <c r="D953" s="28"/>
      <c r="E953" s="31"/>
      <c r="F953" s="31"/>
      <c r="G953" s="31"/>
      <c r="I953" s="28"/>
      <c r="J953" s="62"/>
      <c r="K953" s="62"/>
      <c r="L953" s="33"/>
      <c r="M953" s="32"/>
      <c r="N953" s="34"/>
      <c r="O953" s="36"/>
      <c r="P953" s="68"/>
      <c r="Q953" s="24"/>
      <c r="R953" s="24"/>
      <c r="S953" s="64"/>
      <c r="V953" s="67"/>
      <c r="X953" s="67"/>
    </row>
    <row r="954" spans="1:24" s="27" customFormat="1">
      <c r="A954" s="31"/>
      <c r="B954" s="24"/>
      <c r="C954" s="30"/>
      <c r="D954" s="28"/>
      <c r="E954" s="31"/>
      <c r="F954" s="31"/>
      <c r="G954" s="31"/>
      <c r="I954" s="28"/>
      <c r="J954" s="62"/>
      <c r="K954" s="62"/>
      <c r="L954" s="33"/>
      <c r="M954" s="32"/>
      <c r="N954" s="34"/>
      <c r="O954" s="36"/>
      <c r="P954" s="68"/>
      <c r="Q954" s="24"/>
      <c r="R954" s="24"/>
      <c r="S954" s="64"/>
      <c r="V954" s="67"/>
      <c r="X954" s="67"/>
    </row>
    <row r="955" spans="1:24" s="27" customFormat="1">
      <c r="A955" s="31"/>
      <c r="B955" s="24"/>
      <c r="C955" s="30"/>
      <c r="D955" s="28"/>
      <c r="E955" s="31"/>
      <c r="F955" s="31"/>
      <c r="G955" s="31"/>
      <c r="I955" s="28"/>
      <c r="J955" s="62"/>
      <c r="K955" s="62"/>
      <c r="L955" s="33"/>
      <c r="M955" s="32"/>
      <c r="N955" s="34"/>
      <c r="O955" s="36"/>
      <c r="P955" s="68"/>
      <c r="Q955" s="24"/>
      <c r="R955" s="24"/>
      <c r="S955" s="64"/>
      <c r="V955" s="67"/>
      <c r="X955" s="67"/>
    </row>
    <row r="956" spans="1:24" s="27" customFormat="1">
      <c r="A956" s="31"/>
      <c r="B956" s="24"/>
      <c r="C956" s="30"/>
      <c r="D956" s="28"/>
      <c r="E956" s="31"/>
      <c r="F956" s="31"/>
      <c r="G956" s="31"/>
      <c r="I956" s="28"/>
      <c r="J956" s="62"/>
      <c r="K956" s="62"/>
      <c r="L956" s="33"/>
      <c r="M956" s="32"/>
      <c r="N956" s="34"/>
      <c r="O956" s="36"/>
      <c r="P956" s="68"/>
      <c r="Q956" s="24"/>
      <c r="R956" s="24"/>
      <c r="S956" s="64"/>
      <c r="V956" s="67"/>
      <c r="X956" s="67"/>
    </row>
    <row r="957" spans="1:24" s="27" customFormat="1">
      <c r="A957" s="31"/>
      <c r="B957" s="24"/>
      <c r="C957" s="30"/>
      <c r="D957" s="28"/>
      <c r="E957" s="31"/>
      <c r="F957" s="31"/>
      <c r="G957" s="31"/>
      <c r="I957" s="28"/>
      <c r="J957" s="62"/>
      <c r="K957" s="62"/>
      <c r="L957" s="33"/>
      <c r="M957" s="32"/>
      <c r="N957" s="34"/>
      <c r="O957" s="36"/>
      <c r="P957" s="68"/>
      <c r="Q957" s="24"/>
      <c r="R957" s="24"/>
      <c r="S957" s="64"/>
      <c r="V957" s="67"/>
      <c r="X957" s="67"/>
    </row>
    <row r="958" spans="1:24" s="27" customFormat="1">
      <c r="A958" s="31"/>
      <c r="B958" s="24"/>
      <c r="C958" s="30"/>
      <c r="D958" s="28"/>
      <c r="E958" s="31"/>
      <c r="F958" s="31"/>
      <c r="G958" s="31"/>
      <c r="I958" s="28"/>
      <c r="J958" s="62"/>
      <c r="K958" s="62"/>
      <c r="L958" s="33"/>
      <c r="M958" s="32"/>
      <c r="N958" s="34"/>
      <c r="O958" s="36"/>
      <c r="P958" s="68"/>
      <c r="Q958" s="24"/>
      <c r="R958" s="24"/>
      <c r="S958" s="64"/>
      <c r="V958" s="67"/>
      <c r="X958" s="67"/>
    </row>
    <row r="959" spans="1:24" s="27" customFormat="1">
      <c r="A959" s="31"/>
      <c r="B959" s="24"/>
      <c r="C959" s="30"/>
      <c r="D959" s="28"/>
      <c r="E959" s="31"/>
      <c r="F959" s="31"/>
      <c r="G959" s="31"/>
      <c r="I959" s="28"/>
      <c r="J959" s="62"/>
      <c r="K959" s="62"/>
      <c r="L959" s="33"/>
      <c r="M959" s="32"/>
      <c r="N959" s="34"/>
      <c r="O959" s="36"/>
      <c r="P959" s="68"/>
      <c r="Q959" s="24"/>
      <c r="R959" s="24"/>
      <c r="S959" s="64"/>
      <c r="V959" s="67"/>
      <c r="X959" s="67"/>
    </row>
    <row r="960" spans="1:24" s="27" customFormat="1">
      <c r="A960" s="31"/>
      <c r="B960" s="24"/>
      <c r="C960" s="30"/>
      <c r="D960" s="28"/>
      <c r="E960" s="31"/>
      <c r="F960" s="31"/>
      <c r="G960" s="31"/>
      <c r="I960" s="28"/>
      <c r="J960" s="62"/>
      <c r="K960" s="62"/>
      <c r="L960" s="33"/>
      <c r="M960" s="32"/>
      <c r="N960" s="34"/>
      <c r="O960" s="36"/>
      <c r="P960" s="68"/>
      <c r="Q960" s="24"/>
      <c r="R960" s="24"/>
      <c r="S960" s="64"/>
      <c r="V960" s="67"/>
      <c r="X960" s="67"/>
    </row>
    <row r="961" spans="1:24" s="27" customFormat="1">
      <c r="A961" s="31"/>
      <c r="B961" s="24"/>
      <c r="C961" s="30"/>
      <c r="D961" s="28"/>
      <c r="E961" s="31"/>
      <c r="F961" s="31"/>
      <c r="G961" s="31"/>
      <c r="I961" s="28"/>
      <c r="J961" s="62"/>
      <c r="K961" s="62"/>
      <c r="L961" s="33"/>
      <c r="M961" s="32"/>
      <c r="N961" s="34"/>
      <c r="O961" s="36"/>
      <c r="P961" s="68"/>
      <c r="Q961" s="24"/>
      <c r="R961" s="24"/>
      <c r="S961" s="64"/>
      <c r="V961" s="67"/>
      <c r="X961" s="67"/>
    </row>
    <row r="962" spans="1:24" s="27" customFormat="1">
      <c r="A962" s="31"/>
      <c r="B962" s="24"/>
      <c r="C962" s="30"/>
      <c r="D962" s="28"/>
      <c r="E962" s="31"/>
      <c r="F962" s="31"/>
      <c r="G962" s="31"/>
      <c r="I962" s="28"/>
      <c r="J962" s="62"/>
      <c r="K962" s="62"/>
      <c r="L962" s="33"/>
      <c r="M962" s="32"/>
      <c r="N962" s="34"/>
      <c r="O962" s="36"/>
      <c r="P962" s="68"/>
      <c r="Q962" s="24"/>
      <c r="R962" s="24"/>
      <c r="S962" s="64"/>
      <c r="V962" s="67"/>
      <c r="X962" s="67"/>
    </row>
    <row r="963" spans="1:24" s="27" customFormat="1">
      <c r="A963" s="31"/>
      <c r="B963" s="24"/>
      <c r="C963" s="30"/>
      <c r="D963" s="28"/>
      <c r="E963" s="31"/>
      <c r="F963" s="31"/>
      <c r="G963" s="31"/>
      <c r="I963" s="28"/>
      <c r="J963" s="62"/>
      <c r="K963" s="62"/>
      <c r="L963" s="33"/>
      <c r="M963" s="32"/>
      <c r="N963" s="34"/>
      <c r="O963" s="36"/>
      <c r="P963" s="68"/>
      <c r="Q963" s="24"/>
      <c r="R963" s="24"/>
      <c r="S963" s="64"/>
      <c r="V963" s="67"/>
      <c r="X963" s="67"/>
    </row>
    <row r="964" spans="1:24" s="27" customFormat="1">
      <c r="A964" s="31"/>
      <c r="B964" s="24"/>
      <c r="C964" s="30"/>
      <c r="D964" s="28"/>
      <c r="E964" s="31"/>
      <c r="F964" s="31"/>
      <c r="G964" s="31"/>
      <c r="I964" s="28"/>
      <c r="J964" s="62"/>
      <c r="K964" s="62"/>
      <c r="L964" s="33"/>
      <c r="M964" s="32"/>
      <c r="N964" s="34"/>
      <c r="O964" s="36"/>
      <c r="P964" s="68"/>
      <c r="Q964" s="24"/>
      <c r="R964" s="24"/>
      <c r="S964" s="64"/>
      <c r="V964" s="67"/>
      <c r="X964" s="67"/>
    </row>
    <row r="965" spans="1:24" s="27" customFormat="1">
      <c r="A965" s="31"/>
      <c r="B965" s="24"/>
      <c r="C965" s="30"/>
      <c r="D965" s="28"/>
      <c r="E965" s="31"/>
      <c r="F965" s="31"/>
      <c r="G965" s="31"/>
      <c r="I965" s="28"/>
      <c r="J965" s="62"/>
      <c r="K965" s="62"/>
      <c r="L965" s="33"/>
      <c r="M965" s="32"/>
      <c r="N965" s="34"/>
      <c r="O965" s="36"/>
      <c r="P965" s="68"/>
      <c r="Q965" s="24"/>
      <c r="R965" s="24"/>
      <c r="S965" s="64"/>
      <c r="V965" s="67"/>
      <c r="X965" s="67"/>
    </row>
    <row r="966" spans="1:24" s="27" customFormat="1">
      <c r="A966" s="31"/>
      <c r="B966" s="24"/>
      <c r="C966" s="30"/>
      <c r="D966" s="28"/>
      <c r="E966" s="31"/>
      <c r="F966" s="31"/>
      <c r="G966" s="31"/>
      <c r="I966" s="28"/>
      <c r="J966" s="62"/>
      <c r="K966" s="62"/>
      <c r="L966" s="33"/>
      <c r="M966" s="32"/>
      <c r="N966" s="34"/>
      <c r="O966" s="36"/>
      <c r="P966" s="68"/>
      <c r="Q966" s="24"/>
      <c r="R966" s="24"/>
      <c r="S966" s="64"/>
      <c r="V966" s="67"/>
      <c r="X966" s="67"/>
    </row>
    <row r="967" spans="1:24" s="27" customFormat="1">
      <c r="A967" s="31"/>
      <c r="B967" s="24"/>
      <c r="C967" s="30"/>
      <c r="D967" s="28"/>
      <c r="E967" s="31"/>
      <c r="F967" s="31"/>
      <c r="G967" s="31"/>
      <c r="I967" s="28"/>
      <c r="J967" s="62"/>
      <c r="K967" s="62"/>
      <c r="L967" s="33"/>
      <c r="M967" s="32"/>
      <c r="N967" s="34"/>
      <c r="O967" s="36"/>
      <c r="P967" s="68"/>
      <c r="Q967" s="24"/>
      <c r="R967" s="24"/>
      <c r="S967" s="64"/>
      <c r="V967" s="67"/>
      <c r="X967" s="67"/>
    </row>
    <row r="968" spans="1:24" s="27" customFormat="1">
      <c r="A968" s="31"/>
      <c r="B968" s="24"/>
      <c r="C968" s="30"/>
      <c r="D968" s="28"/>
      <c r="E968" s="31"/>
      <c r="F968" s="31"/>
      <c r="G968" s="31"/>
      <c r="I968" s="28"/>
      <c r="J968" s="62"/>
      <c r="K968" s="62"/>
      <c r="L968" s="33"/>
      <c r="M968" s="32"/>
      <c r="N968" s="34"/>
      <c r="O968" s="36"/>
      <c r="P968" s="68"/>
      <c r="Q968" s="24"/>
      <c r="R968" s="24"/>
      <c r="S968" s="64"/>
      <c r="V968" s="67"/>
      <c r="X968" s="67"/>
    </row>
    <row r="969" spans="1:24" s="27" customFormat="1">
      <c r="A969" s="31"/>
      <c r="B969" s="24"/>
      <c r="C969" s="30"/>
      <c r="D969" s="28"/>
      <c r="E969" s="31"/>
      <c r="F969" s="31"/>
      <c r="G969" s="31"/>
      <c r="I969" s="28"/>
      <c r="J969" s="62"/>
      <c r="K969" s="62"/>
      <c r="L969" s="33"/>
      <c r="M969" s="32"/>
      <c r="N969" s="34"/>
      <c r="O969" s="36"/>
      <c r="P969" s="68"/>
      <c r="Q969" s="24"/>
      <c r="R969" s="24"/>
      <c r="S969" s="64"/>
      <c r="V969" s="67"/>
      <c r="X969" s="67"/>
    </row>
    <row r="970" spans="1:24" s="27" customFormat="1">
      <c r="A970" s="31"/>
      <c r="B970" s="24"/>
      <c r="C970" s="30"/>
      <c r="D970" s="28"/>
      <c r="E970" s="31"/>
      <c r="F970" s="31"/>
      <c r="G970" s="31"/>
      <c r="I970" s="28"/>
      <c r="J970" s="62"/>
      <c r="K970" s="62"/>
      <c r="L970" s="33"/>
      <c r="M970" s="32"/>
      <c r="N970" s="34"/>
      <c r="O970" s="36"/>
      <c r="P970" s="68"/>
      <c r="Q970" s="24"/>
      <c r="R970" s="24"/>
      <c r="S970" s="64"/>
      <c r="V970" s="67"/>
      <c r="X970" s="67"/>
    </row>
    <row r="971" spans="1:24" s="27" customFormat="1">
      <c r="A971" s="31"/>
      <c r="B971" s="24"/>
      <c r="C971" s="30"/>
      <c r="D971" s="28"/>
      <c r="E971" s="31"/>
      <c r="F971" s="31"/>
      <c r="G971" s="31"/>
      <c r="I971" s="28"/>
      <c r="J971" s="62"/>
      <c r="K971" s="62"/>
      <c r="L971" s="33"/>
      <c r="M971" s="32"/>
      <c r="N971" s="34"/>
      <c r="O971" s="36"/>
      <c r="P971" s="68"/>
      <c r="Q971" s="24"/>
      <c r="R971" s="24"/>
      <c r="S971" s="64"/>
      <c r="V971" s="67"/>
      <c r="X971" s="67"/>
    </row>
    <row r="972" spans="1:24" s="27" customFormat="1">
      <c r="A972" s="31"/>
      <c r="B972" s="24"/>
      <c r="C972" s="30"/>
      <c r="D972" s="28"/>
      <c r="E972" s="31"/>
      <c r="F972" s="31"/>
      <c r="G972" s="31"/>
      <c r="I972" s="28"/>
      <c r="J972" s="62"/>
      <c r="K972" s="62"/>
      <c r="L972" s="33"/>
      <c r="M972" s="32"/>
      <c r="N972" s="34"/>
      <c r="O972" s="36"/>
      <c r="P972" s="68"/>
      <c r="Q972" s="24"/>
      <c r="R972" s="24"/>
      <c r="S972" s="64"/>
      <c r="V972" s="67"/>
      <c r="X972" s="67"/>
    </row>
    <row r="973" spans="1:24" s="27" customFormat="1">
      <c r="A973" s="31"/>
      <c r="B973" s="24"/>
      <c r="C973" s="30"/>
      <c r="D973" s="28"/>
      <c r="E973" s="31"/>
      <c r="F973" s="31"/>
      <c r="G973" s="31"/>
      <c r="I973" s="28"/>
      <c r="J973" s="62"/>
      <c r="K973" s="62"/>
      <c r="L973" s="33"/>
      <c r="M973" s="32"/>
      <c r="N973" s="34"/>
      <c r="O973" s="36"/>
      <c r="P973" s="68"/>
      <c r="Q973" s="24"/>
      <c r="R973" s="24"/>
      <c r="S973" s="64"/>
      <c r="V973" s="67"/>
      <c r="X973" s="67"/>
    </row>
    <row r="974" spans="1:24" s="27" customFormat="1">
      <c r="A974" s="31"/>
      <c r="B974" s="24"/>
      <c r="C974" s="30"/>
      <c r="D974" s="28"/>
      <c r="E974" s="31"/>
      <c r="F974" s="31"/>
      <c r="G974" s="31"/>
      <c r="I974" s="28"/>
      <c r="J974" s="62"/>
      <c r="K974" s="62"/>
      <c r="L974" s="33"/>
      <c r="M974" s="32"/>
      <c r="N974" s="34"/>
      <c r="O974" s="36"/>
      <c r="P974" s="68"/>
      <c r="Q974" s="24"/>
      <c r="R974" s="24"/>
      <c r="S974" s="64"/>
      <c r="V974" s="67"/>
      <c r="X974" s="67"/>
    </row>
    <row r="975" spans="1:24" s="27" customFormat="1">
      <c r="A975" s="31"/>
      <c r="B975" s="24"/>
      <c r="C975" s="30"/>
      <c r="D975" s="28"/>
      <c r="E975" s="31"/>
      <c r="F975" s="31"/>
      <c r="G975" s="31"/>
      <c r="I975" s="28"/>
      <c r="J975" s="62"/>
      <c r="K975" s="62"/>
      <c r="L975" s="33"/>
      <c r="M975" s="32"/>
      <c r="N975" s="34"/>
      <c r="O975" s="36"/>
      <c r="P975" s="68"/>
      <c r="Q975" s="24"/>
      <c r="R975" s="24"/>
      <c r="S975" s="64"/>
      <c r="V975" s="67"/>
      <c r="X975" s="67"/>
    </row>
    <row r="976" spans="1:24" s="27" customFormat="1">
      <c r="A976" s="31"/>
      <c r="B976" s="24"/>
      <c r="C976" s="30"/>
      <c r="D976" s="28"/>
      <c r="E976" s="31"/>
      <c r="F976" s="31"/>
      <c r="G976" s="31"/>
      <c r="I976" s="28"/>
      <c r="J976" s="62"/>
      <c r="K976" s="62"/>
      <c r="L976" s="33"/>
      <c r="M976" s="32"/>
      <c r="N976" s="34"/>
      <c r="O976" s="36"/>
      <c r="P976" s="68"/>
      <c r="Q976" s="24"/>
      <c r="R976" s="24"/>
      <c r="S976" s="64"/>
      <c r="V976" s="67"/>
      <c r="X976" s="67"/>
    </row>
    <row r="977" spans="1:24" s="27" customFormat="1">
      <c r="A977" s="31"/>
      <c r="B977" s="24"/>
      <c r="C977" s="30"/>
      <c r="D977" s="28"/>
      <c r="E977" s="31"/>
      <c r="F977" s="31"/>
      <c r="G977" s="31"/>
      <c r="I977" s="28"/>
      <c r="J977" s="62"/>
      <c r="K977" s="62"/>
      <c r="L977" s="33"/>
      <c r="M977" s="32"/>
      <c r="N977" s="34"/>
      <c r="O977" s="36"/>
      <c r="P977" s="68"/>
      <c r="Q977" s="24"/>
      <c r="R977" s="24"/>
      <c r="S977" s="64"/>
      <c r="V977" s="67"/>
      <c r="X977" s="67"/>
    </row>
    <row r="978" spans="1:24" s="27" customFormat="1">
      <c r="A978" s="31"/>
      <c r="B978" s="24"/>
      <c r="C978" s="30"/>
      <c r="D978" s="28"/>
      <c r="E978" s="31"/>
      <c r="F978" s="31"/>
      <c r="G978" s="31"/>
      <c r="I978" s="28"/>
      <c r="J978" s="62"/>
      <c r="K978" s="62"/>
      <c r="L978" s="33"/>
      <c r="M978" s="32"/>
      <c r="N978" s="34"/>
      <c r="O978" s="36"/>
      <c r="P978" s="68"/>
      <c r="Q978" s="24"/>
      <c r="R978" s="24"/>
      <c r="S978" s="64"/>
      <c r="V978" s="67"/>
      <c r="X978" s="67"/>
    </row>
    <row r="979" spans="1:24" s="27" customFormat="1">
      <c r="A979" s="31"/>
      <c r="B979" s="24"/>
      <c r="C979" s="30"/>
      <c r="D979" s="28"/>
      <c r="E979" s="31"/>
      <c r="F979" s="31"/>
      <c r="G979" s="31"/>
      <c r="I979" s="28"/>
      <c r="J979" s="62"/>
      <c r="K979" s="62"/>
      <c r="L979" s="33"/>
      <c r="M979" s="32"/>
      <c r="N979" s="34"/>
      <c r="O979" s="36"/>
      <c r="P979" s="68"/>
      <c r="Q979" s="24"/>
      <c r="R979" s="24"/>
      <c r="S979" s="64"/>
      <c r="V979" s="67"/>
      <c r="X979" s="67"/>
    </row>
    <row r="980" spans="1:24" s="27" customFormat="1">
      <c r="A980" s="31"/>
      <c r="B980" s="24"/>
      <c r="C980" s="30"/>
      <c r="D980" s="28"/>
      <c r="E980" s="31"/>
      <c r="F980" s="31"/>
      <c r="G980" s="31"/>
      <c r="I980" s="28"/>
      <c r="J980" s="62"/>
      <c r="K980" s="62"/>
      <c r="L980" s="33"/>
      <c r="M980" s="32"/>
      <c r="N980" s="34"/>
      <c r="O980" s="36"/>
      <c r="P980" s="68"/>
      <c r="Q980" s="24"/>
      <c r="R980" s="24"/>
      <c r="S980" s="64"/>
      <c r="V980" s="67"/>
      <c r="X980" s="67"/>
    </row>
    <row r="981" spans="1:24" s="27" customFormat="1">
      <c r="A981" s="31"/>
      <c r="B981" s="24"/>
      <c r="C981" s="30"/>
      <c r="D981" s="28"/>
      <c r="E981" s="31"/>
      <c r="F981" s="31"/>
      <c r="G981" s="31"/>
      <c r="I981" s="28"/>
      <c r="J981" s="62"/>
      <c r="K981" s="62"/>
      <c r="L981" s="33"/>
      <c r="M981" s="32"/>
      <c r="N981" s="34"/>
      <c r="O981" s="36"/>
      <c r="P981" s="68"/>
      <c r="Q981" s="24"/>
      <c r="R981" s="24"/>
      <c r="S981" s="64"/>
      <c r="V981" s="67"/>
      <c r="X981" s="67"/>
    </row>
    <row r="982" spans="1:24" s="27" customFormat="1">
      <c r="A982" s="31"/>
      <c r="B982" s="24"/>
      <c r="C982" s="30"/>
      <c r="D982" s="28"/>
      <c r="E982" s="31"/>
      <c r="F982" s="31"/>
      <c r="G982" s="31"/>
      <c r="I982" s="28"/>
      <c r="J982" s="62"/>
      <c r="K982" s="62"/>
      <c r="L982" s="33"/>
      <c r="M982" s="32"/>
      <c r="N982" s="34"/>
      <c r="O982" s="36"/>
      <c r="P982" s="68"/>
      <c r="Q982" s="24"/>
      <c r="R982" s="24"/>
      <c r="S982" s="64"/>
      <c r="V982" s="67"/>
      <c r="X982" s="67"/>
    </row>
    <row r="983" spans="1:24" s="27" customFormat="1">
      <c r="A983" s="31"/>
      <c r="B983" s="24"/>
      <c r="C983" s="30"/>
      <c r="D983" s="28"/>
      <c r="E983" s="31"/>
      <c r="F983" s="31"/>
      <c r="G983" s="31"/>
      <c r="I983" s="28"/>
      <c r="J983" s="62"/>
      <c r="K983" s="62"/>
      <c r="L983" s="33"/>
      <c r="M983" s="32"/>
      <c r="N983" s="34"/>
      <c r="O983" s="36"/>
      <c r="P983" s="68"/>
      <c r="Q983" s="24"/>
      <c r="R983" s="24"/>
      <c r="S983" s="64"/>
      <c r="V983" s="67"/>
      <c r="X983" s="67"/>
    </row>
    <row r="984" spans="1:24" s="27" customFormat="1">
      <c r="A984" s="31"/>
      <c r="B984" s="24"/>
      <c r="C984" s="30"/>
      <c r="D984" s="28"/>
      <c r="E984" s="31"/>
      <c r="F984" s="31"/>
      <c r="G984" s="31"/>
      <c r="I984" s="28"/>
      <c r="J984" s="62"/>
      <c r="K984" s="62"/>
      <c r="L984" s="33"/>
      <c r="M984" s="32"/>
      <c r="N984" s="34"/>
      <c r="O984" s="36"/>
      <c r="P984" s="68"/>
      <c r="Q984" s="24"/>
      <c r="R984" s="24"/>
      <c r="S984" s="64"/>
      <c r="V984" s="67"/>
      <c r="X984" s="67"/>
    </row>
    <row r="985" spans="1:24" s="27" customFormat="1">
      <c r="A985" s="31"/>
      <c r="B985" s="24"/>
      <c r="C985" s="30"/>
      <c r="D985" s="28"/>
      <c r="E985" s="31"/>
      <c r="F985" s="31"/>
      <c r="G985" s="31"/>
      <c r="I985" s="28"/>
      <c r="J985" s="62"/>
      <c r="K985" s="62"/>
      <c r="L985" s="33"/>
      <c r="M985" s="32"/>
      <c r="N985" s="34"/>
      <c r="O985" s="36"/>
      <c r="P985" s="68"/>
      <c r="Q985" s="24"/>
      <c r="R985" s="24"/>
      <c r="S985" s="64"/>
      <c r="V985" s="67"/>
      <c r="X985" s="67"/>
    </row>
    <row r="986" spans="1:24" s="27" customFormat="1">
      <c r="A986" s="31"/>
      <c r="B986" s="24"/>
      <c r="C986" s="30"/>
      <c r="D986" s="28"/>
      <c r="E986" s="31"/>
      <c r="F986" s="31"/>
      <c r="G986" s="31"/>
      <c r="I986" s="28"/>
      <c r="J986" s="62"/>
      <c r="K986" s="62"/>
      <c r="L986" s="33"/>
      <c r="M986" s="32"/>
      <c r="N986" s="34"/>
      <c r="O986" s="36"/>
      <c r="P986" s="68"/>
      <c r="Q986" s="24"/>
      <c r="R986" s="24"/>
      <c r="S986" s="64"/>
      <c r="V986" s="67"/>
      <c r="X986" s="67"/>
    </row>
    <row r="987" spans="1:24" s="27" customFormat="1">
      <c r="A987" s="31"/>
      <c r="B987" s="24"/>
      <c r="C987" s="30"/>
      <c r="D987" s="28"/>
      <c r="E987" s="31"/>
      <c r="F987" s="31"/>
      <c r="G987" s="31"/>
      <c r="I987" s="28"/>
      <c r="J987" s="62"/>
      <c r="K987" s="62"/>
      <c r="L987" s="33"/>
      <c r="M987" s="32"/>
      <c r="N987" s="34"/>
      <c r="O987" s="36"/>
      <c r="P987" s="68"/>
      <c r="Q987" s="24"/>
      <c r="R987" s="24"/>
      <c r="S987" s="64"/>
      <c r="V987" s="67"/>
      <c r="X987" s="67"/>
    </row>
    <row r="988" spans="1:24" s="27" customFormat="1">
      <c r="A988" s="31"/>
      <c r="B988" s="24"/>
      <c r="C988" s="30"/>
      <c r="D988" s="28"/>
      <c r="E988" s="31"/>
      <c r="F988" s="31"/>
      <c r="G988" s="31"/>
      <c r="I988" s="28"/>
      <c r="J988" s="62"/>
      <c r="K988" s="62"/>
      <c r="L988" s="33"/>
      <c r="M988" s="32"/>
      <c r="N988" s="34"/>
      <c r="O988" s="36"/>
      <c r="P988" s="68"/>
      <c r="Q988" s="24"/>
      <c r="R988" s="24"/>
      <c r="S988" s="64"/>
      <c r="V988" s="67"/>
      <c r="X988" s="67"/>
    </row>
    <row r="989" spans="1:24" s="27" customFormat="1">
      <c r="A989" s="31"/>
      <c r="B989" s="24"/>
      <c r="C989" s="30"/>
      <c r="D989" s="28"/>
      <c r="E989" s="31"/>
      <c r="F989" s="31"/>
      <c r="G989" s="31"/>
      <c r="I989" s="28"/>
      <c r="J989" s="62"/>
      <c r="K989" s="62"/>
      <c r="L989" s="33"/>
      <c r="M989" s="32"/>
      <c r="N989" s="34"/>
      <c r="O989" s="36"/>
      <c r="P989" s="68"/>
      <c r="Q989" s="24"/>
      <c r="R989" s="24"/>
      <c r="S989" s="64"/>
      <c r="V989" s="67"/>
      <c r="X989" s="67"/>
    </row>
    <row r="990" spans="1:24" s="27" customFormat="1">
      <c r="A990" s="31"/>
      <c r="B990" s="24"/>
      <c r="C990" s="30"/>
      <c r="D990" s="28"/>
      <c r="E990" s="31"/>
      <c r="F990" s="31"/>
      <c r="G990" s="31"/>
      <c r="I990" s="28"/>
      <c r="J990" s="62"/>
      <c r="K990" s="62"/>
      <c r="L990" s="33"/>
      <c r="M990" s="32"/>
      <c r="N990" s="34"/>
      <c r="O990" s="36"/>
      <c r="P990" s="68"/>
      <c r="Q990" s="24"/>
      <c r="R990" s="24"/>
      <c r="S990" s="64"/>
      <c r="V990" s="67"/>
      <c r="X990" s="67"/>
    </row>
    <row r="991" spans="1:24" s="27" customFormat="1">
      <c r="A991" s="31"/>
      <c r="B991" s="24"/>
      <c r="C991" s="30"/>
      <c r="D991" s="28"/>
      <c r="E991" s="31"/>
      <c r="F991" s="31"/>
      <c r="G991" s="31"/>
      <c r="I991" s="28"/>
      <c r="J991" s="62"/>
      <c r="K991" s="62"/>
      <c r="L991" s="33"/>
      <c r="M991" s="32"/>
      <c r="N991" s="34"/>
      <c r="O991" s="36"/>
      <c r="P991" s="68"/>
      <c r="Q991" s="24"/>
      <c r="R991" s="24"/>
      <c r="S991" s="64"/>
      <c r="V991" s="67"/>
      <c r="X991" s="67"/>
    </row>
    <row r="992" spans="1:24" s="27" customFormat="1">
      <c r="A992" s="31"/>
      <c r="B992" s="24"/>
      <c r="C992" s="30"/>
      <c r="D992" s="28"/>
      <c r="E992" s="31"/>
      <c r="F992" s="31"/>
      <c r="G992" s="31"/>
      <c r="I992" s="28"/>
      <c r="J992" s="62"/>
      <c r="K992" s="62"/>
      <c r="L992" s="33"/>
      <c r="M992" s="32"/>
      <c r="N992" s="34"/>
      <c r="O992" s="36"/>
      <c r="P992" s="68"/>
      <c r="Q992" s="24"/>
      <c r="R992" s="24"/>
      <c r="S992" s="64"/>
      <c r="V992" s="67"/>
      <c r="X992" s="67"/>
    </row>
    <row r="993" spans="1:24" s="27" customFormat="1">
      <c r="A993" s="31"/>
      <c r="B993" s="24"/>
      <c r="C993" s="30"/>
      <c r="D993" s="28"/>
      <c r="E993" s="31"/>
      <c r="F993" s="31"/>
      <c r="G993" s="31"/>
      <c r="I993" s="28"/>
      <c r="J993" s="62"/>
      <c r="K993" s="62"/>
      <c r="L993" s="33"/>
      <c r="M993" s="32"/>
      <c r="N993" s="34"/>
      <c r="O993" s="36"/>
      <c r="P993" s="68"/>
      <c r="Q993" s="24"/>
      <c r="R993" s="24"/>
      <c r="S993" s="64"/>
      <c r="V993" s="67"/>
      <c r="X993" s="67"/>
    </row>
    <row r="994" spans="1:24" s="27" customFormat="1">
      <c r="A994" s="31"/>
      <c r="B994" s="24"/>
      <c r="C994" s="30"/>
      <c r="D994" s="28"/>
      <c r="E994" s="31"/>
      <c r="F994" s="31"/>
      <c r="G994" s="31"/>
      <c r="I994" s="28"/>
      <c r="J994" s="62"/>
      <c r="K994" s="62"/>
      <c r="L994" s="33"/>
      <c r="M994" s="32"/>
      <c r="N994" s="34"/>
      <c r="O994" s="36"/>
      <c r="P994" s="68"/>
      <c r="Q994" s="24"/>
      <c r="R994" s="24"/>
      <c r="S994" s="64"/>
      <c r="V994" s="67"/>
      <c r="X994" s="67"/>
    </row>
    <row r="995" spans="1:24" s="27" customFormat="1">
      <c r="A995" s="31"/>
      <c r="B995" s="24"/>
      <c r="C995" s="30"/>
      <c r="D995" s="28"/>
      <c r="E995" s="31"/>
      <c r="F995" s="31"/>
      <c r="G995" s="31"/>
      <c r="I995" s="28"/>
      <c r="J995" s="62"/>
      <c r="K995" s="62"/>
      <c r="L995" s="33"/>
      <c r="M995" s="32"/>
      <c r="N995" s="34"/>
      <c r="O995" s="36"/>
      <c r="P995" s="68"/>
      <c r="Q995" s="24"/>
      <c r="R995" s="24"/>
      <c r="S995" s="64"/>
      <c r="V995" s="67"/>
      <c r="X995" s="67"/>
    </row>
    <row r="996" spans="1:24" s="27" customFormat="1">
      <c r="A996" s="31"/>
      <c r="B996" s="24"/>
      <c r="C996" s="30"/>
      <c r="D996" s="28"/>
      <c r="E996" s="31"/>
      <c r="F996" s="31"/>
      <c r="G996" s="31"/>
      <c r="I996" s="28"/>
      <c r="J996" s="62"/>
      <c r="K996" s="62"/>
      <c r="L996" s="33"/>
      <c r="M996" s="32"/>
      <c r="N996" s="34"/>
      <c r="O996" s="36"/>
      <c r="P996" s="68"/>
      <c r="Q996" s="24"/>
      <c r="R996" s="24"/>
      <c r="S996" s="64"/>
      <c r="V996" s="67"/>
      <c r="X996" s="67"/>
    </row>
    <row r="997" spans="1:24" s="27" customFormat="1">
      <c r="A997" s="31"/>
      <c r="B997" s="24"/>
      <c r="C997" s="30"/>
      <c r="D997" s="28"/>
      <c r="E997" s="31"/>
      <c r="F997" s="31"/>
      <c r="G997" s="31"/>
      <c r="I997" s="28"/>
      <c r="J997" s="62"/>
      <c r="K997" s="62"/>
      <c r="L997" s="33"/>
      <c r="M997" s="32"/>
      <c r="N997" s="34"/>
      <c r="O997" s="36"/>
      <c r="P997" s="68"/>
      <c r="Q997" s="24"/>
      <c r="R997" s="24"/>
      <c r="S997" s="64"/>
      <c r="V997" s="67"/>
      <c r="X997" s="67"/>
    </row>
    <row r="998" spans="1:24" s="27" customFormat="1">
      <c r="A998" s="31"/>
      <c r="B998" s="24"/>
      <c r="C998" s="30"/>
      <c r="D998" s="28"/>
      <c r="E998" s="31"/>
      <c r="F998" s="31"/>
      <c r="G998" s="31"/>
      <c r="I998" s="28"/>
      <c r="J998" s="62"/>
      <c r="K998" s="62"/>
      <c r="L998" s="33"/>
      <c r="M998" s="32"/>
      <c r="N998" s="34"/>
      <c r="O998" s="36"/>
      <c r="P998" s="68"/>
      <c r="Q998" s="24"/>
      <c r="R998" s="24"/>
      <c r="S998" s="64"/>
      <c r="V998" s="67"/>
      <c r="X998" s="67"/>
    </row>
    <row r="999" spans="1:24" s="27" customFormat="1">
      <c r="A999" s="31"/>
      <c r="B999" s="24"/>
      <c r="C999" s="30"/>
      <c r="D999" s="28"/>
      <c r="E999" s="31"/>
      <c r="F999" s="31"/>
      <c r="G999" s="31"/>
      <c r="I999" s="28"/>
      <c r="J999" s="62"/>
      <c r="K999" s="62"/>
      <c r="L999" s="33"/>
      <c r="M999" s="32"/>
      <c r="N999" s="34"/>
      <c r="O999" s="36"/>
      <c r="P999" s="68"/>
      <c r="Q999" s="24"/>
      <c r="R999" s="24"/>
      <c r="S999" s="64"/>
      <c r="V999" s="67"/>
      <c r="X999" s="67"/>
    </row>
    <row r="1000" spans="1:24" s="27" customFormat="1">
      <c r="A1000" s="31"/>
      <c r="B1000" s="24"/>
      <c r="C1000" s="30"/>
      <c r="D1000" s="28"/>
      <c r="E1000" s="31"/>
      <c r="F1000" s="31"/>
      <c r="G1000" s="31"/>
      <c r="I1000" s="28"/>
      <c r="J1000" s="62"/>
      <c r="K1000" s="62"/>
      <c r="L1000" s="33"/>
      <c r="M1000" s="32"/>
      <c r="N1000" s="34"/>
      <c r="O1000" s="36"/>
      <c r="P1000" s="68"/>
      <c r="Q1000" s="24"/>
      <c r="R1000" s="24"/>
      <c r="S1000" s="64"/>
      <c r="V1000" s="67"/>
      <c r="X1000" s="67"/>
    </row>
    <row r="1001" spans="1:24" s="27" customFormat="1">
      <c r="A1001" s="31"/>
      <c r="B1001" s="24"/>
      <c r="C1001" s="30"/>
      <c r="D1001" s="28"/>
      <c r="E1001" s="31"/>
      <c r="F1001" s="31"/>
      <c r="G1001" s="31"/>
      <c r="I1001" s="28"/>
      <c r="J1001" s="62"/>
      <c r="K1001" s="62"/>
      <c r="L1001" s="33"/>
      <c r="M1001" s="32"/>
      <c r="N1001" s="34"/>
      <c r="O1001" s="36"/>
      <c r="P1001" s="68"/>
      <c r="Q1001" s="24"/>
      <c r="R1001" s="24"/>
      <c r="S1001" s="64"/>
      <c r="V1001" s="67"/>
      <c r="X1001" s="67"/>
    </row>
    <row r="1002" spans="1:24" s="27" customFormat="1">
      <c r="A1002" s="31"/>
      <c r="B1002" s="24"/>
      <c r="C1002" s="30"/>
      <c r="D1002" s="28"/>
      <c r="E1002" s="31"/>
      <c r="F1002" s="31"/>
      <c r="G1002" s="31"/>
      <c r="I1002" s="28"/>
      <c r="J1002" s="62"/>
      <c r="K1002" s="62"/>
      <c r="L1002" s="33"/>
      <c r="M1002" s="32"/>
      <c r="N1002" s="34"/>
      <c r="O1002" s="36"/>
      <c r="P1002" s="68"/>
      <c r="Q1002" s="24"/>
      <c r="R1002" s="24"/>
      <c r="S1002" s="64"/>
      <c r="V1002" s="67"/>
      <c r="X1002" s="67"/>
    </row>
    <row r="1003" spans="1:24" s="27" customFormat="1">
      <c r="A1003" s="31"/>
      <c r="B1003" s="24"/>
      <c r="C1003" s="30"/>
      <c r="D1003" s="28"/>
      <c r="E1003" s="31"/>
      <c r="F1003" s="31"/>
      <c r="G1003" s="31"/>
      <c r="I1003" s="28"/>
      <c r="J1003" s="62"/>
      <c r="K1003" s="62"/>
      <c r="L1003" s="33"/>
      <c r="M1003" s="32"/>
      <c r="N1003" s="34"/>
      <c r="O1003" s="36"/>
      <c r="P1003" s="68"/>
      <c r="Q1003" s="24"/>
      <c r="R1003" s="24"/>
      <c r="S1003" s="64"/>
      <c r="V1003" s="67"/>
      <c r="X1003" s="67"/>
    </row>
    <row r="1004" spans="1:24" s="27" customFormat="1">
      <c r="A1004" s="31"/>
      <c r="B1004" s="24"/>
      <c r="C1004" s="30"/>
      <c r="D1004" s="28"/>
      <c r="E1004" s="31"/>
      <c r="F1004" s="31"/>
      <c r="G1004" s="31"/>
      <c r="I1004" s="28"/>
      <c r="J1004" s="62"/>
      <c r="K1004" s="62"/>
      <c r="L1004" s="33"/>
      <c r="M1004" s="32"/>
      <c r="N1004" s="34"/>
      <c r="O1004" s="36"/>
      <c r="P1004" s="68"/>
      <c r="Q1004" s="24"/>
      <c r="R1004" s="24"/>
      <c r="S1004" s="64"/>
      <c r="V1004" s="67"/>
      <c r="X1004" s="67"/>
    </row>
    <row r="1005" spans="1:24" s="27" customFormat="1">
      <c r="A1005" s="31"/>
      <c r="B1005" s="24"/>
      <c r="C1005" s="30"/>
      <c r="D1005" s="28"/>
      <c r="E1005" s="31"/>
      <c r="F1005" s="31"/>
      <c r="G1005" s="31"/>
      <c r="I1005" s="28"/>
      <c r="J1005" s="62"/>
      <c r="K1005" s="62"/>
      <c r="L1005" s="33"/>
      <c r="M1005" s="32"/>
      <c r="N1005" s="34"/>
      <c r="O1005" s="36"/>
      <c r="P1005" s="68"/>
      <c r="Q1005" s="24"/>
      <c r="R1005" s="24"/>
      <c r="S1005" s="64"/>
      <c r="V1005" s="67"/>
      <c r="X1005" s="67"/>
    </row>
    <row r="1006" spans="1:24" s="27" customFormat="1">
      <c r="A1006" s="31"/>
      <c r="B1006" s="24"/>
      <c r="C1006" s="30"/>
      <c r="D1006" s="28"/>
      <c r="E1006" s="31"/>
      <c r="F1006" s="31"/>
      <c r="G1006" s="31"/>
      <c r="I1006" s="28"/>
      <c r="J1006" s="62"/>
      <c r="K1006" s="62"/>
      <c r="L1006" s="33"/>
      <c r="M1006" s="32"/>
      <c r="N1006" s="34"/>
      <c r="O1006" s="36"/>
      <c r="P1006" s="68"/>
      <c r="Q1006" s="24"/>
      <c r="R1006" s="24"/>
      <c r="S1006" s="64"/>
      <c r="V1006" s="67"/>
      <c r="X1006" s="67"/>
    </row>
    <row r="1007" spans="1:24" s="27" customFormat="1">
      <c r="A1007" s="31"/>
      <c r="B1007" s="24"/>
      <c r="C1007" s="30"/>
      <c r="D1007" s="28"/>
      <c r="E1007" s="31"/>
      <c r="F1007" s="31"/>
      <c r="G1007" s="31"/>
      <c r="I1007" s="28"/>
      <c r="J1007" s="62"/>
      <c r="K1007" s="62"/>
      <c r="L1007" s="33"/>
      <c r="M1007" s="32"/>
      <c r="N1007" s="34"/>
      <c r="O1007" s="36"/>
      <c r="P1007" s="68"/>
      <c r="Q1007" s="24"/>
      <c r="R1007" s="24"/>
      <c r="S1007" s="64"/>
      <c r="V1007" s="67"/>
      <c r="X1007" s="67"/>
    </row>
    <row r="1008" spans="1:24" s="27" customFormat="1">
      <c r="A1008" s="31"/>
      <c r="B1008" s="24"/>
      <c r="C1008" s="30"/>
      <c r="D1008" s="28"/>
      <c r="E1008" s="31"/>
      <c r="F1008" s="31"/>
      <c r="G1008" s="31"/>
      <c r="I1008" s="28"/>
      <c r="J1008" s="62"/>
      <c r="K1008" s="62"/>
      <c r="L1008" s="33"/>
      <c r="M1008" s="32"/>
      <c r="N1008" s="34"/>
      <c r="O1008" s="36"/>
      <c r="P1008" s="68"/>
      <c r="Q1008" s="24"/>
      <c r="R1008" s="24"/>
      <c r="S1008" s="64"/>
      <c r="V1008" s="67"/>
      <c r="X1008" s="67"/>
    </row>
    <row r="1009" spans="1:24" s="27" customFormat="1">
      <c r="A1009" s="31"/>
      <c r="B1009" s="24"/>
      <c r="C1009" s="30"/>
      <c r="D1009" s="28"/>
      <c r="E1009" s="31"/>
      <c r="F1009" s="31"/>
      <c r="G1009" s="31"/>
      <c r="I1009" s="28"/>
      <c r="J1009" s="62"/>
      <c r="K1009" s="62"/>
      <c r="L1009" s="33"/>
      <c r="M1009" s="32"/>
      <c r="N1009" s="34"/>
      <c r="O1009" s="36"/>
      <c r="P1009" s="68"/>
      <c r="Q1009" s="24"/>
      <c r="R1009" s="24"/>
      <c r="S1009" s="64"/>
      <c r="V1009" s="67"/>
      <c r="X1009" s="67"/>
    </row>
    <row r="1010" spans="1:24" s="27" customFormat="1">
      <c r="A1010" s="31"/>
      <c r="B1010" s="24"/>
      <c r="C1010" s="30"/>
      <c r="D1010" s="28"/>
      <c r="E1010" s="31"/>
      <c r="F1010" s="31"/>
      <c r="G1010" s="31"/>
      <c r="I1010" s="28"/>
      <c r="J1010" s="62"/>
      <c r="K1010" s="62"/>
      <c r="L1010" s="33"/>
      <c r="M1010" s="32"/>
      <c r="N1010" s="34"/>
      <c r="O1010" s="36"/>
      <c r="P1010" s="68"/>
      <c r="Q1010" s="24"/>
      <c r="R1010" s="24"/>
      <c r="S1010" s="64"/>
      <c r="V1010" s="67"/>
      <c r="X1010" s="67"/>
    </row>
    <row r="1011" spans="1:24" s="27" customFormat="1">
      <c r="A1011" s="31"/>
      <c r="B1011" s="24"/>
      <c r="C1011" s="30"/>
      <c r="D1011" s="28"/>
      <c r="E1011" s="31"/>
      <c r="F1011" s="31"/>
      <c r="G1011" s="31"/>
      <c r="I1011" s="28"/>
      <c r="J1011" s="62"/>
      <c r="K1011" s="62"/>
      <c r="L1011" s="33"/>
      <c r="M1011" s="32"/>
      <c r="N1011" s="34"/>
      <c r="O1011" s="36"/>
      <c r="P1011" s="68"/>
      <c r="Q1011" s="24"/>
      <c r="R1011" s="24"/>
      <c r="S1011" s="64"/>
      <c r="V1011" s="67"/>
      <c r="X1011" s="67"/>
    </row>
    <row r="1012" spans="1:24" s="27" customFormat="1">
      <c r="A1012" s="31"/>
      <c r="B1012" s="24"/>
      <c r="C1012" s="30"/>
      <c r="D1012" s="28"/>
      <c r="E1012" s="31"/>
      <c r="F1012" s="31"/>
      <c r="G1012" s="31"/>
      <c r="I1012" s="28"/>
      <c r="J1012" s="62"/>
      <c r="K1012" s="62"/>
      <c r="L1012" s="33"/>
      <c r="M1012" s="32"/>
      <c r="N1012" s="34"/>
      <c r="O1012" s="36"/>
      <c r="P1012" s="68"/>
      <c r="Q1012" s="24"/>
      <c r="R1012" s="24"/>
      <c r="S1012" s="64"/>
      <c r="V1012" s="67"/>
      <c r="X1012" s="67"/>
    </row>
    <row r="1013" spans="1:24" s="27" customFormat="1">
      <c r="A1013" s="31"/>
      <c r="B1013" s="24"/>
      <c r="C1013" s="30"/>
      <c r="D1013" s="28"/>
      <c r="E1013" s="31"/>
      <c r="F1013" s="31"/>
      <c r="G1013" s="31"/>
      <c r="I1013" s="28"/>
      <c r="J1013" s="62"/>
      <c r="K1013" s="62"/>
      <c r="L1013" s="33"/>
      <c r="M1013" s="32"/>
      <c r="N1013" s="34"/>
      <c r="O1013" s="36"/>
      <c r="P1013" s="68"/>
      <c r="Q1013" s="24"/>
      <c r="R1013" s="24"/>
      <c r="S1013" s="64"/>
      <c r="V1013" s="67"/>
      <c r="X1013" s="67"/>
    </row>
    <row r="1014" spans="1:24" s="27" customFormat="1">
      <c r="A1014" s="31"/>
      <c r="B1014" s="24"/>
      <c r="C1014" s="30"/>
      <c r="D1014" s="28"/>
      <c r="E1014" s="31"/>
      <c r="F1014" s="31"/>
      <c r="G1014" s="31"/>
      <c r="I1014" s="28"/>
      <c r="J1014" s="62"/>
      <c r="K1014" s="62"/>
      <c r="L1014" s="33"/>
      <c r="M1014" s="32"/>
      <c r="N1014" s="34"/>
      <c r="O1014" s="36"/>
      <c r="P1014" s="68"/>
      <c r="Q1014" s="24"/>
      <c r="R1014" s="24"/>
      <c r="S1014" s="64"/>
      <c r="V1014" s="67"/>
      <c r="X1014" s="67"/>
    </row>
    <row r="1015" spans="1:24" s="27" customFormat="1">
      <c r="A1015" s="31"/>
      <c r="B1015" s="24"/>
      <c r="C1015" s="30"/>
      <c r="D1015" s="28"/>
      <c r="E1015" s="31"/>
      <c r="F1015" s="31"/>
      <c r="G1015" s="31"/>
      <c r="I1015" s="28"/>
      <c r="J1015" s="62"/>
      <c r="K1015" s="62"/>
      <c r="L1015" s="33"/>
      <c r="M1015" s="32"/>
      <c r="N1015" s="34"/>
      <c r="O1015" s="36"/>
      <c r="P1015" s="68"/>
      <c r="Q1015" s="24"/>
      <c r="R1015" s="24"/>
      <c r="S1015" s="64"/>
      <c r="V1015" s="67"/>
      <c r="X1015" s="67"/>
    </row>
    <row r="1016" spans="1:24" s="27" customFormat="1">
      <c r="A1016" s="31"/>
      <c r="B1016" s="24"/>
      <c r="C1016" s="30"/>
      <c r="D1016" s="28"/>
      <c r="E1016" s="31"/>
      <c r="F1016" s="31"/>
      <c r="G1016" s="31"/>
      <c r="I1016" s="28"/>
      <c r="J1016" s="62"/>
      <c r="K1016" s="62"/>
      <c r="L1016" s="33"/>
      <c r="M1016" s="32"/>
      <c r="N1016" s="34"/>
      <c r="O1016" s="36"/>
      <c r="P1016" s="68"/>
      <c r="Q1016" s="24"/>
      <c r="R1016" s="24"/>
      <c r="S1016" s="64"/>
      <c r="V1016" s="67"/>
      <c r="X1016" s="67"/>
    </row>
    <row r="1017" spans="1:24" s="27" customFormat="1">
      <c r="A1017" s="31"/>
      <c r="B1017" s="24"/>
      <c r="C1017" s="30"/>
      <c r="D1017" s="28"/>
      <c r="E1017" s="31"/>
      <c r="F1017" s="31"/>
      <c r="G1017" s="31"/>
      <c r="I1017" s="28"/>
      <c r="J1017" s="62"/>
      <c r="K1017" s="62"/>
      <c r="L1017" s="33"/>
      <c r="M1017" s="32"/>
      <c r="N1017" s="34"/>
      <c r="O1017" s="36"/>
      <c r="P1017" s="68"/>
      <c r="Q1017" s="24"/>
      <c r="R1017" s="24"/>
      <c r="S1017" s="64"/>
      <c r="V1017" s="67"/>
      <c r="X1017" s="67"/>
    </row>
    <row r="1018" spans="1:24" s="27" customFormat="1">
      <c r="A1018" s="31"/>
      <c r="B1018" s="24"/>
      <c r="C1018" s="30"/>
      <c r="D1018" s="28"/>
      <c r="E1018" s="31"/>
      <c r="F1018" s="31"/>
      <c r="G1018" s="31"/>
      <c r="I1018" s="28"/>
      <c r="J1018" s="62"/>
      <c r="K1018" s="62"/>
      <c r="L1018" s="33"/>
      <c r="M1018" s="32"/>
      <c r="N1018" s="34"/>
      <c r="O1018" s="36"/>
      <c r="P1018" s="68"/>
      <c r="Q1018" s="24"/>
      <c r="R1018" s="24"/>
      <c r="S1018" s="64"/>
      <c r="V1018" s="67"/>
      <c r="X1018" s="67"/>
    </row>
    <row r="1019" spans="1:24" s="27" customFormat="1">
      <c r="A1019" s="31"/>
      <c r="B1019" s="24"/>
      <c r="C1019" s="30"/>
      <c r="D1019" s="28"/>
      <c r="E1019" s="31"/>
      <c r="F1019" s="31"/>
      <c r="G1019" s="31"/>
      <c r="I1019" s="28"/>
      <c r="J1019" s="62"/>
      <c r="K1019" s="62"/>
      <c r="L1019" s="33"/>
      <c r="M1019" s="32"/>
      <c r="N1019" s="34"/>
      <c r="O1019" s="36"/>
      <c r="P1019" s="68"/>
      <c r="Q1019" s="24"/>
      <c r="R1019" s="24"/>
      <c r="S1019" s="64"/>
      <c r="V1019" s="67"/>
      <c r="X1019" s="67"/>
    </row>
    <row r="1020" spans="1:24" s="27" customFormat="1">
      <c r="A1020" s="31"/>
      <c r="B1020" s="24"/>
      <c r="C1020" s="30"/>
      <c r="D1020" s="28"/>
      <c r="E1020" s="31"/>
      <c r="F1020" s="31"/>
      <c r="G1020" s="31"/>
      <c r="I1020" s="28"/>
      <c r="J1020" s="62"/>
      <c r="K1020" s="62"/>
      <c r="L1020" s="33"/>
      <c r="M1020" s="32"/>
      <c r="N1020" s="34"/>
      <c r="O1020" s="36"/>
      <c r="P1020" s="68"/>
      <c r="Q1020" s="24"/>
      <c r="R1020" s="24"/>
      <c r="S1020" s="64"/>
      <c r="V1020" s="67"/>
      <c r="X1020" s="67"/>
    </row>
    <row r="1021" spans="1:24" s="27" customFormat="1">
      <c r="A1021" s="31"/>
      <c r="B1021" s="24"/>
      <c r="C1021" s="30"/>
      <c r="D1021" s="28"/>
      <c r="E1021" s="31"/>
      <c r="F1021" s="31"/>
      <c r="G1021" s="31"/>
      <c r="I1021" s="28"/>
      <c r="J1021" s="62"/>
      <c r="K1021" s="62"/>
      <c r="L1021" s="33"/>
      <c r="M1021" s="32"/>
      <c r="N1021" s="34"/>
      <c r="O1021" s="36"/>
      <c r="P1021" s="68"/>
      <c r="Q1021" s="24"/>
      <c r="R1021" s="24"/>
      <c r="S1021" s="64"/>
      <c r="V1021" s="67"/>
      <c r="X1021" s="67"/>
    </row>
    <row r="1022" spans="1:24" s="27" customFormat="1">
      <c r="A1022" s="31"/>
      <c r="B1022" s="24"/>
      <c r="C1022" s="30"/>
      <c r="D1022" s="28"/>
      <c r="E1022" s="31"/>
      <c r="F1022" s="31"/>
      <c r="G1022" s="31"/>
      <c r="I1022" s="28"/>
      <c r="J1022" s="62"/>
      <c r="K1022" s="62"/>
      <c r="L1022" s="33"/>
      <c r="M1022" s="32"/>
      <c r="N1022" s="34"/>
      <c r="O1022" s="36"/>
      <c r="P1022" s="68"/>
      <c r="Q1022" s="24"/>
      <c r="R1022" s="24"/>
      <c r="S1022" s="64"/>
      <c r="V1022" s="67"/>
      <c r="X1022" s="67"/>
    </row>
    <row r="1023" spans="1:24" s="27" customFormat="1">
      <c r="A1023" s="31"/>
      <c r="B1023" s="24"/>
      <c r="C1023" s="30"/>
      <c r="D1023" s="28"/>
      <c r="E1023" s="31"/>
      <c r="F1023" s="31"/>
      <c r="G1023" s="31"/>
      <c r="I1023" s="28"/>
      <c r="J1023" s="62"/>
      <c r="K1023" s="62"/>
      <c r="L1023" s="33"/>
      <c r="M1023" s="32"/>
      <c r="N1023" s="34"/>
      <c r="O1023" s="36"/>
      <c r="P1023" s="68"/>
      <c r="Q1023" s="24"/>
      <c r="R1023" s="24"/>
      <c r="S1023" s="64"/>
      <c r="V1023" s="67"/>
      <c r="X1023" s="67"/>
    </row>
    <row r="1024" spans="1:24" s="27" customFormat="1">
      <c r="A1024" s="31"/>
      <c r="B1024" s="24"/>
      <c r="C1024" s="30"/>
      <c r="D1024" s="28"/>
      <c r="E1024" s="31"/>
      <c r="F1024" s="31"/>
      <c r="G1024" s="31"/>
      <c r="I1024" s="28"/>
      <c r="J1024" s="62"/>
      <c r="K1024" s="62"/>
      <c r="L1024" s="33"/>
      <c r="M1024" s="32"/>
      <c r="N1024" s="34"/>
      <c r="O1024" s="36"/>
      <c r="P1024" s="68"/>
      <c r="Q1024" s="24"/>
      <c r="R1024" s="24"/>
      <c r="S1024" s="64"/>
      <c r="V1024" s="67"/>
      <c r="X1024" s="67"/>
    </row>
    <row r="1025" spans="1:24" s="27" customFormat="1">
      <c r="A1025" s="31"/>
      <c r="B1025" s="24"/>
      <c r="C1025" s="30"/>
      <c r="D1025" s="28"/>
      <c r="E1025" s="31"/>
      <c r="F1025" s="31"/>
      <c r="G1025" s="31"/>
      <c r="I1025" s="28"/>
      <c r="J1025" s="62"/>
      <c r="K1025" s="62"/>
      <c r="L1025" s="33"/>
      <c r="M1025" s="32"/>
      <c r="N1025" s="34"/>
      <c r="O1025" s="36"/>
      <c r="P1025" s="68"/>
      <c r="Q1025" s="24"/>
      <c r="R1025" s="24"/>
      <c r="S1025" s="64"/>
      <c r="V1025" s="67"/>
      <c r="X1025" s="67"/>
    </row>
    <row r="1026" spans="1:24" s="27" customFormat="1">
      <c r="A1026" s="31"/>
      <c r="B1026" s="24"/>
      <c r="C1026" s="30"/>
      <c r="D1026" s="28"/>
      <c r="E1026" s="31"/>
      <c r="F1026" s="31"/>
      <c r="G1026" s="31"/>
      <c r="I1026" s="28"/>
      <c r="J1026" s="62"/>
      <c r="K1026" s="62"/>
      <c r="L1026" s="33"/>
      <c r="M1026" s="32"/>
      <c r="N1026" s="34"/>
      <c r="O1026" s="36"/>
      <c r="P1026" s="68"/>
      <c r="Q1026" s="24"/>
      <c r="R1026" s="24"/>
      <c r="S1026" s="64"/>
      <c r="V1026" s="67"/>
      <c r="X1026" s="67"/>
    </row>
    <row r="1027" spans="1:24" s="27" customFormat="1">
      <c r="A1027" s="31"/>
      <c r="B1027" s="24"/>
      <c r="C1027" s="30"/>
      <c r="D1027" s="28"/>
      <c r="E1027" s="31"/>
      <c r="F1027" s="31"/>
      <c r="G1027" s="31"/>
      <c r="I1027" s="28"/>
      <c r="J1027" s="62"/>
      <c r="K1027" s="62"/>
      <c r="L1027" s="33"/>
      <c r="M1027" s="32"/>
      <c r="N1027" s="34"/>
      <c r="O1027" s="36"/>
      <c r="P1027" s="68"/>
      <c r="Q1027" s="24"/>
      <c r="R1027" s="24"/>
      <c r="S1027" s="64"/>
      <c r="V1027" s="67"/>
      <c r="X1027" s="67"/>
    </row>
    <row r="1028" spans="1:24" s="27" customFormat="1">
      <c r="A1028" s="31"/>
      <c r="B1028" s="24"/>
      <c r="C1028" s="30"/>
      <c r="D1028" s="28"/>
      <c r="E1028" s="31"/>
      <c r="F1028" s="31"/>
      <c r="G1028" s="31"/>
      <c r="I1028" s="28"/>
      <c r="J1028" s="62"/>
      <c r="K1028" s="62"/>
      <c r="L1028" s="33"/>
      <c r="M1028" s="32"/>
      <c r="N1028" s="34"/>
      <c r="O1028" s="36"/>
      <c r="P1028" s="68"/>
      <c r="Q1028" s="24"/>
      <c r="R1028" s="24"/>
      <c r="S1028" s="64"/>
      <c r="V1028" s="67"/>
      <c r="X1028" s="67"/>
    </row>
    <row r="1029" spans="1:24" s="27" customFormat="1">
      <c r="A1029" s="31"/>
      <c r="B1029" s="24"/>
      <c r="C1029" s="30"/>
      <c r="D1029" s="28"/>
      <c r="E1029" s="31"/>
      <c r="F1029" s="31"/>
      <c r="G1029" s="31"/>
      <c r="I1029" s="28"/>
      <c r="J1029" s="62"/>
      <c r="K1029" s="62"/>
      <c r="L1029" s="33"/>
      <c r="M1029" s="32"/>
      <c r="N1029" s="34"/>
      <c r="O1029" s="36"/>
      <c r="P1029" s="68"/>
      <c r="Q1029" s="24"/>
      <c r="R1029" s="24"/>
      <c r="S1029" s="64"/>
      <c r="V1029" s="67"/>
      <c r="X1029" s="67"/>
    </row>
    <row r="1030" spans="1:24" s="27" customFormat="1">
      <c r="A1030" s="31"/>
      <c r="B1030" s="24"/>
      <c r="C1030" s="30"/>
      <c r="D1030" s="28"/>
      <c r="E1030" s="31"/>
      <c r="F1030" s="31"/>
      <c r="G1030" s="31"/>
      <c r="I1030" s="28"/>
      <c r="J1030" s="62"/>
      <c r="K1030" s="62"/>
      <c r="L1030" s="33"/>
      <c r="M1030" s="32"/>
      <c r="N1030" s="34"/>
      <c r="O1030" s="36"/>
      <c r="P1030" s="68"/>
      <c r="Q1030" s="24"/>
      <c r="R1030" s="24"/>
      <c r="S1030" s="64"/>
      <c r="V1030" s="67"/>
      <c r="X1030" s="67"/>
    </row>
    <row r="1031" spans="1:24" s="27" customFormat="1">
      <c r="A1031" s="31"/>
      <c r="B1031" s="24"/>
      <c r="C1031" s="30"/>
      <c r="D1031" s="28"/>
      <c r="E1031" s="31"/>
      <c r="F1031" s="31"/>
      <c r="G1031" s="31"/>
      <c r="I1031" s="28"/>
      <c r="J1031" s="62"/>
      <c r="K1031" s="62"/>
      <c r="L1031" s="33"/>
      <c r="M1031" s="32"/>
      <c r="N1031" s="34"/>
      <c r="O1031" s="36"/>
      <c r="P1031" s="68"/>
      <c r="Q1031" s="24"/>
      <c r="R1031" s="24"/>
      <c r="S1031" s="64"/>
      <c r="V1031" s="67"/>
      <c r="X1031" s="67"/>
    </row>
    <row r="1032" spans="1:24" s="27" customFormat="1">
      <c r="A1032" s="31"/>
      <c r="B1032" s="24"/>
      <c r="C1032" s="30"/>
      <c r="D1032" s="28"/>
      <c r="E1032" s="31"/>
      <c r="F1032" s="31"/>
      <c r="G1032" s="31"/>
      <c r="I1032" s="28"/>
      <c r="J1032" s="62"/>
      <c r="K1032" s="62"/>
      <c r="L1032" s="33"/>
      <c r="M1032" s="32"/>
      <c r="N1032" s="34"/>
      <c r="O1032" s="36"/>
      <c r="P1032" s="68"/>
      <c r="Q1032" s="24"/>
      <c r="R1032" s="24"/>
      <c r="S1032" s="64"/>
      <c r="V1032" s="67"/>
      <c r="X1032" s="67"/>
    </row>
    <row r="1033" spans="1:24" s="27" customFormat="1">
      <c r="A1033" s="31"/>
      <c r="B1033" s="24"/>
      <c r="C1033" s="30"/>
      <c r="D1033" s="28"/>
      <c r="E1033" s="31"/>
      <c r="F1033" s="31"/>
      <c r="G1033" s="31"/>
      <c r="I1033" s="28"/>
      <c r="J1033" s="62"/>
      <c r="K1033" s="62"/>
      <c r="L1033" s="33"/>
      <c r="M1033" s="32"/>
      <c r="N1033" s="34"/>
      <c r="O1033" s="36"/>
      <c r="P1033" s="68"/>
      <c r="Q1033" s="24"/>
      <c r="R1033" s="24"/>
      <c r="S1033" s="64"/>
      <c r="V1033" s="67"/>
      <c r="X1033" s="67"/>
    </row>
    <row r="1034" spans="1:24" s="27" customFormat="1">
      <c r="A1034" s="31"/>
      <c r="B1034" s="24"/>
      <c r="C1034" s="30"/>
      <c r="D1034" s="28"/>
      <c r="E1034" s="31"/>
      <c r="F1034" s="31"/>
      <c r="G1034" s="31"/>
      <c r="I1034" s="28"/>
      <c r="J1034" s="62"/>
      <c r="K1034" s="62"/>
      <c r="L1034" s="33"/>
      <c r="M1034" s="32"/>
      <c r="N1034" s="34"/>
      <c r="O1034" s="36"/>
      <c r="P1034" s="68"/>
      <c r="Q1034" s="24"/>
      <c r="R1034" s="24"/>
      <c r="S1034" s="64"/>
      <c r="V1034" s="67"/>
      <c r="X1034" s="67"/>
    </row>
    <row r="1035" spans="1:24" s="27" customFormat="1">
      <c r="A1035" s="31"/>
      <c r="B1035" s="24"/>
      <c r="C1035" s="30"/>
      <c r="D1035" s="28"/>
      <c r="E1035" s="31"/>
      <c r="F1035" s="31"/>
      <c r="G1035" s="31"/>
      <c r="I1035" s="28"/>
      <c r="J1035" s="62"/>
      <c r="K1035" s="62"/>
      <c r="L1035" s="33"/>
      <c r="M1035" s="32"/>
      <c r="N1035" s="34"/>
      <c r="O1035" s="36"/>
      <c r="P1035" s="68"/>
      <c r="Q1035" s="24"/>
      <c r="R1035" s="24"/>
      <c r="S1035" s="64"/>
      <c r="V1035" s="67"/>
      <c r="X1035" s="67"/>
    </row>
    <row r="1036" spans="1:24" s="27" customFormat="1">
      <c r="A1036" s="31"/>
      <c r="B1036" s="24"/>
      <c r="C1036" s="30"/>
      <c r="D1036" s="28"/>
      <c r="E1036" s="31"/>
      <c r="F1036" s="31"/>
      <c r="G1036" s="31"/>
      <c r="I1036" s="28"/>
      <c r="J1036" s="62"/>
      <c r="K1036" s="62"/>
      <c r="L1036" s="33"/>
      <c r="M1036" s="32"/>
      <c r="N1036" s="34"/>
      <c r="O1036" s="36"/>
      <c r="P1036" s="68"/>
      <c r="Q1036" s="24"/>
      <c r="R1036" s="24"/>
      <c r="S1036" s="64"/>
      <c r="V1036" s="67"/>
      <c r="X1036" s="67"/>
    </row>
    <row r="1037" spans="1:24" s="27" customFormat="1">
      <c r="A1037" s="31"/>
      <c r="B1037" s="24"/>
      <c r="C1037" s="30"/>
      <c r="D1037" s="28"/>
      <c r="E1037" s="31"/>
      <c r="F1037" s="31"/>
      <c r="G1037" s="31"/>
      <c r="I1037" s="28"/>
      <c r="J1037" s="62"/>
      <c r="K1037" s="62"/>
      <c r="L1037" s="33"/>
      <c r="M1037" s="32"/>
      <c r="N1037" s="34"/>
      <c r="O1037" s="36"/>
      <c r="P1037" s="68"/>
      <c r="Q1037" s="24"/>
      <c r="R1037" s="24"/>
      <c r="S1037" s="64"/>
      <c r="V1037" s="67"/>
      <c r="X1037" s="67"/>
    </row>
    <row r="1038" spans="1:24" s="27" customFormat="1">
      <c r="A1038" s="31"/>
      <c r="B1038" s="24"/>
      <c r="C1038" s="30"/>
      <c r="D1038" s="28"/>
      <c r="E1038" s="31"/>
      <c r="F1038" s="31"/>
      <c r="G1038" s="31"/>
      <c r="I1038" s="28"/>
      <c r="J1038" s="62"/>
      <c r="K1038" s="62"/>
      <c r="L1038" s="33"/>
      <c r="M1038" s="32"/>
      <c r="N1038" s="34"/>
      <c r="O1038" s="36"/>
      <c r="P1038" s="68"/>
      <c r="Q1038" s="24"/>
      <c r="R1038" s="24"/>
      <c r="S1038" s="64"/>
      <c r="V1038" s="67"/>
      <c r="X1038" s="67"/>
    </row>
    <row r="1039" spans="1:24" s="27" customFormat="1">
      <c r="A1039" s="31"/>
      <c r="B1039" s="24"/>
      <c r="C1039" s="30"/>
      <c r="D1039" s="28"/>
      <c r="E1039" s="31"/>
      <c r="F1039" s="31"/>
      <c r="G1039" s="31"/>
      <c r="I1039" s="28"/>
      <c r="J1039" s="62"/>
      <c r="K1039" s="62"/>
      <c r="L1039" s="33"/>
      <c r="M1039" s="32"/>
      <c r="N1039" s="34"/>
      <c r="O1039" s="36"/>
      <c r="P1039" s="68"/>
      <c r="Q1039" s="24"/>
      <c r="R1039" s="24"/>
      <c r="S1039" s="64"/>
      <c r="V1039" s="67"/>
      <c r="X1039" s="67"/>
    </row>
    <row r="1040" spans="1:24" s="27" customFormat="1">
      <c r="A1040" s="31"/>
      <c r="B1040" s="24"/>
      <c r="C1040" s="30"/>
      <c r="D1040" s="28"/>
      <c r="E1040" s="31"/>
      <c r="F1040" s="31"/>
      <c r="G1040" s="31"/>
      <c r="I1040" s="28"/>
      <c r="J1040" s="62"/>
      <c r="K1040" s="62"/>
      <c r="L1040" s="33"/>
      <c r="M1040" s="32"/>
      <c r="N1040" s="34"/>
      <c r="O1040" s="36"/>
      <c r="P1040" s="68"/>
      <c r="Q1040" s="24"/>
      <c r="R1040" s="24"/>
      <c r="S1040" s="64"/>
      <c r="V1040" s="67"/>
      <c r="X1040" s="67"/>
    </row>
    <row r="1041" spans="1:24" s="27" customFormat="1">
      <c r="A1041" s="31"/>
      <c r="B1041" s="24"/>
      <c r="C1041" s="30"/>
      <c r="D1041" s="28"/>
      <c r="E1041" s="31"/>
      <c r="F1041" s="31"/>
      <c r="G1041" s="31"/>
      <c r="I1041" s="28"/>
      <c r="J1041" s="62"/>
      <c r="K1041" s="62"/>
      <c r="L1041" s="33"/>
      <c r="M1041" s="32"/>
      <c r="N1041" s="34"/>
      <c r="O1041" s="36"/>
      <c r="P1041" s="68"/>
      <c r="Q1041" s="24"/>
      <c r="R1041" s="24"/>
      <c r="S1041" s="64"/>
      <c r="V1041" s="67"/>
      <c r="X1041" s="67"/>
    </row>
    <row r="1042" spans="1:24" s="27" customFormat="1">
      <c r="A1042" s="31"/>
      <c r="B1042" s="24"/>
      <c r="C1042" s="30"/>
      <c r="D1042" s="28"/>
      <c r="E1042" s="31"/>
      <c r="F1042" s="31"/>
      <c r="G1042" s="31"/>
      <c r="I1042" s="28"/>
      <c r="J1042" s="62"/>
      <c r="K1042" s="62"/>
      <c r="L1042" s="33"/>
      <c r="M1042" s="32"/>
      <c r="N1042" s="34"/>
      <c r="O1042" s="36"/>
      <c r="P1042" s="68"/>
      <c r="Q1042" s="24"/>
      <c r="R1042" s="24"/>
      <c r="S1042" s="64"/>
      <c r="V1042" s="67"/>
      <c r="X1042" s="67"/>
    </row>
    <row r="1043" spans="1:24" s="27" customFormat="1">
      <c r="A1043" s="31"/>
      <c r="B1043" s="24"/>
      <c r="C1043" s="30"/>
      <c r="D1043" s="28"/>
      <c r="E1043" s="31"/>
      <c r="F1043" s="31"/>
      <c r="G1043" s="31"/>
      <c r="I1043" s="28"/>
      <c r="J1043" s="62"/>
      <c r="K1043" s="62"/>
      <c r="L1043" s="33"/>
      <c r="M1043" s="32"/>
      <c r="N1043" s="34"/>
      <c r="O1043" s="36"/>
      <c r="P1043" s="68"/>
      <c r="Q1043" s="24"/>
      <c r="R1043" s="24"/>
      <c r="S1043" s="64"/>
      <c r="V1043" s="67"/>
      <c r="X1043" s="67"/>
    </row>
    <row r="1044" spans="1:24" s="27" customFormat="1">
      <c r="A1044" s="31"/>
      <c r="B1044" s="24"/>
      <c r="C1044" s="30"/>
      <c r="D1044" s="28"/>
      <c r="E1044" s="31"/>
      <c r="F1044" s="31"/>
      <c r="G1044" s="31"/>
      <c r="I1044" s="28"/>
      <c r="J1044" s="62"/>
      <c r="K1044" s="62"/>
      <c r="L1044" s="33"/>
      <c r="M1044" s="32"/>
      <c r="N1044" s="34"/>
      <c r="O1044" s="36"/>
      <c r="P1044" s="68"/>
      <c r="Q1044" s="24"/>
      <c r="R1044" s="24"/>
      <c r="S1044" s="64"/>
      <c r="V1044" s="67"/>
      <c r="X1044" s="67"/>
    </row>
    <row r="1045" spans="1:24" s="27" customFormat="1">
      <c r="A1045" s="31"/>
      <c r="B1045" s="24"/>
      <c r="C1045" s="30"/>
      <c r="D1045" s="28"/>
      <c r="E1045" s="31"/>
      <c r="F1045" s="31"/>
      <c r="G1045" s="31"/>
      <c r="I1045" s="28"/>
      <c r="J1045" s="62"/>
      <c r="K1045" s="62"/>
      <c r="L1045" s="33"/>
      <c r="M1045" s="32"/>
      <c r="N1045" s="34"/>
      <c r="O1045" s="36"/>
      <c r="P1045" s="68"/>
      <c r="Q1045" s="24"/>
      <c r="R1045" s="24"/>
      <c r="S1045" s="64"/>
      <c r="V1045" s="67"/>
      <c r="X1045" s="67"/>
    </row>
    <row r="1046" spans="1:24" s="27" customFormat="1">
      <c r="A1046" s="31"/>
      <c r="B1046" s="24"/>
      <c r="C1046" s="30"/>
      <c r="D1046" s="28"/>
      <c r="E1046" s="31"/>
      <c r="F1046" s="31"/>
      <c r="G1046" s="31"/>
      <c r="I1046" s="28"/>
      <c r="J1046" s="62"/>
      <c r="K1046" s="62"/>
      <c r="L1046" s="33"/>
      <c r="M1046" s="32"/>
      <c r="N1046" s="34"/>
      <c r="O1046" s="36"/>
      <c r="P1046" s="68"/>
      <c r="Q1046" s="24"/>
      <c r="R1046" s="24"/>
      <c r="S1046" s="64"/>
      <c r="V1046" s="67"/>
      <c r="X1046" s="67"/>
    </row>
    <row r="1047" spans="1:24" s="27" customFormat="1">
      <c r="A1047" s="31"/>
      <c r="B1047" s="24"/>
      <c r="C1047" s="30"/>
      <c r="D1047" s="28"/>
      <c r="E1047" s="31"/>
      <c r="F1047" s="31"/>
      <c r="G1047" s="31"/>
      <c r="I1047" s="28"/>
      <c r="J1047" s="62"/>
      <c r="K1047" s="62"/>
      <c r="L1047" s="33"/>
      <c r="M1047" s="32"/>
      <c r="N1047" s="34"/>
      <c r="O1047" s="36"/>
      <c r="P1047" s="68"/>
      <c r="Q1047" s="24"/>
      <c r="R1047" s="24"/>
      <c r="S1047" s="64"/>
      <c r="V1047" s="67"/>
      <c r="X1047" s="67"/>
    </row>
    <row r="1048" spans="1:24" s="27" customFormat="1">
      <c r="A1048" s="31"/>
      <c r="B1048" s="24"/>
      <c r="C1048" s="30"/>
      <c r="D1048" s="28"/>
      <c r="E1048" s="31"/>
      <c r="F1048" s="31"/>
      <c r="G1048" s="31"/>
      <c r="I1048" s="28"/>
      <c r="J1048" s="62"/>
      <c r="K1048" s="62"/>
      <c r="L1048" s="33"/>
      <c r="M1048" s="32"/>
      <c r="N1048" s="34"/>
      <c r="O1048" s="36"/>
      <c r="P1048" s="68"/>
      <c r="Q1048" s="24"/>
      <c r="R1048" s="24"/>
      <c r="S1048" s="64"/>
      <c r="V1048" s="67"/>
      <c r="X1048" s="67"/>
    </row>
    <row r="1049" spans="1:24" s="27" customFormat="1">
      <c r="A1049" s="31"/>
      <c r="B1049" s="24"/>
      <c r="C1049" s="30"/>
      <c r="D1049" s="28"/>
      <c r="E1049" s="31"/>
      <c r="F1049" s="31"/>
      <c r="G1049" s="31"/>
      <c r="I1049" s="28"/>
      <c r="J1049" s="62"/>
      <c r="K1049" s="62"/>
      <c r="L1049" s="33"/>
      <c r="M1049" s="32"/>
      <c r="N1049" s="34"/>
      <c r="O1049" s="36"/>
      <c r="P1049" s="68"/>
      <c r="Q1049" s="24"/>
      <c r="R1049" s="24"/>
      <c r="S1049" s="64"/>
      <c r="V1049" s="67"/>
      <c r="X1049" s="67"/>
    </row>
    <row r="1050" spans="1:24" s="27" customFormat="1">
      <c r="A1050" s="31"/>
      <c r="B1050" s="24"/>
      <c r="C1050" s="30"/>
      <c r="D1050" s="28"/>
      <c r="E1050" s="31"/>
      <c r="F1050" s="31"/>
      <c r="G1050" s="31"/>
      <c r="I1050" s="28"/>
      <c r="J1050" s="62"/>
      <c r="K1050" s="62"/>
      <c r="L1050" s="33"/>
      <c r="M1050" s="32"/>
      <c r="N1050" s="34"/>
      <c r="O1050" s="36"/>
      <c r="P1050" s="68"/>
      <c r="Q1050" s="24"/>
      <c r="R1050" s="24"/>
      <c r="S1050" s="64"/>
      <c r="V1050" s="67"/>
      <c r="X1050" s="67"/>
    </row>
    <row r="1051" spans="1:24" s="27" customFormat="1">
      <c r="A1051" s="31"/>
      <c r="B1051" s="24"/>
      <c r="C1051" s="30"/>
      <c r="D1051" s="28"/>
      <c r="E1051" s="31"/>
      <c r="F1051" s="31"/>
      <c r="G1051" s="31"/>
      <c r="I1051" s="28"/>
      <c r="J1051" s="62"/>
      <c r="K1051" s="62"/>
      <c r="L1051" s="33"/>
      <c r="M1051" s="32"/>
      <c r="N1051" s="34"/>
      <c r="O1051" s="36"/>
      <c r="P1051" s="68"/>
      <c r="Q1051" s="24"/>
      <c r="R1051" s="24"/>
      <c r="S1051" s="64"/>
      <c r="V1051" s="67"/>
      <c r="X1051" s="67"/>
    </row>
    <row r="1052" spans="1:24" s="27" customFormat="1">
      <c r="A1052" s="31"/>
      <c r="B1052" s="24"/>
      <c r="C1052" s="30"/>
      <c r="D1052" s="28"/>
      <c r="E1052" s="31"/>
      <c r="F1052" s="31"/>
      <c r="G1052" s="31"/>
      <c r="I1052" s="28"/>
      <c r="J1052" s="62"/>
      <c r="K1052" s="62"/>
      <c r="L1052" s="33"/>
      <c r="M1052" s="32"/>
      <c r="N1052" s="34"/>
      <c r="O1052" s="36"/>
      <c r="P1052" s="68"/>
      <c r="Q1052" s="24"/>
      <c r="R1052" s="24"/>
      <c r="S1052" s="64"/>
      <c r="V1052" s="67"/>
      <c r="X1052" s="67"/>
    </row>
    <row r="1053" spans="1:24" s="27" customFormat="1">
      <c r="A1053" s="31"/>
      <c r="B1053" s="24"/>
      <c r="C1053" s="30"/>
      <c r="D1053" s="28"/>
      <c r="E1053" s="31"/>
      <c r="F1053" s="31"/>
      <c r="G1053" s="31"/>
      <c r="I1053" s="28"/>
      <c r="J1053" s="62"/>
      <c r="K1053" s="62"/>
      <c r="L1053" s="33"/>
      <c r="M1053" s="32"/>
      <c r="N1053" s="34"/>
      <c r="O1053" s="36"/>
      <c r="P1053" s="68"/>
      <c r="Q1053" s="24"/>
      <c r="R1053" s="24"/>
      <c r="S1053" s="64"/>
      <c r="V1053" s="67"/>
      <c r="X1053" s="67"/>
    </row>
    <row r="1054" spans="1:24" s="27" customFormat="1">
      <c r="A1054" s="31"/>
      <c r="B1054" s="24"/>
      <c r="C1054" s="30"/>
      <c r="D1054" s="28"/>
      <c r="E1054" s="31"/>
      <c r="F1054" s="31"/>
      <c r="G1054" s="31"/>
      <c r="I1054" s="28"/>
      <c r="J1054" s="62"/>
      <c r="K1054" s="62"/>
      <c r="L1054" s="33"/>
      <c r="M1054" s="32"/>
      <c r="N1054" s="34"/>
      <c r="O1054" s="36"/>
      <c r="P1054" s="68"/>
      <c r="Q1054" s="24"/>
      <c r="R1054" s="24"/>
      <c r="S1054" s="64"/>
      <c r="V1054" s="67"/>
      <c r="X1054" s="67"/>
    </row>
    <row r="1055" spans="1:24" s="27" customFormat="1">
      <c r="A1055" s="31"/>
      <c r="B1055" s="24"/>
      <c r="C1055" s="30"/>
      <c r="D1055" s="28"/>
      <c r="E1055" s="31"/>
      <c r="F1055" s="31"/>
      <c r="G1055" s="31"/>
      <c r="I1055" s="28"/>
      <c r="J1055" s="62"/>
      <c r="K1055" s="62"/>
      <c r="L1055" s="33"/>
      <c r="M1055" s="32"/>
      <c r="N1055" s="34"/>
      <c r="O1055" s="36"/>
      <c r="P1055" s="68"/>
      <c r="Q1055" s="24"/>
      <c r="R1055" s="24"/>
      <c r="S1055" s="64"/>
      <c r="V1055" s="67"/>
      <c r="X1055" s="67"/>
    </row>
    <row r="1056" spans="1:24" s="27" customFormat="1">
      <c r="A1056" s="31"/>
      <c r="B1056" s="24"/>
      <c r="C1056" s="30"/>
      <c r="D1056" s="28"/>
      <c r="E1056" s="31"/>
      <c r="F1056" s="31"/>
      <c r="G1056" s="31"/>
      <c r="I1056" s="28"/>
      <c r="J1056" s="62"/>
      <c r="K1056" s="62"/>
      <c r="L1056" s="33"/>
      <c r="M1056" s="32"/>
      <c r="N1056" s="34"/>
      <c r="O1056" s="36"/>
      <c r="P1056" s="68"/>
      <c r="Q1056" s="24"/>
      <c r="R1056" s="24"/>
      <c r="S1056" s="64"/>
      <c r="V1056" s="67"/>
      <c r="X1056" s="67"/>
    </row>
    <row r="1057" spans="1:24" s="27" customFormat="1">
      <c r="A1057" s="31"/>
      <c r="B1057" s="24"/>
      <c r="C1057" s="30"/>
      <c r="D1057" s="28"/>
      <c r="E1057" s="31"/>
      <c r="F1057" s="31"/>
      <c r="G1057" s="31"/>
      <c r="I1057" s="28"/>
      <c r="J1057" s="62"/>
      <c r="K1057" s="62"/>
      <c r="L1057" s="33"/>
      <c r="M1057" s="32"/>
      <c r="N1057" s="34"/>
      <c r="O1057" s="36"/>
      <c r="P1057" s="68"/>
      <c r="Q1057" s="24"/>
      <c r="R1057" s="24"/>
      <c r="S1057" s="64"/>
      <c r="V1057" s="67"/>
      <c r="X1057" s="67"/>
    </row>
    <row r="1058" spans="1:24" s="27" customFormat="1">
      <c r="A1058" s="31"/>
      <c r="B1058" s="24"/>
      <c r="C1058" s="30"/>
      <c r="D1058" s="28"/>
      <c r="E1058" s="31"/>
      <c r="F1058" s="31"/>
      <c r="G1058" s="31"/>
      <c r="I1058" s="28"/>
      <c r="J1058" s="62"/>
      <c r="K1058" s="62"/>
      <c r="L1058" s="33"/>
      <c r="M1058" s="32"/>
      <c r="N1058" s="34"/>
      <c r="O1058" s="36"/>
      <c r="P1058" s="68"/>
      <c r="Q1058" s="24"/>
      <c r="R1058" s="24"/>
      <c r="S1058" s="64"/>
      <c r="V1058" s="67"/>
      <c r="X1058" s="67"/>
    </row>
    <row r="1059" spans="1:24" s="27" customFormat="1">
      <c r="A1059" s="31"/>
      <c r="B1059" s="24"/>
      <c r="C1059" s="30"/>
      <c r="D1059" s="28"/>
      <c r="E1059" s="31"/>
      <c r="F1059" s="31"/>
      <c r="G1059" s="31"/>
      <c r="I1059" s="28"/>
      <c r="J1059" s="62"/>
      <c r="K1059" s="62"/>
      <c r="L1059" s="33"/>
      <c r="M1059" s="32"/>
      <c r="N1059" s="34"/>
      <c r="O1059" s="36"/>
      <c r="P1059" s="68"/>
      <c r="Q1059" s="24"/>
      <c r="R1059" s="24"/>
      <c r="S1059" s="64"/>
      <c r="V1059" s="67"/>
      <c r="X1059" s="67"/>
    </row>
    <row r="1060" spans="1:24" s="27" customFormat="1">
      <c r="A1060" s="31"/>
      <c r="B1060" s="24"/>
      <c r="C1060" s="30"/>
      <c r="D1060" s="28"/>
      <c r="E1060" s="31"/>
      <c r="F1060" s="31"/>
      <c r="G1060" s="31"/>
      <c r="I1060" s="28"/>
      <c r="J1060" s="62"/>
      <c r="K1060" s="62"/>
      <c r="L1060" s="33"/>
      <c r="M1060" s="32"/>
      <c r="N1060" s="34"/>
      <c r="O1060" s="36"/>
      <c r="P1060" s="68"/>
      <c r="Q1060" s="24"/>
      <c r="R1060" s="24"/>
      <c r="S1060" s="64"/>
      <c r="V1060" s="67"/>
      <c r="X1060" s="67"/>
    </row>
    <row r="1061" spans="1:24" s="27" customFormat="1">
      <c r="A1061" s="31"/>
      <c r="B1061" s="24"/>
      <c r="C1061" s="30"/>
      <c r="D1061" s="28"/>
      <c r="E1061" s="31"/>
      <c r="F1061" s="31"/>
      <c r="G1061" s="31"/>
      <c r="I1061" s="28"/>
      <c r="J1061" s="62"/>
      <c r="K1061" s="62"/>
      <c r="L1061" s="33"/>
      <c r="M1061" s="32"/>
      <c r="N1061" s="34"/>
      <c r="O1061" s="36"/>
      <c r="P1061" s="68"/>
      <c r="Q1061" s="24"/>
      <c r="R1061" s="24"/>
      <c r="S1061" s="64"/>
      <c r="V1061" s="67"/>
      <c r="X1061" s="67"/>
    </row>
    <row r="1062" spans="1:24" s="27" customFormat="1">
      <c r="A1062" s="31"/>
      <c r="B1062" s="24"/>
      <c r="C1062" s="30"/>
      <c r="D1062" s="28"/>
      <c r="E1062" s="31"/>
      <c r="F1062" s="31"/>
      <c r="G1062" s="31"/>
      <c r="I1062" s="28"/>
      <c r="J1062" s="62"/>
      <c r="K1062" s="62"/>
      <c r="L1062" s="33"/>
      <c r="M1062" s="32"/>
      <c r="N1062" s="34"/>
      <c r="O1062" s="36"/>
      <c r="P1062" s="68"/>
      <c r="Q1062" s="24"/>
      <c r="R1062" s="24"/>
      <c r="S1062" s="64"/>
      <c r="V1062" s="67"/>
      <c r="X1062" s="67"/>
    </row>
    <row r="1063" spans="1:24" s="27" customFormat="1">
      <c r="A1063" s="31"/>
      <c r="B1063" s="24"/>
      <c r="C1063" s="30"/>
      <c r="D1063" s="28"/>
      <c r="E1063" s="31"/>
      <c r="F1063" s="31"/>
      <c r="G1063" s="31"/>
      <c r="I1063" s="28"/>
      <c r="J1063" s="62"/>
      <c r="K1063" s="62"/>
      <c r="L1063" s="33"/>
      <c r="M1063" s="32"/>
      <c r="N1063" s="34"/>
      <c r="O1063" s="36"/>
      <c r="P1063" s="68"/>
      <c r="Q1063" s="24"/>
      <c r="R1063" s="24"/>
      <c r="S1063" s="64"/>
      <c r="V1063" s="67"/>
      <c r="X1063" s="67"/>
    </row>
    <row r="1064" spans="1:24" s="27" customFormat="1">
      <c r="A1064" s="31"/>
      <c r="B1064" s="24"/>
      <c r="C1064" s="30"/>
      <c r="D1064" s="28"/>
      <c r="E1064" s="31"/>
      <c r="F1064" s="31"/>
      <c r="G1064" s="31"/>
      <c r="I1064" s="28"/>
      <c r="J1064" s="62"/>
      <c r="K1064" s="62"/>
      <c r="L1064" s="33"/>
      <c r="M1064" s="32"/>
      <c r="N1064" s="34"/>
      <c r="O1064" s="36"/>
      <c r="P1064" s="68"/>
      <c r="Q1064" s="24"/>
      <c r="R1064" s="24"/>
      <c r="S1064" s="64"/>
      <c r="V1064" s="67"/>
      <c r="X1064" s="67"/>
    </row>
    <row r="1065" spans="1:24" s="27" customFormat="1">
      <c r="A1065" s="31"/>
      <c r="B1065" s="24"/>
      <c r="C1065" s="30"/>
      <c r="D1065" s="28"/>
      <c r="E1065" s="31"/>
      <c r="F1065" s="31"/>
      <c r="G1065" s="31"/>
      <c r="I1065" s="28"/>
      <c r="J1065" s="62"/>
      <c r="K1065" s="62"/>
      <c r="L1065" s="33"/>
      <c r="M1065" s="32"/>
      <c r="N1065" s="34"/>
      <c r="O1065" s="36"/>
      <c r="P1065" s="68"/>
      <c r="Q1065" s="24"/>
      <c r="R1065" s="24"/>
      <c r="S1065" s="64"/>
      <c r="V1065" s="67"/>
      <c r="X1065" s="67"/>
    </row>
    <row r="1066" spans="1:24" s="27" customFormat="1">
      <c r="A1066" s="31"/>
      <c r="B1066" s="24"/>
      <c r="C1066" s="30"/>
      <c r="D1066" s="28"/>
      <c r="E1066" s="31"/>
      <c r="F1066" s="31"/>
      <c r="G1066" s="31"/>
      <c r="I1066" s="28"/>
      <c r="J1066" s="62"/>
      <c r="K1066" s="62"/>
      <c r="L1066" s="33"/>
      <c r="M1066" s="32"/>
      <c r="N1066" s="34"/>
      <c r="O1066" s="36"/>
      <c r="P1066" s="68"/>
      <c r="Q1066" s="24"/>
      <c r="R1066" s="24"/>
      <c r="S1066" s="64"/>
      <c r="V1066" s="67"/>
      <c r="X1066" s="67"/>
    </row>
    <row r="1067" spans="1:24" s="27" customFormat="1">
      <c r="A1067" s="31"/>
      <c r="B1067" s="24"/>
      <c r="C1067" s="30"/>
      <c r="D1067" s="28"/>
      <c r="E1067" s="31"/>
      <c r="F1067" s="31"/>
      <c r="G1067" s="31"/>
      <c r="I1067" s="28"/>
      <c r="J1067" s="62"/>
      <c r="K1067" s="62"/>
      <c r="L1067" s="33"/>
      <c r="M1067" s="32"/>
      <c r="N1067" s="34"/>
      <c r="O1067" s="36"/>
      <c r="P1067" s="68"/>
      <c r="Q1067" s="24"/>
      <c r="R1067" s="24"/>
      <c r="S1067" s="64"/>
      <c r="V1067" s="67"/>
      <c r="X1067" s="67"/>
    </row>
    <row r="1068" spans="1:24" s="27" customFormat="1">
      <c r="A1068" s="31"/>
      <c r="B1068" s="24"/>
      <c r="C1068" s="30"/>
      <c r="D1068" s="28"/>
      <c r="E1068" s="31"/>
      <c r="F1068" s="31"/>
      <c r="G1068" s="31"/>
      <c r="I1068" s="28"/>
      <c r="J1068" s="62"/>
      <c r="K1068" s="62"/>
      <c r="L1068" s="33"/>
      <c r="M1068" s="32"/>
      <c r="N1068" s="34"/>
      <c r="O1068" s="36"/>
      <c r="P1068" s="68"/>
      <c r="Q1068" s="24"/>
      <c r="R1068" s="24"/>
      <c r="S1068" s="64"/>
      <c r="V1068" s="67"/>
      <c r="X1068" s="67"/>
    </row>
    <row r="1069" spans="1:24" s="27" customFormat="1">
      <c r="A1069" s="31"/>
      <c r="B1069" s="24"/>
      <c r="C1069" s="30"/>
      <c r="D1069" s="28"/>
      <c r="E1069" s="31"/>
      <c r="F1069" s="31"/>
      <c r="G1069" s="31"/>
      <c r="I1069" s="28"/>
      <c r="J1069" s="62"/>
      <c r="K1069" s="62"/>
      <c r="L1069" s="33"/>
      <c r="M1069" s="32"/>
      <c r="N1069" s="34"/>
      <c r="O1069" s="36"/>
      <c r="P1069" s="68"/>
      <c r="Q1069" s="24"/>
      <c r="R1069" s="24"/>
      <c r="S1069" s="64"/>
      <c r="V1069" s="67"/>
      <c r="X1069" s="67"/>
    </row>
    <row r="1070" spans="1:24" s="27" customFormat="1">
      <c r="A1070" s="31"/>
      <c r="B1070" s="24"/>
      <c r="C1070" s="30"/>
      <c r="D1070" s="28"/>
      <c r="E1070" s="31"/>
      <c r="F1070" s="31"/>
      <c r="G1070" s="31"/>
      <c r="I1070" s="28"/>
      <c r="J1070" s="62"/>
      <c r="K1070" s="62"/>
      <c r="L1070" s="33"/>
      <c r="M1070" s="32"/>
      <c r="N1070" s="34"/>
      <c r="O1070" s="36"/>
      <c r="P1070" s="68"/>
      <c r="Q1070" s="24"/>
      <c r="R1070" s="24"/>
      <c r="S1070" s="64"/>
      <c r="V1070" s="67"/>
      <c r="X1070" s="67"/>
    </row>
    <row r="1071" spans="1:24" s="27" customFormat="1">
      <c r="A1071" s="31"/>
      <c r="B1071" s="24"/>
      <c r="C1071" s="30"/>
      <c r="D1071" s="28"/>
      <c r="E1071" s="31"/>
      <c r="F1071" s="31"/>
      <c r="G1071" s="31"/>
      <c r="I1071" s="28"/>
      <c r="J1071" s="62"/>
      <c r="K1071" s="62"/>
      <c r="L1071" s="33"/>
      <c r="M1071" s="32"/>
      <c r="N1071" s="34"/>
      <c r="O1071" s="36"/>
      <c r="P1071" s="68"/>
      <c r="Q1071" s="24"/>
      <c r="R1071" s="24"/>
      <c r="S1071" s="64"/>
      <c r="V1071" s="67"/>
      <c r="X1071" s="67"/>
    </row>
    <row r="1072" spans="1:24" s="27" customFormat="1">
      <c r="A1072" s="31"/>
      <c r="B1072" s="24"/>
      <c r="C1072" s="30"/>
      <c r="D1072" s="28"/>
      <c r="E1072" s="31"/>
      <c r="F1072" s="31"/>
      <c r="G1072" s="31"/>
      <c r="I1072" s="28"/>
      <c r="J1072" s="62"/>
      <c r="K1072" s="62"/>
      <c r="L1072" s="33"/>
      <c r="M1072" s="32"/>
      <c r="N1072" s="34"/>
      <c r="O1072" s="36"/>
      <c r="P1072" s="68"/>
      <c r="Q1072" s="24"/>
      <c r="R1072" s="24"/>
      <c r="S1072" s="64"/>
      <c r="V1072" s="67"/>
      <c r="X1072" s="67"/>
    </row>
    <row r="1073" spans="1:24" s="27" customFormat="1">
      <c r="A1073" s="31"/>
      <c r="B1073" s="24"/>
      <c r="C1073" s="30"/>
      <c r="D1073" s="28"/>
      <c r="E1073" s="31"/>
      <c r="F1073" s="31"/>
      <c r="G1073" s="31"/>
      <c r="I1073" s="28"/>
      <c r="J1073" s="62"/>
      <c r="K1073" s="62"/>
      <c r="L1073" s="33"/>
      <c r="M1073" s="32"/>
      <c r="N1073" s="34"/>
      <c r="O1073" s="36"/>
      <c r="P1073" s="68"/>
      <c r="Q1073" s="24"/>
      <c r="R1073" s="24"/>
      <c r="S1073" s="64"/>
      <c r="V1073" s="67"/>
      <c r="X1073" s="67"/>
    </row>
    <row r="1074" spans="1:24" s="27" customFormat="1">
      <c r="A1074" s="31"/>
      <c r="B1074" s="24"/>
      <c r="C1074" s="30"/>
      <c r="D1074" s="28"/>
      <c r="E1074" s="31"/>
      <c r="F1074" s="31"/>
      <c r="G1074" s="31"/>
      <c r="I1074" s="28"/>
      <c r="J1074" s="62"/>
      <c r="K1074" s="62"/>
      <c r="L1074" s="33"/>
      <c r="M1074" s="32"/>
      <c r="N1074" s="34"/>
      <c r="O1074" s="36"/>
      <c r="P1074" s="68"/>
      <c r="Q1074" s="24"/>
      <c r="R1074" s="24"/>
      <c r="S1074" s="64"/>
      <c r="V1074" s="67"/>
      <c r="X1074" s="67"/>
    </row>
    <row r="1075" spans="1:24" s="27" customFormat="1">
      <c r="A1075" s="31"/>
      <c r="B1075" s="24"/>
      <c r="C1075" s="30"/>
      <c r="D1075" s="28"/>
      <c r="E1075" s="31"/>
      <c r="F1075" s="31"/>
      <c r="G1075" s="31"/>
      <c r="I1075" s="28"/>
      <c r="J1075" s="62"/>
      <c r="K1075" s="62"/>
      <c r="L1075" s="33"/>
      <c r="M1075" s="32"/>
      <c r="N1075" s="34"/>
      <c r="O1075" s="36"/>
      <c r="P1075" s="68"/>
      <c r="Q1075" s="24"/>
      <c r="R1075" s="24"/>
      <c r="S1075" s="64"/>
      <c r="V1075" s="67"/>
      <c r="X1075" s="67"/>
    </row>
    <row r="1076" spans="1:24" s="27" customFormat="1">
      <c r="A1076" s="31"/>
      <c r="B1076" s="24"/>
      <c r="C1076" s="30"/>
      <c r="D1076" s="28"/>
      <c r="E1076" s="31"/>
      <c r="F1076" s="31"/>
      <c r="G1076" s="31"/>
      <c r="I1076" s="28"/>
      <c r="J1076" s="62"/>
      <c r="K1076" s="62"/>
      <c r="L1076" s="33"/>
      <c r="M1076" s="32"/>
      <c r="N1076" s="34"/>
      <c r="O1076" s="36"/>
      <c r="P1076" s="68"/>
      <c r="Q1076" s="24"/>
      <c r="R1076" s="24"/>
      <c r="S1076" s="64"/>
      <c r="V1076" s="67"/>
      <c r="X1076" s="67"/>
    </row>
    <row r="1077" spans="1:24" s="27" customFormat="1">
      <c r="A1077" s="31"/>
      <c r="B1077" s="24"/>
      <c r="C1077" s="30"/>
      <c r="D1077" s="28"/>
      <c r="E1077" s="31"/>
      <c r="F1077" s="31"/>
      <c r="G1077" s="31"/>
      <c r="I1077" s="28"/>
      <c r="J1077" s="62"/>
      <c r="K1077" s="62"/>
      <c r="L1077" s="33"/>
      <c r="M1077" s="32"/>
      <c r="N1077" s="34"/>
      <c r="O1077" s="36"/>
      <c r="P1077" s="68"/>
      <c r="Q1077" s="24"/>
      <c r="R1077" s="24"/>
      <c r="S1077" s="64"/>
      <c r="V1077" s="67"/>
      <c r="X1077" s="67"/>
    </row>
    <row r="1078" spans="1:24" s="27" customFormat="1">
      <c r="A1078" s="31"/>
      <c r="B1078" s="24"/>
      <c r="C1078" s="30"/>
      <c r="D1078" s="28"/>
      <c r="E1078" s="31"/>
      <c r="F1078" s="31"/>
      <c r="G1078" s="31"/>
      <c r="I1078" s="28"/>
      <c r="J1078" s="62"/>
      <c r="K1078" s="62"/>
      <c r="L1078" s="33"/>
      <c r="M1078" s="32"/>
      <c r="N1078" s="34"/>
      <c r="O1078" s="36"/>
      <c r="P1078" s="68"/>
      <c r="Q1078" s="24"/>
      <c r="R1078" s="24"/>
      <c r="S1078" s="64"/>
      <c r="V1078" s="67"/>
      <c r="X1078" s="67"/>
    </row>
    <row r="1079" spans="1:24" s="27" customFormat="1">
      <c r="A1079" s="31"/>
      <c r="B1079" s="24"/>
      <c r="C1079" s="30"/>
      <c r="D1079" s="28"/>
      <c r="E1079" s="31"/>
      <c r="F1079" s="31"/>
      <c r="G1079" s="31"/>
      <c r="I1079" s="28"/>
      <c r="J1079" s="62"/>
      <c r="K1079" s="62"/>
      <c r="L1079" s="33"/>
      <c r="M1079" s="32"/>
      <c r="N1079" s="34"/>
      <c r="O1079" s="36"/>
      <c r="P1079" s="68"/>
      <c r="Q1079" s="24"/>
      <c r="R1079" s="24"/>
      <c r="S1079" s="64"/>
      <c r="V1079" s="67"/>
      <c r="X1079" s="67"/>
    </row>
    <row r="1080" spans="1:24" s="27" customFormat="1">
      <c r="A1080" s="31"/>
      <c r="B1080" s="24"/>
      <c r="C1080" s="30"/>
      <c r="D1080" s="28"/>
      <c r="E1080" s="31"/>
      <c r="F1080" s="31"/>
      <c r="G1080" s="31"/>
      <c r="I1080" s="28"/>
      <c r="J1080" s="62"/>
      <c r="K1080" s="62"/>
      <c r="L1080" s="33"/>
      <c r="M1080" s="32"/>
      <c r="N1080" s="34"/>
      <c r="O1080" s="36"/>
      <c r="P1080" s="68"/>
      <c r="Q1080" s="24"/>
      <c r="R1080" s="24"/>
      <c r="S1080" s="64"/>
      <c r="V1080" s="67"/>
      <c r="X1080" s="67"/>
    </row>
    <row r="1081" spans="1:24" s="27" customFormat="1">
      <c r="A1081" s="31"/>
      <c r="B1081" s="24"/>
      <c r="C1081" s="30"/>
      <c r="D1081" s="28"/>
      <c r="E1081" s="31"/>
      <c r="F1081" s="31"/>
      <c r="G1081" s="31"/>
      <c r="I1081" s="28"/>
      <c r="J1081" s="62"/>
      <c r="K1081" s="62"/>
      <c r="L1081" s="33"/>
      <c r="M1081" s="32"/>
      <c r="N1081" s="34"/>
      <c r="O1081" s="36"/>
      <c r="P1081" s="68"/>
      <c r="Q1081" s="24"/>
      <c r="R1081" s="24"/>
      <c r="S1081" s="64"/>
      <c r="V1081" s="67"/>
      <c r="X1081" s="67"/>
    </row>
    <row r="1082" spans="1:24" s="27" customFormat="1">
      <c r="A1082" s="31"/>
      <c r="B1082" s="24"/>
      <c r="C1082" s="30"/>
      <c r="D1082" s="28"/>
      <c r="E1082" s="31"/>
      <c r="F1082" s="31"/>
      <c r="G1082" s="31"/>
      <c r="I1082" s="28"/>
      <c r="J1082" s="62"/>
      <c r="K1082" s="62"/>
      <c r="L1082" s="33"/>
      <c r="M1082" s="32"/>
      <c r="N1082" s="34"/>
      <c r="O1082" s="36"/>
      <c r="P1082" s="68"/>
      <c r="Q1082" s="24"/>
      <c r="R1082" s="24"/>
      <c r="S1082" s="64"/>
      <c r="V1082" s="67"/>
      <c r="X1082" s="67"/>
    </row>
    <row r="1083" spans="1:24" s="27" customFormat="1">
      <c r="A1083" s="31"/>
      <c r="B1083" s="24"/>
      <c r="C1083" s="30"/>
      <c r="D1083" s="28"/>
      <c r="E1083" s="31"/>
      <c r="F1083" s="31"/>
      <c r="G1083" s="31"/>
      <c r="I1083" s="28"/>
      <c r="J1083" s="62"/>
      <c r="K1083" s="62"/>
      <c r="L1083" s="33"/>
      <c r="M1083" s="32"/>
      <c r="N1083" s="34"/>
      <c r="O1083" s="36"/>
      <c r="P1083" s="68"/>
      <c r="Q1083" s="24"/>
      <c r="R1083" s="24"/>
      <c r="S1083" s="64"/>
      <c r="V1083" s="67"/>
      <c r="X1083" s="67"/>
    </row>
    <row r="1084" spans="1:24" s="27" customFormat="1">
      <c r="A1084" s="31"/>
      <c r="B1084" s="24"/>
      <c r="C1084" s="30"/>
      <c r="D1084" s="28"/>
      <c r="E1084" s="31"/>
      <c r="F1084" s="31"/>
      <c r="G1084" s="31"/>
      <c r="I1084" s="28"/>
      <c r="J1084" s="62"/>
      <c r="K1084" s="62"/>
      <c r="L1084" s="33"/>
      <c r="M1084" s="32"/>
      <c r="N1084" s="34"/>
      <c r="O1084" s="36"/>
      <c r="P1084" s="68"/>
      <c r="Q1084" s="24"/>
      <c r="R1084" s="24"/>
      <c r="S1084" s="64"/>
      <c r="V1084" s="67"/>
      <c r="X1084" s="67"/>
    </row>
    <row r="1085" spans="1:24" s="27" customFormat="1">
      <c r="A1085" s="31"/>
      <c r="B1085" s="24"/>
      <c r="C1085" s="30"/>
      <c r="D1085" s="28"/>
      <c r="E1085" s="31"/>
      <c r="F1085" s="31"/>
      <c r="G1085" s="31"/>
      <c r="I1085" s="28"/>
      <c r="J1085" s="62"/>
      <c r="K1085" s="62"/>
      <c r="L1085" s="33"/>
      <c r="M1085" s="32"/>
      <c r="N1085" s="34"/>
      <c r="O1085" s="36"/>
      <c r="P1085" s="68"/>
      <c r="Q1085" s="24"/>
      <c r="R1085" s="24"/>
      <c r="S1085" s="64"/>
      <c r="V1085" s="67"/>
      <c r="X1085" s="67"/>
    </row>
    <row r="1086" spans="1:24" s="27" customFormat="1">
      <c r="A1086" s="31"/>
      <c r="B1086" s="24"/>
      <c r="C1086" s="30"/>
      <c r="D1086" s="28"/>
      <c r="E1086" s="31"/>
      <c r="F1086" s="31"/>
      <c r="G1086" s="31"/>
      <c r="I1086" s="28"/>
      <c r="J1086" s="62"/>
      <c r="K1086" s="62"/>
      <c r="L1086" s="33"/>
      <c r="M1086" s="32"/>
      <c r="N1086" s="34"/>
      <c r="O1086" s="36"/>
      <c r="P1086" s="68"/>
      <c r="Q1086" s="24"/>
      <c r="R1086" s="24"/>
      <c r="S1086" s="64"/>
      <c r="V1086" s="67"/>
      <c r="X1086" s="67"/>
    </row>
    <row r="1087" spans="1:24" s="27" customFormat="1">
      <c r="A1087" s="31"/>
      <c r="B1087" s="24"/>
      <c r="C1087" s="30"/>
      <c r="D1087" s="28"/>
      <c r="E1087" s="31"/>
      <c r="F1087" s="31"/>
      <c r="G1087" s="31"/>
      <c r="I1087" s="28"/>
      <c r="J1087" s="62"/>
      <c r="K1087" s="62"/>
      <c r="L1087" s="33"/>
      <c r="M1087" s="32"/>
      <c r="N1087" s="34"/>
      <c r="O1087" s="36"/>
      <c r="P1087" s="68"/>
      <c r="Q1087" s="24"/>
      <c r="R1087" s="24"/>
      <c r="S1087" s="64"/>
      <c r="V1087" s="67"/>
      <c r="X1087" s="67"/>
    </row>
    <row r="1088" spans="1:24" s="27" customFormat="1">
      <c r="A1088" s="31"/>
      <c r="B1088" s="24"/>
      <c r="C1088" s="30"/>
      <c r="D1088" s="28"/>
      <c r="E1088" s="31"/>
      <c r="F1088" s="31"/>
      <c r="G1088" s="31"/>
      <c r="I1088" s="28"/>
      <c r="J1088" s="62"/>
      <c r="K1088" s="62"/>
      <c r="L1088" s="33"/>
      <c r="M1088" s="32"/>
      <c r="N1088" s="34"/>
      <c r="O1088" s="36"/>
      <c r="P1088" s="68"/>
      <c r="Q1088" s="24"/>
      <c r="R1088" s="24"/>
      <c r="S1088" s="64"/>
      <c r="V1088" s="67"/>
      <c r="X1088" s="67"/>
    </row>
    <row r="1089" spans="1:24" s="27" customFormat="1">
      <c r="A1089" s="31"/>
      <c r="B1089" s="24"/>
      <c r="C1089" s="30"/>
      <c r="D1089" s="28"/>
      <c r="E1089" s="31"/>
      <c r="F1089" s="31"/>
      <c r="G1089" s="31"/>
      <c r="I1089" s="28"/>
      <c r="J1089" s="62"/>
      <c r="K1089" s="62"/>
      <c r="L1089" s="33"/>
      <c r="M1089" s="32"/>
      <c r="N1089" s="34"/>
      <c r="O1089" s="36"/>
      <c r="P1089" s="68"/>
      <c r="Q1089" s="24"/>
      <c r="R1089" s="24"/>
      <c r="S1089" s="64"/>
      <c r="V1089" s="67"/>
      <c r="X1089" s="67"/>
    </row>
    <row r="1090" spans="1:24" s="27" customFormat="1">
      <c r="A1090" s="31"/>
      <c r="B1090" s="24"/>
      <c r="C1090" s="30"/>
      <c r="D1090" s="28"/>
      <c r="E1090" s="31"/>
      <c r="F1090" s="31"/>
      <c r="G1090" s="31"/>
      <c r="I1090" s="28"/>
      <c r="J1090" s="62"/>
      <c r="K1090" s="62"/>
      <c r="L1090" s="33"/>
      <c r="M1090" s="32"/>
      <c r="N1090" s="34"/>
      <c r="O1090" s="36"/>
      <c r="P1090" s="68"/>
      <c r="Q1090" s="24"/>
      <c r="R1090" s="24"/>
      <c r="S1090" s="64"/>
      <c r="V1090" s="67"/>
      <c r="X1090" s="67"/>
    </row>
    <row r="1091" spans="1:24" s="27" customFormat="1">
      <c r="A1091" s="31"/>
      <c r="B1091" s="24"/>
      <c r="C1091" s="30"/>
      <c r="D1091" s="28"/>
      <c r="E1091" s="31"/>
      <c r="F1091" s="31"/>
      <c r="G1091" s="31"/>
      <c r="I1091" s="28"/>
      <c r="J1091" s="62"/>
      <c r="K1091" s="62"/>
      <c r="L1091" s="33"/>
      <c r="M1091" s="32"/>
      <c r="N1091" s="34"/>
      <c r="O1091" s="36"/>
      <c r="P1091" s="68"/>
      <c r="Q1091" s="24"/>
      <c r="R1091" s="24"/>
      <c r="S1091" s="64"/>
      <c r="V1091" s="67"/>
      <c r="X1091" s="67"/>
    </row>
    <row r="1092" spans="1:24" s="27" customFormat="1">
      <c r="A1092" s="31"/>
      <c r="B1092" s="24"/>
      <c r="C1092" s="30"/>
      <c r="D1092" s="28"/>
      <c r="E1092" s="31"/>
      <c r="F1092" s="31"/>
      <c r="G1092" s="31"/>
      <c r="I1092" s="28"/>
      <c r="J1092" s="62"/>
      <c r="K1092" s="62"/>
      <c r="L1092" s="33"/>
      <c r="M1092" s="32"/>
      <c r="N1092" s="34"/>
      <c r="O1092" s="36"/>
      <c r="P1092" s="68"/>
      <c r="Q1092" s="24"/>
      <c r="R1092" s="24"/>
      <c r="S1092" s="64"/>
      <c r="V1092" s="67"/>
      <c r="X1092" s="67"/>
    </row>
    <row r="1093" spans="1:24" s="27" customFormat="1">
      <c r="A1093" s="31"/>
      <c r="B1093" s="24"/>
      <c r="C1093" s="30"/>
      <c r="D1093" s="28"/>
      <c r="E1093" s="31"/>
      <c r="F1093" s="31"/>
      <c r="G1093" s="31"/>
      <c r="I1093" s="28"/>
      <c r="J1093" s="62"/>
      <c r="K1093" s="62"/>
      <c r="L1093" s="33"/>
      <c r="M1093" s="32"/>
      <c r="N1093" s="34"/>
      <c r="O1093" s="36"/>
      <c r="P1093" s="68"/>
      <c r="Q1093" s="24"/>
      <c r="R1093" s="24"/>
      <c r="S1093" s="64"/>
      <c r="V1093" s="67"/>
      <c r="X1093" s="67"/>
    </row>
    <row r="1094" spans="1:24" s="27" customFormat="1">
      <c r="A1094" s="31"/>
      <c r="B1094" s="24"/>
      <c r="C1094" s="30"/>
      <c r="D1094" s="28"/>
      <c r="E1094" s="31"/>
      <c r="F1094" s="31"/>
      <c r="G1094" s="31"/>
      <c r="I1094" s="28"/>
      <c r="J1094" s="62"/>
      <c r="K1094" s="62"/>
      <c r="L1094" s="33"/>
      <c r="M1094" s="32"/>
      <c r="N1094" s="34"/>
      <c r="O1094" s="36"/>
      <c r="P1094" s="68"/>
      <c r="Q1094" s="24"/>
      <c r="R1094" s="24"/>
      <c r="S1094" s="64"/>
      <c r="V1094" s="67"/>
      <c r="X1094" s="67"/>
    </row>
    <row r="1095" spans="1:24" s="27" customFormat="1">
      <c r="A1095" s="31"/>
      <c r="B1095" s="24"/>
      <c r="C1095" s="30"/>
      <c r="D1095" s="28"/>
      <c r="E1095" s="31"/>
      <c r="F1095" s="31"/>
      <c r="G1095" s="31"/>
      <c r="I1095" s="28"/>
      <c r="J1095" s="62"/>
      <c r="K1095" s="62"/>
      <c r="L1095" s="33"/>
      <c r="M1095" s="32"/>
      <c r="N1095" s="34"/>
      <c r="O1095" s="36"/>
      <c r="P1095" s="68"/>
      <c r="Q1095" s="24"/>
      <c r="R1095" s="24"/>
      <c r="S1095" s="64"/>
      <c r="V1095" s="67"/>
      <c r="X1095" s="67"/>
    </row>
    <row r="1096" spans="1:24" s="27" customFormat="1">
      <c r="A1096" s="31"/>
      <c r="B1096" s="24"/>
      <c r="C1096" s="30"/>
      <c r="D1096" s="28"/>
      <c r="E1096" s="31"/>
      <c r="F1096" s="31"/>
      <c r="G1096" s="31"/>
      <c r="I1096" s="28"/>
      <c r="J1096" s="62"/>
      <c r="K1096" s="62"/>
      <c r="L1096" s="33"/>
      <c r="M1096" s="32"/>
      <c r="N1096" s="34"/>
      <c r="O1096" s="36"/>
      <c r="P1096" s="68"/>
      <c r="Q1096" s="24"/>
      <c r="R1096" s="24"/>
      <c r="S1096" s="64"/>
      <c r="V1096" s="67"/>
      <c r="X1096" s="67"/>
    </row>
    <row r="1097" spans="1:24" s="27" customFormat="1">
      <c r="A1097" s="31"/>
      <c r="B1097" s="24"/>
      <c r="C1097" s="30"/>
      <c r="D1097" s="28"/>
      <c r="E1097" s="31"/>
      <c r="F1097" s="31"/>
      <c r="G1097" s="31"/>
      <c r="I1097" s="28"/>
      <c r="J1097" s="62"/>
      <c r="K1097" s="62"/>
      <c r="L1097" s="33"/>
      <c r="M1097" s="32"/>
      <c r="N1097" s="34"/>
      <c r="O1097" s="36"/>
      <c r="P1097" s="68"/>
      <c r="Q1097" s="24"/>
      <c r="R1097" s="24"/>
      <c r="S1097" s="64"/>
      <c r="V1097" s="67"/>
      <c r="X1097" s="67"/>
    </row>
    <row r="1098" spans="1:24" s="27" customFormat="1">
      <c r="A1098" s="31"/>
      <c r="B1098" s="24"/>
      <c r="C1098" s="30"/>
      <c r="D1098" s="28"/>
      <c r="E1098" s="31"/>
      <c r="F1098" s="31"/>
      <c r="G1098" s="31"/>
      <c r="I1098" s="28"/>
      <c r="J1098" s="62"/>
      <c r="K1098" s="62"/>
      <c r="L1098" s="33"/>
      <c r="M1098" s="32"/>
      <c r="N1098" s="34"/>
      <c r="O1098" s="36"/>
      <c r="P1098" s="68"/>
      <c r="Q1098" s="24"/>
      <c r="R1098" s="24"/>
      <c r="S1098" s="64"/>
      <c r="V1098" s="67"/>
      <c r="X1098" s="67"/>
    </row>
    <row r="1099" spans="1:24" s="27" customFormat="1">
      <c r="A1099" s="31"/>
      <c r="B1099" s="24"/>
      <c r="C1099" s="30"/>
      <c r="D1099" s="28"/>
      <c r="E1099" s="31"/>
      <c r="F1099" s="31"/>
      <c r="G1099" s="31"/>
      <c r="I1099" s="28"/>
      <c r="J1099" s="62"/>
      <c r="K1099" s="62"/>
      <c r="L1099" s="33"/>
      <c r="M1099" s="32"/>
      <c r="N1099" s="34"/>
      <c r="O1099" s="36"/>
      <c r="P1099" s="68"/>
      <c r="Q1099" s="24"/>
      <c r="R1099" s="24"/>
      <c r="S1099" s="64"/>
      <c r="V1099" s="67"/>
      <c r="X1099" s="67"/>
    </row>
    <row r="1100" spans="1:24" s="27" customFormat="1">
      <c r="A1100" s="31"/>
      <c r="B1100" s="24"/>
      <c r="C1100" s="30"/>
      <c r="D1100" s="28"/>
      <c r="E1100" s="31"/>
      <c r="F1100" s="31"/>
      <c r="G1100" s="31"/>
      <c r="I1100" s="28"/>
      <c r="J1100" s="62"/>
      <c r="K1100" s="62"/>
      <c r="L1100" s="33"/>
      <c r="M1100" s="32"/>
      <c r="N1100" s="34"/>
      <c r="O1100" s="36"/>
      <c r="P1100" s="68"/>
      <c r="Q1100" s="24"/>
      <c r="R1100" s="24"/>
      <c r="S1100" s="64"/>
      <c r="V1100" s="67"/>
      <c r="X1100" s="67"/>
    </row>
    <row r="1101" spans="1:24" s="27" customFormat="1">
      <c r="A1101" s="31"/>
      <c r="B1101" s="24"/>
      <c r="C1101" s="30"/>
      <c r="D1101" s="28"/>
      <c r="E1101" s="31"/>
      <c r="F1101" s="31"/>
      <c r="G1101" s="31"/>
      <c r="I1101" s="28"/>
      <c r="J1101" s="62"/>
      <c r="K1101" s="62"/>
      <c r="L1101" s="33"/>
      <c r="M1101" s="32"/>
      <c r="N1101" s="34"/>
      <c r="O1101" s="36"/>
      <c r="P1101" s="68"/>
      <c r="Q1101" s="24"/>
      <c r="R1101" s="24"/>
      <c r="S1101" s="64"/>
      <c r="V1101" s="67"/>
      <c r="X1101" s="67"/>
    </row>
    <row r="1102" spans="1:24" s="27" customFormat="1">
      <c r="A1102" s="31"/>
      <c r="B1102" s="24"/>
      <c r="C1102" s="30"/>
      <c r="D1102" s="28"/>
      <c r="E1102" s="31"/>
      <c r="F1102" s="31"/>
      <c r="G1102" s="31"/>
      <c r="I1102" s="28"/>
      <c r="J1102" s="62"/>
      <c r="K1102" s="62"/>
      <c r="L1102" s="33"/>
      <c r="M1102" s="32"/>
      <c r="N1102" s="34"/>
      <c r="O1102" s="36"/>
      <c r="P1102" s="68"/>
      <c r="Q1102" s="24"/>
      <c r="R1102" s="24"/>
      <c r="S1102" s="64"/>
      <c r="V1102" s="67"/>
      <c r="X1102" s="67"/>
    </row>
    <row r="1103" spans="1:24" s="27" customFormat="1">
      <c r="A1103" s="31"/>
      <c r="B1103" s="24"/>
      <c r="C1103" s="30"/>
      <c r="D1103" s="28"/>
      <c r="E1103" s="31"/>
      <c r="F1103" s="31"/>
      <c r="G1103" s="31"/>
      <c r="I1103" s="28"/>
      <c r="J1103" s="62"/>
      <c r="K1103" s="62"/>
      <c r="L1103" s="33"/>
      <c r="M1103" s="32"/>
      <c r="N1103" s="34"/>
      <c r="O1103" s="36"/>
      <c r="P1103" s="68"/>
      <c r="Q1103" s="24"/>
      <c r="R1103" s="24"/>
      <c r="S1103" s="64"/>
      <c r="V1103" s="67"/>
      <c r="X1103" s="67"/>
    </row>
    <row r="1104" spans="1:24" s="27" customFormat="1">
      <c r="A1104" s="31"/>
      <c r="B1104" s="24"/>
      <c r="C1104" s="30"/>
      <c r="D1104" s="28"/>
      <c r="E1104" s="31"/>
      <c r="F1104" s="31"/>
      <c r="G1104" s="31"/>
      <c r="I1104" s="28"/>
      <c r="J1104" s="62"/>
      <c r="K1104" s="62"/>
      <c r="L1104" s="33"/>
      <c r="M1104" s="32"/>
      <c r="N1104" s="34"/>
      <c r="O1104" s="36"/>
      <c r="P1104" s="68"/>
      <c r="Q1104" s="24"/>
      <c r="R1104" s="24"/>
      <c r="S1104" s="64"/>
      <c r="V1104" s="67"/>
      <c r="X1104" s="67"/>
    </row>
    <row r="1105" spans="1:24" s="27" customFormat="1">
      <c r="A1105" s="31"/>
      <c r="B1105" s="24"/>
      <c r="C1105" s="30"/>
      <c r="D1105" s="28"/>
      <c r="E1105" s="31"/>
      <c r="F1105" s="31"/>
      <c r="G1105" s="31"/>
      <c r="I1105" s="28"/>
      <c r="J1105" s="62"/>
      <c r="K1105" s="62"/>
      <c r="L1105" s="33"/>
      <c r="M1105" s="32"/>
      <c r="N1105" s="34"/>
      <c r="O1105" s="36"/>
      <c r="P1105" s="68"/>
      <c r="Q1105" s="24"/>
      <c r="R1105" s="24"/>
      <c r="S1105" s="64"/>
      <c r="V1105" s="67"/>
      <c r="X1105" s="67"/>
    </row>
    <row r="1106" spans="1:24" s="27" customFormat="1">
      <c r="A1106" s="31"/>
      <c r="B1106" s="24"/>
      <c r="C1106" s="30"/>
      <c r="D1106" s="28"/>
      <c r="E1106" s="31"/>
      <c r="F1106" s="31"/>
      <c r="G1106" s="31"/>
      <c r="I1106" s="28"/>
      <c r="J1106" s="62"/>
      <c r="K1106" s="62"/>
      <c r="L1106" s="33"/>
      <c r="M1106" s="32"/>
      <c r="N1106" s="34"/>
      <c r="O1106" s="36"/>
      <c r="P1106" s="68"/>
      <c r="Q1106" s="24"/>
      <c r="R1106" s="24"/>
      <c r="S1106" s="64"/>
      <c r="V1106" s="67"/>
      <c r="X1106" s="67"/>
    </row>
    <row r="1107" spans="1:24" s="27" customFormat="1">
      <c r="A1107" s="31"/>
      <c r="B1107" s="24"/>
      <c r="C1107" s="30"/>
      <c r="D1107" s="28"/>
      <c r="E1107" s="31"/>
      <c r="F1107" s="31"/>
      <c r="G1107" s="31"/>
      <c r="I1107" s="28"/>
      <c r="J1107" s="62"/>
      <c r="K1107" s="62"/>
      <c r="L1107" s="33"/>
      <c r="M1107" s="32"/>
      <c r="N1107" s="34"/>
      <c r="O1107" s="36"/>
      <c r="P1107" s="68"/>
      <c r="Q1107" s="24"/>
      <c r="R1107" s="24"/>
      <c r="S1107" s="64"/>
      <c r="V1107" s="67"/>
      <c r="X1107" s="67"/>
    </row>
    <row r="1108" spans="1:24" s="27" customFormat="1">
      <c r="A1108" s="31"/>
      <c r="B1108" s="24"/>
      <c r="C1108" s="30"/>
      <c r="D1108" s="28"/>
      <c r="E1108" s="31"/>
      <c r="F1108" s="31"/>
      <c r="G1108" s="31"/>
      <c r="I1108" s="28"/>
      <c r="J1108" s="62"/>
      <c r="K1108" s="62"/>
      <c r="L1108" s="33"/>
      <c r="M1108" s="32"/>
      <c r="N1108" s="34"/>
      <c r="O1108" s="36"/>
      <c r="P1108" s="68"/>
      <c r="Q1108" s="24"/>
      <c r="R1108" s="24"/>
      <c r="S1108" s="64"/>
      <c r="V1108" s="67"/>
      <c r="X1108" s="67"/>
    </row>
    <row r="1109" spans="1:24" s="27" customFormat="1">
      <c r="A1109" s="31"/>
      <c r="B1109" s="24"/>
      <c r="C1109" s="30"/>
      <c r="D1109" s="28"/>
      <c r="E1109" s="31"/>
      <c r="F1109" s="31"/>
      <c r="G1109" s="31"/>
      <c r="I1109" s="28"/>
      <c r="J1109" s="62"/>
      <c r="K1109" s="62"/>
      <c r="L1109" s="33"/>
      <c r="M1109" s="32"/>
      <c r="N1109" s="34"/>
      <c r="O1109" s="36"/>
      <c r="P1109" s="68"/>
      <c r="Q1109" s="24"/>
      <c r="R1109" s="24"/>
      <c r="S1109" s="64"/>
      <c r="V1109" s="67"/>
      <c r="X1109" s="67"/>
    </row>
    <row r="1110" spans="1:24" s="27" customFormat="1">
      <c r="A1110" s="31"/>
      <c r="B1110" s="24"/>
      <c r="C1110" s="30"/>
      <c r="D1110" s="28"/>
      <c r="E1110" s="31"/>
      <c r="F1110" s="31"/>
      <c r="G1110" s="31"/>
      <c r="I1110" s="28"/>
      <c r="J1110" s="62"/>
      <c r="K1110" s="62"/>
      <c r="L1110" s="33"/>
      <c r="M1110" s="32"/>
      <c r="N1110" s="34"/>
      <c r="O1110" s="36"/>
      <c r="P1110" s="68"/>
      <c r="Q1110" s="24"/>
      <c r="R1110" s="24"/>
      <c r="S1110" s="64"/>
      <c r="V1110" s="67"/>
      <c r="X1110" s="67"/>
    </row>
    <row r="1111" spans="1:24" s="27" customFormat="1">
      <c r="A1111" s="31"/>
      <c r="B1111" s="24"/>
      <c r="C1111" s="30"/>
      <c r="D1111" s="28"/>
      <c r="E1111" s="31"/>
      <c r="F1111" s="31"/>
      <c r="G1111" s="31"/>
      <c r="I1111" s="28"/>
      <c r="J1111" s="62"/>
      <c r="K1111" s="62"/>
      <c r="L1111" s="33"/>
      <c r="M1111" s="32"/>
      <c r="N1111" s="34"/>
      <c r="O1111" s="36"/>
      <c r="P1111" s="68"/>
      <c r="Q1111" s="24"/>
      <c r="R1111" s="24"/>
      <c r="S1111" s="64"/>
      <c r="V1111" s="67"/>
      <c r="X1111" s="67"/>
    </row>
    <row r="1112" spans="1:24" s="27" customFormat="1">
      <c r="A1112" s="31"/>
      <c r="B1112" s="24"/>
      <c r="C1112" s="30"/>
      <c r="D1112" s="28"/>
      <c r="E1112" s="31"/>
      <c r="F1112" s="31"/>
      <c r="G1112" s="31"/>
      <c r="I1112" s="28"/>
      <c r="J1112" s="62"/>
      <c r="K1112" s="62"/>
      <c r="L1112" s="33"/>
      <c r="M1112" s="32"/>
      <c r="N1112" s="34"/>
      <c r="O1112" s="36"/>
      <c r="P1112" s="68"/>
      <c r="Q1112" s="24"/>
      <c r="R1112" s="24"/>
      <c r="S1112" s="64"/>
      <c r="V1112" s="67"/>
      <c r="X1112" s="67"/>
    </row>
    <row r="1113" spans="1:24" s="27" customFormat="1">
      <c r="A1113" s="31"/>
      <c r="B1113" s="24"/>
      <c r="C1113" s="30"/>
      <c r="D1113" s="28"/>
      <c r="E1113" s="31"/>
      <c r="F1113" s="31"/>
      <c r="G1113" s="31"/>
      <c r="I1113" s="28"/>
      <c r="J1113" s="62"/>
      <c r="K1113" s="62"/>
      <c r="L1113" s="33"/>
      <c r="M1113" s="32"/>
      <c r="N1113" s="34"/>
      <c r="O1113" s="36"/>
      <c r="P1113" s="68"/>
      <c r="Q1113" s="24"/>
      <c r="R1113" s="24"/>
      <c r="S1113" s="64"/>
      <c r="V1113" s="67"/>
      <c r="X1113" s="67"/>
    </row>
    <row r="1114" spans="1:24" s="27" customFormat="1">
      <c r="A1114" s="31"/>
      <c r="B1114" s="24"/>
      <c r="C1114" s="30"/>
      <c r="D1114" s="28"/>
      <c r="E1114" s="31"/>
      <c r="F1114" s="31"/>
      <c r="G1114" s="31"/>
      <c r="I1114" s="28"/>
      <c r="J1114" s="62"/>
      <c r="K1114" s="62"/>
      <c r="L1114" s="33"/>
      <c r="M1114" s="32"/>
      <c r="N1114" s="34"/>
      <c r="O1114" s="36"/>
      <c r="P1114" s="68"/>
      <c r="Q1114" s="24"/>
      <c r="R1114" s="24"/>
      <c r="S1114" s="64"/>
      <c r="V1114" s="67"/>
      <c r="X1114" s="67"/>
    </row>
    <row r="1115" spans="1:24" s="27" customFormat="1">
      <c r="A1115" s="31"/>
      <c r="B1115" s="24"/>
      <c r="C1115" s="30"/>
      <c r="D1115" s="28"/>
      <c r="E1115" s="31"/>
      <c r="F1115" s="31"/>
      <c r="G1115" s="31"/>
      <c r="I1115" s="28"/>
      <c r="J1115" s="62"/>
      <c r="K1115" s="62"/>
      <c r="L1115" s="33"/>
      <c r="M1115" s="32"/>
      <c r="N1115" s="34"/>
      <c r="O1115" s="36"/>
      <c r="P1115" s="68"/>
      <c r="Q1115" s="24"/>
      <c r="R1115" s="24"/>
      <c r="S1115" s="64"/>
      <c r="V1115" s="67"/>
      <c r="X1115" s="67"/>
    </row>
    <row r="1116" spans="1:24" s="27" customFormat="1">
      <c r="A1116" s="31"/>
      <c r="B1116" s="24"/>
      <c r="C1116" s="30"/>
      <c r="D1116" s="28"/>
      <c r="E1116" s="31"/>
      <c r="F1116" s="31"/>
      <c r="G1116" s="31"/>
      <c r="I1116" s="28"/>
      <c r="J1116" s="62"/>
      <c r="K1116" s="62"/>
      <c r="L1116" s="33"/>
      <c r="M1116" s="32"/>
      <c r="N1116" s="34"/>
      <c r="O1116" s="36"/>
      <c r="P1116" s="68"/>
      <c r="Q1116" s="24"/>
      <c r="R1116" s="24"/>
      <c r="S1116" s="64"/>
      <c r="V1116" s="67"/>
      <c r="X1116" s="67"/>
    </row>
    <row r="1117" spans="1:24" s="27" customFormat="1">
      <c r="A1117" s="31"/>
      <c r="B1117" s="24"/>
      <c r="C1117" s="30"/>
      <c r="D1117" s="28"/>
      <c r="E1117" s="31"/>
      <c r="F1117" s="31"/>
      <c r="G1117" s="31"/>
      <c r="I1117" s="28"/>
      <c r="J1117" s="62"/>
      <c r="K1117" s="62"/>
      <c r="L1117" s="33"/>
      <c r="M1117" s="32"/>
      <c r="N1117" s="34"/>
      <c r="O1117" s="36"/>
      <c r="P1117" s="68"/>
      <c r="Q1117" s="24"/>
      <c r="R1117" s="24"/>
      <c r="S1117" s="64"/>
      <c r="V1117" s="67"/>
      <c r="X1117" s="67"/>
    </row>
    <row r="1118" spans="1:24" s="27" customFormat="1">
      <c r="A1118" s="31"/>
      <c r="B1118" s="24"/>
      <c r="C1118" s="30"/>
      <c r="D1118" s="28"/>
      <c r="E1118" s="31"/>
      <c r="F1118" s="31"/>
      <c r="G1118" s="31"/>
      <c r="I1118" s="28"/>
      <c r="J1118" s="62"/>
      <c r="K1118" s="62"/>
      <c r="L1118" s="33"/>
      <c r="M1118" s="32"/>
      <c r="N1118" s="34"/>
      <c r="O1118" s="36"/>
      <c r="P1118" s="68"/>
      <c r="Q1118" s="24"/>
      <c r="R1118" s="24"/>
      <c r="S1118" s="64"/>
      <c r="V1118" s="67"/>
      <c r="X1118" s="67"/>
    </row>
    <row r="1119" spans="1:24" s="27" customFormat="1">
      <c r="A1119" s="31"/>
      <c r="B1119" s="24"/>
      <c r="C1119" s="30"/>
      <c r="D1119" s="28"/>
      <c r="E1119" s="31"/>
      <c r="F1119" s="31"/>
      <c r="G1119" s="31"/>
      <c r="I1119" s="28"/>
      <c r="J1119" s="62"/>
      <c r="K1119" s="62"/>
      <c r="L1119" s="33"/>
      <c r="M1119" s="32"/>
      <c r="N1119" s="34"/>
      <c r="O1119" s="36"/>
      <c r="P1119" s="68"/>
      <c r="Q1119" s="24"/>
      <c r="R1119" s="24"/>
      <c r="S1119" s="64"/>
      <c r="V1119" s="67"/>
      <c r="X1119" s="67"/>
    </row>
    <row r="1120" spans="1:24" s="27" customFormat="1">
      <c r="A1120" s="31"/>
      <c r="B1120" s="24"/>
      <c r="C1120" s="30"/>
      <c r="D1120" s="28"/>
      <c r="E1120" s="31"/>
      <c r="F1120" s="31"/>
      <c r="G1120" s="31"/>
      <c r="I1120" s="28"/>
      <c r="J1120" s="62"/>
      <c r="K1120" s="62"/>
      <c r="L1120" s="33"/>
      <c r="M1120" s="32"/>
      <c r="N1120" s="34"/>
      <c r="O1120" s="36"/>
      <c r="P1120" s="68"/>
      <c r="Q1120" s="24"/>
      <c r="R1120" s="24"/>
      <c r="S1120" s="64"/>
      <c r="V1120" s="67"/>
      <c r="X1120" s="67"/>
    </row>
    <row r="1121" spans="1:24" s="27" customFormat="1">
      <c r="A1121" s="31"/>
      <c r="B1121" s="24"/>
      <c r="C1121" s="30"/>
      <c r="D1121" s="28"/>
      <c r="E1121" s="31"/>
      <c r="F1121" s="31"/>
      <c r="G1121" s="31"/>
      <c r="I1121" s="28"/>
      <c r="J1121" s="62"/>
      <c r="K1121" s="62"/>
      <c r="L1121" s="33"/>
      <c r="M1121" s="32"/>
      <c r="N1121" s="34"/>
      <c r="O1121" s="36"/>
      <c r="P1121" s="68"/>
      <c r="Q1121" s="24"/>
      <c r="R1121" s="24"/>
      <c r="S1121" s="64"/>
      <c r="V1121" s="67"/>
      <c r="X1121" s="67"/>
    </row>
    <row r="1122" spans="1:24" s="27" customFormat="1">
      <c r="A1122" s="31"/>
      <c r="B1122" s="24"/>
      <c r="C1122" s="30"/>
      <c r="D1122" s="28"/>
      <c r="E1122" s="31"/>
      <c r="F1122" s="31"/>
      <c r="G1122" s="31"/>
      <c r="I1122" s="28"/>
      <c r="J1122" s="62"/>
      <c r="K1122" s="62"/>
      <c r="L1122" s="33"/>
      <c r="M1122" s="32"/>
      <c r="N1122" s="34"/>
      <c r="O1122" s="36"/>
      <c r="P1122" s="68"/>
      <c r="Q1122" s="24"/>
      <c r="R1122" s="24"/>
      <c r="S1122" s="64"/>
      <c r="V1122" s="67"/>
      <c r="X1122" s="67"/>
    </row>
    <row r="1123" spans="1:24" s="27" customFormat="1">
      <c r="A1123" s="31"/>
      <c r="B1123" s="24"/>
      <c r="C1123" s="30"/>
      <c r="D1123" s="28"/>
      <c r="E1123" s="31"/>
      <c r="F1123" s="31"/>
      <c r="G1123" s="31"/>
      <c r="I1123" s="28"/>
      <c r="J1123" s="62"/>
      <c r="K1123" s="62"/>
      <c r="L1123" s="33"/>
      <c r="M1123" s="32"/>
      <c r="N1123" s="34"/>
      <c r="O1123" s="36"/>
      <c r="P1123" s="68"/>
      <c r="Q1123" s="24"/>
      <c r="R1123" s="24"/>
      <c r="S1123" s="64"/>
      <c r="V1123" s="67"/>
      <c r="X1123" s="67"/>
    </row>
    <row r="1124" spans="1:24" s="27" customFormat="1">
      <c r="A1124" s="31"/>
      <c r="B1124" s="24"/>
      <c r="C1124" s="30"/>
      <c r="D1124" s="28"/>
      <c r="E1124" s="31"/>
      <c r="F1124" s="31"/>
      <c r="G1124" s="31"/>
      <c r="I1124" s="28"/>
      <c r="J1124" s="62"/>
      <c r="K1124" s="62"/>
      <c r="L1124" s="33"/>
      <c r="M1124" s="32"/>
      <c r="N1124" s="34"/>
      <c r="O1124" s="36"/>
      <c r="P1124" s="68"/>
      <c r="Q1124" s="24"/>
      <c r="R1124" s="24"/>
      <c r="S1124" s="64"/>
      <c r="V1124" s="67"/>
      <c r="X1124" s="67"/>
    </row>
    <row r="1125" spans="1:24" s="27" customFormat="1">
      <c r="A1125" s="31"/>
      <c r="B1125" s="24"/>
      <c r="C1125" s="30"/>
      <c r="D1125" s="28"/>
      <c r="E1125" s="31"/>
      <c r="F1125" s="31"/>
      <c r="G1125" s="31"/>
      <c r="I1125" s="28"/>
      <c r="J1125" s="62"/>
      <c r="K1125" s="62"/>
      <c r="L1125" s="33"/>
      <c r="M1125" s="32"/>
      <c r="N1125" s="34"/>
      <c r="O1125" s="36"/>
      <c r="P1125" s="68"/>
      <c r="Q1125" s="24"/>
      <c r="R1125" s="24"/>
      <c r="S1125" s="64"/>
      <c r="V1125" s="67"/>
      <c r="X1125" s="67"/>
    </row>
    <row r="1126" spans="1:24" s="27" customFormat="1">
      <c r="A1126" s="31"/>
      <c r="B1126" s="24"/>
      <c r="C1126" s="30"/>
      <c r="D1126" s="28"/>
      <c r="E1126" s="31"/>
      <c r="F1126" s="31"/>
      <c r="G1126" s="31"/>
      <c r="I1126" s="28"/>
      <c r="J1126" s="62"/>
      <c r="K1126" s="62"/>
      <c r="L1126" s="33"/>
      <c r="M1126" s="32"/>
      <c r="N1126" s="34"/>
      <c r="O1126" s="36"/>
      <c r="P1126" s="68"/>
      <c r="Q1126" s="24"/>
      <c r="R1126" s="24"/>
      <c r="S1126" s="64"/>
      <c r="V1126" s="67"/>
      <c r="X1126" s="67"/>
    </row>
    <row r="1127" spans="1:24" s="27" customFormat="1">
      <c r="A1127" s="31"/>
      <c r="B1127" s="24"/>
      <c r="C1127" s="30"/>
      <c r="D1127" s="28"/>
      <c r="E1127" s="31"/>
      <c r="F1127" s="31"/>
      <c r="G1127" s="31"/>
      <c r="I1127" s="28"/>
      <c r="J1127" s="62"/>
      <c r="K1127" s="62"/>
      <c r="L1127" s="33"/>
      <c r="M1127" s="32"/>
      <c r="N1127" s="34"/>
      <c r="O1127" s="36"/>
      <c r="P1127" s="68"/>
      <c r="Q1127" s="24"/>
      <c r="R1127" s="24"/>
      <c r="S1127" s="64"/>
      <c r="V1127" s="67"/>
      <c r="X1127" s="67"/>
    </row>
    <row r="1128" spans="1:24" s="27" customFormat="1">
      <c r="A1128" s="31"/>
      <c r="B1128" s="24"/>
      <c r="C1128" s="30"/>
      <c r="D1128" s="28"/>
      <c r="E1128" s="31"/>
      <c r="F1128" s="31"/>
      <c r="G1128" s="31"/>
      <c r="I1128" s="28"/>
      <c r="J1128" s="62"/>
      <c r="K1128" s="62"/>
      <c r="L1128" s="33"/>
      <c r="M1128" s="32"/>
      <c r="N1128" s="34"/>
      <c r="O1128" s="36"/>
      <c r="P1128" s="68"/>
      <c r="Q1128" s="24"/>
      <c r="R1128" s="24"/>
      <c r="S1128" s="64"/>
      <c r="V1128" s="67"/>
      <c r="X1128" s="67"/>
    </row>
    <row r="1129" spans="1:24" s="27" customFormat="1">
      <c r="A1129" s="31"/>
      <c r="B1129" s="24"/>
      <c r="C1129" s="30"/>
      <c r="D1129" s="28"/>
      <c r="E1129" s="31"/>
      <c r="F1129" s="31"/>
      <c r="G1129" s="31"/>
      <c r="I1129" s="28"/>
      <c r="J1129" s="62"/>
      <c r="K1129" s="62"/>
      <c r="L1129" s="33"/>
      <c r="M1129" s="32"/>
      <c r="N1129" s="34"/>
      <c r="O1129" s="36"/>
      <c r="P1129" s="68"/>
      <c r="Q1129" s="24"/>
      <c r="R1129" s="24"/>
      <c r="S1129" s="64"/>
      <c r="V1129" s="67"/>
      <c r="X1129" s="67"/>
    </row>
    <row r="1130" spans="1:24" s="27" customFormat="1">
      <c r="A1130" s="31"/>
      <c r="B1130" s="24"/>
      <c r="C1130" s="30"/>
      <c r="D1130" s="28"/>
      <c r="E1130" s="31"/>
      <c r="F1130" s="31"/>
      <c r="G1130" s="31"/>
      <c r="I1130" s="28"/>
      <c r="J1130" s="62"/>
      <c r="K1130" s="62"/>
      <c r="L1130" s="33"/>
      <c r="M1130" s="32"/>
      <c r="N1130" s="34"/>
      <c r="O1130" s="36"/>
      <c r="P1130" s="68"/>
      <c r="Q1130" s="24"/>
      <c r="R1130" s="24"/>
      <c r="S1130" s="64"/>
      <c r="V1130" s="67"/>
      <c r="X1130" s="67"/>
    </row>
    <row r="1131" spans="1:24" s="27" customFormat="1">
      <c r="A1131" s="31"/>
      <c r="B1131" s="24"/>
      <c r="C1131" s="30"/>
      <c r="D1131" s="28"/>
      <c r="E1131" s="31"/>
      <c r="F1131" s="31"/>
      <c r="G1131" s="31"/>
      <c r="I1131" s="28"/>
      <c r="J1131" s="62"/>
      <c r="K1131" s="62"/>
      <c r="L1131" s="33"/>
      <c r="M1131" s="32"/>
      <c r="N1131" s="34"/>
      <c r="O1131" s="36"/>
      <c r="P1131" s="68"/>
      <c r="Q1131" s="24"/>
      <c r="R1131" s="24"/>
      <c r="S1131" s="64"/>
      <c r="V1131" s="67"/>
      <c r="X1131" s="67"/>
    </row>
    <row r="1132" spans="1:24" s="27" customFormat="1">
      <c r="A1132" s="31"/>
      <c r="B1132" s="24"/>
      <c r="C1132" s="30"/>
      <c r="D1132" s="28"/>
      <c r="E1132" s="31"/>
      <c r="F1132" s="31"/>
      <c r="G1132" s="31"/>
      <c r="I1132" s="28"/>
      <c r="J1132" s="62"/>
      <c r="K1132" s="62"/>
      <c r="L1132" s="33"/>
      <c r="M1132" s="32"/>
      <c r="N1132" s="34"/>
      <c r="O1132" s="36"/>
      <c r="P1132" s="68"/>
      <c r="Q1132" s="24"/>
      <c r="R1132" s="24"/>
      <c r="S1132" s="64"/>
      <c r="V1132" s="67"/>
      <c r="X1132" s="67"/>
    </row>
    <row r="1133" spans="1:24" s="27" customFormat="1">
      <c r="A1133" s="31"/>
      <c r="B1133" s="24"/>
      <c r="C1133" s="30"/>
      <c r="D1133" s="28"/>
      <c r="E1133" s="31"/>
      <c r="F1133" s="31"/>
      <c r="G1133" s="31"/>
      <c r="I1133" s="28"/>
      <c r="J1133" s="62"/>
      <c r="K1133" s="62"/>
      <c r="L1133" s="33"/>
      <c r="M1133" s="32"/>
      <c r="N1133" s="34"/>
      <c r="O1133" s="36"/>
      <c r="P1133" s="68"/>
      <c r="Q1133" s="24"/>
      <c r="R1133" s="24"/>
      <c r="S1133" s="64"/>
      <c r="V1133" s="67"/>
      <c r="X1133" s="67"/>
    </row>
    <row r="1134" spans="1:24" s="27" customFormat="1">
      <c r="A1134" s="31"/>
      <c r="B1134" s="24"/>
      <c r="C1134" s="30"/>
      <c r="D1134" s="28"/>
      <c r="E1134" s="31"/>
      <c r="F1134" s="31"/>
      <c r="G1134" s="31"/>
      <c r="I1134" s="28"/>
      <c r="J1134" s="62"/>
      <c r="K1134" s="62"/>
      <c r="L1134" s="33"/>
      <c r="M1134" s="32"/>
      <c r="N1134" s="34"/>
      <c r="O1134" s="36"/>
      <c r="P1134" s="68"/>
      <c r="Q1134" s="24"/>
      <c r="R1134" s="24"/>
      <c r="S1134" s="64"/>
      <c r="V1134" s="67"/>
      <c r="X1134" s="67"/>
    </row>
    <row r="1135" spans="1:24" s="27" customFormat="1">
      <c r="A1135" s="31"/>
      <c r="B1135" s="24"/>
      <c r="C1135" s="30"/>
      <c r="D1135" s="28"/>
      <c r="E1135" s="31"/>
      <c r="F1135" s="31"/>
      <c r="G1135" s="31"/>
      <c r="I1135" s="28"/>
      <c r="J1135" s="62"/>
      <c r="K1135" s="62"/>
      <c r="L1135" s="33"/>
      <c r="M1135" s="32"/>
      <c r="N1135" s="34"/>
      <c r="O1135" s="36"/>
      <c r="P1135" s="68"/>
      <c r="Q1135" s="24"/>
      <c r="R1135" s="24"/>
      <c r="S1135" s="64"/>
      <c r="V1135" s="67"/>
      <c r="X1135" s="67"/>
    </row>
    <row r="1136" spans="1:24" s="27" customFormat="1">
      <c r="A1136" s="31"/>
      <c r="B1136" s="24"/>
      <c r="C1136" s="30"/>
      <c r="D1136" s="28"/>
      <c r="E1136" s="31"/>
      <c r="F1136" s="31"/>
      <c r="G1136" s="31"/>
      <c r="I1136" s="28"/>
      <c r="J1136" s="62"/>
      <c r="K1136" s="62"/>
      <c r="L1136" s="33"/>
      <c r="M1136" s="32"/>
      <c r="N1136" s="34"/>
      <c r="O1136" s="36"/>
      <c r="P1136" s="68"/>
      <c r="Q1136" s="24"/>
      <c r="R1136" s="24"/>
      <c r="S1136" s="64"/>
      <c r="V1136" s="67"/>
      <c r="X1136" s="67"/>
    </row>
    <row r="1137" spans="1:24" s="27" customFormat="1">
      <c r="A1137" s="31"/>
      <c r="B1137" s="24"/>
      <c r="C1137" s="30"/>
      <c r="D1137" s="28"/>
      <c r="E1137" s="31"/>
      <c r="F1137" s="31"/>
      <c r="G1137" s="31"/>
      <c r="I1137" s="28"/>
      <c r="J1137" s="62"/>
      <c r="K1137" s="62"/>
      <c r="L1137" s="33"/>
      <c r="M1137" s="32"/>
      <c r="N1137" s="34"/>
      <c r="O1137" s="36"/>
      <c r="P1137" s="68"/>
      <c r="Q1137" s="24"/>
      <c r="R1137" s="24"/>
      <c r="S1137" s="64"/>
      <c r="V1137" s="67"/>
      <c r="X1137" s="67"/>
    </row>
    <row r="1138" spans="1:24" s="27" customFormat="1">
      <c r="A1138" s="31"/>
      <c r="B1138" s="24"/>
      <c r="C1138" s="30"/>
      <c r="D1138" s="28"/>
      <c r="E1138" s="31"/>
      <c r="F1138" s="31"/>
      <c r="G1138" s="31"/>
      <c r="I1138" s="28"/>
      <c r="J1138" s="62"/>
      <c r="K1138" s="62"/>
      <c r="L1138" s="33"/>
      <c r="M1138" s="32"/>
      <c r="N1138" s="34"/>
      <c r="O1138" s="36"/>
      <c r="P1138" s="68"/>
      <c r="Q1138" s="24"/>
      <c r="R1138" s="24"/>
      <c r="S1138" s="64"/>
      <c r="V1138" s="67"/>
      <c r="X1138" s="67"/>
    </row>
    <row r="1139" spans="1:24" s="27" customFormat="1">
      <c r="A1139" s="31"/>
      <c r="B1139" s="24"/>
      <c r="C1139" s="30"/>
      <c r="D1139" s="28"/>
      <c r="E1139" s="31"/>
      <c r="F1139" s="31"/>
      <c r="G1139" s="31"/>
      <c r="I1139" s="28"/>
      <c r="J1139" s="62"/>
      <c r="K1139" s="62"/>
      <c r="L1139" s="33"/>
      <c r="M1139" s="32"/>
      <c r="N1139" s="34"/>
      <c r="O1139" s="36"/>
      <c r="P1139" s="68"/>
      <c r="Q1139" s="24"/>
      <c r="R1139" s="24"/>
      <c r="S1139" s="64"/>
      <c r="V1139" s="67"/>
      <c r="X1139" s="67"/>
    </row>
    <row r="1140" spans="1:24" s="27" customFormat="1">
      <c r="A1140" s="31"/>
      <c r="B1140" s="24"/>
      <c r="C1140" s="30"/>
      <c r="D1140" s="28"/>
      <c r="E1140" s="31"/>
      <c r="F1140" s="31"/>
      <c r="G1140" s="31"/>
      <c r="I1140" s="28"/>
      <c r="J1140" s="62"/>
      <c r="K1140" s="62"/>
      <c r="L1140" s="33"/>
      <c r="M1140" s="32"/>
      <c r="N1140" s="34"/>
      <c r="O1140" s="36"/>
      <c r="P1140" s="68"/>
      <c r="Q1140" s="24"/>
      <c r="R1140" s="24"/>
      <c r="S1140" s="64"/>
      <c r="V1140" s="67"/>
      <c r="X1140" s="67"/>
    </row>
    <row r="1141" spans="1:24" s="27" customFormat="1">
      <c r="A1141" s="31"/>
      <c r="B1141" s="24"/>
      <c r="C1141" s="30"/>
      <c r="D1141" s="28"/>
      <c r="E1141" s="31"/>
      <c r="F1141" s="31"/>
      <c r="G1141" s="31"/>
      <c r="I1141" s="28"/>
      <c r="J1141" s="62"/>
      <c r="K1141" s="62"/>
      <c r="L1141" s="33"/>
      <c r="M1141" s="32"/>
      <c r="N1141" s="34"/>
      <c r="O1141" s="36"/>
      <c r="P1141" s="68"/>
      <c r="Q1141" s="24"/>
      <c r="R1141" s="24"/>
      <c r="S1141" s="64"/>
      <c r="V1141" s="67"/>
      <c r="X1141" s="67"/>
    </row>
    <row r="1142" spans="1:24" s="27" customFormat="1">
      <c r="A1142" s="31"/>
      <c r="B1142" s="24"/>
      <c r="C1142" s="30"/>
      <c r="D1142" s="28"/>
      <c r="E1142" s="31"/>
      <c r="F1142" s="31"/>
      <c r="G1142" s="31"/>
      <c r="I1142" s="28"/>
      <c r="J1142" s="62"/>
      <c r="K1142" s="62"/>
      <c r="L1142" s="33"/>
      <c r="M1142" s="32"/>
      <c r="N1142" s="34"/>
      <c r="O1142" s="36"/>
      <c r="P1142" s="68"/>
      <c r="Q1142" s="24"/>
      <c r="R1142" s="24"/>
      <c r="S1142" s="64"/>
      <c r="V1142" s="67"/>
      <c r="X1142" s="67"/>
    </row>
    <row r="1143" spans="1:24" s="27" customFormat="1">
      <c r="A1143" s="31"/>
      <c r="B1143" s="24"/>
      <c r="C1143" s="30"/>
      <c r="D1143" s="28"/>
      <c r="E1143" s="31"/>
      <c r="F1143" s="31"/>
      <c r="G1143" s="31"/>
      <c r="I1143" s="28"/>
      <c r="J1143" s="62"/>
      <c r="K1143" s="62"/>
      <c r="L1143" s="33"/>
      <c r="M1143" s="32"/>
      <c r="N1143" s="34"/>
      <c r="O1143" s="36"/>
      <c r="P1143" s="68"/>
      <c r="Q1143" s="24"/>
      <c r="R1143" s="24"/>
      <c r="S1143" s="64"/>
      <c r="V1143" s="67"/>
      <c r="X1143" s="67"/>
    </row>
    <row r="1144" spans="1:24" s="27" customFormat="1">
      <c r="A1144" s="31"/>
      <c r="B1144" s="24"/>
      <c r="C1144" s="30"/>
      <c r="D1144" s="28"/>
      <c r="E1144" s="31"/>
      <c r="F1144" s="31"/>
      <c r="G1144" s="31"/>
      <c r="I1144" s="28"/>
      <c r="J1144" s="62"/>
      <c r="K1144" s="62"/>
      <c r="L1144" s="33"/>
      <c r="M1144" s="32"/>
      <c r="N1144" s="34"/>
      <c r="O1144" s="36"/>
      <c r="P1144" s="68"/>
      <c r="Q1144" s="24"/>
      <c r="R1144" s="24"/>
      <c r="S1144" s="64"/>
      <c r="V1144" s="67"/>
      <c r="X1144" s="67"/>
    </row>
    <row r="1145" spans="1:24" s="27" customFormat="1">
      <c r="A1145" s="31"/>
      <c r="B1145" s="24"/>
      <c r="C1145" s="30"/>
      <c r="D1145" s="28"/>
      <c r="E1145" s="31"/>
      <c r="F1145" s="31"/>
      <c r="G1145" s="31"/>
      <c r="I1145" s="28"/>
      <c r="J1145" s="62"/>
      <c r="K1145" s="62"/>
      <c r="L1145" s="33"/>
      <c r="M1145" s="32"/>
      <c r="N1145" s="34"/>
      <c r="O1145" s="36"/>
      <c r="P1145" s="68"/>
      <c r="Q1145" s="24"/>
      <c r="R1145" s="24"/>
      <c r="S1145" s="64"/>
      <c r="V1145" s="67"/>
      <c r="X1145" s="67"/>
    </row>
    <row r="1146" spans="1:24" s="27" customFormat="1">
      <c r="A1146" s="31"/>
      <c r="B1146" s="24"/>
      <c r="C1146" s="30"/>
      <c r="D1146" s="28"/>
      <c r="E1146" s="31"/>
      <c r="F1146" s="31"/>
      <c r="G1146" s="31"/>
      <c r="I1146" s="28"/>
      <c r="J1146" s="62"/>
      <c r="K1146" s="62"/>
      <c r="L1146" s="33"/>
      <c r="M1146" s="32"/>
      <c r="N1146" s="34"/>
      <c r="O1146" s="36"/>
      <c r="P1146" s="68"/>
      <c r="Q1146" s="24"/>
      <c r="R1146" s="24"/>
      <c r="S1146" s="64"/>
      <c r="V1146" s="67"/>
      <c r="X1146" s="67"/>
    </row>
    <row r="1147" spans="1:24" s="27" customFormat="1">
      <c r="A1147" s="31"/>
      <c r="B1147" s="24"/>
      <c r="C1147" s="30"/>
      <c r="D1147" s="28"/>
      <c r="E1147" s="31"/>
      <c r="F1147" s="31"/>
      <c r="G1147" s="31"/>
      <c r="I1147" s="28"/>
      <c r="J1147" s="62"/>
      <c r="K1147" s="62"/>
      <c r="L1147" s="33"/>
      <c r="M1147" s="32"/>
      <c r="N1147" s="34"/>
      <c r="O1147" s="36"/>
      <c r="P1147" s="68"/>
      <c r="Q1147" s="24"/>
      <c r="R1147" s="24"/>
      <c r="S1147" s="64"/>
      <c r="V1147" s="67"/>
      <c r="X1147" s="67"/>
    </row>
    <row r="1148" spans="1:24" s="27" customFormat="1">
      <c r="A1148" s="31"/>
      <c r="B1148" s="24"/>
      <c r="C1148" s="30"/>
      <c r="D1148" s="28"/>
      <c r="E1148" s="31"/>
      <c r="F1148" s="31"/>
      <c r="G1148" s="31"/>
      <c r="I1148" s="28"/>
      <c r="J1148" s="62"/>
      <c r="K1148" s="62"/>
      <c r="L1148" s="33"/>
      <c r="M1148" s="32"/>
      <c r="N1148" s="34"/>
      <c r="O1148" s="36"/>
      <c r="P1148" s="68"/>
      <c r="Q1148" s="24"/>
      <c r="R1148" s="24"/>
      <c r="S1148" s="64"/>
      <c r="V1148" s="67"/>
      <c r="X1148" s="67"/>
    </row>
    <row r="1149" spans="1:24" s="27" customFormat="1">
      <c r="A1149" s="31"/>
      <c r="B1149" s="24"/>
      <c r="C1149" s="30"/>
      <c r="D1149" s="28"/>
      <c r="E1149" s="31"/>
      <c r="F1149" s="31"/>
      <c r="G1149" s="31"/>
      <c r="I1149" s="28"/>
      <c r="J1149" s="62"/>
      <c r="K1149" s="62"/>
      <c r="L1149" s="33"/>
      <c r="M1149" s="32"/>
      <c r="N1149" s="34"/>
      <c r="O1149" s="36"/>
      <c r="P1149" s="68"/>
      <c r="Q1149" s="24"/>
      <c r="R1149" s="24"/>
      <c r="S1149" s="64"/>
      <c r="V1149" s="67"/>
      <c r="X1149" s="67"/>
    </row>
    <row r="1150" spans="1:24" s="27" customFormat="1">
      <c r="A1150" s="31"/>
      <c r="B1150" s="24"/>
      <c r="C1150" s="30"/>
      <c r="D1150" s="28"/>
      <c r="E1150" s="31"/>
      <c r="F1150" s="31"/>
      <c r="G1150" s="31"/>
      <c r="I1150" s="28"/>
      <c r="J1150" s="62"/>
      <c r="K1150" s="62"/>
      <c r="L1150" s="33"/>
      <c r="M1150" s="32"/>
      <c r="N1150" s="34"/>
      <c r="O1150" s="36"/>
      <c r="P1150" s="68"/>
      <c r="Q1150" s="24"/>
      <c r="R1150" s="24"/>
      <c r="S1150" s="64"/>
      <c r="V1150" s="67"/>
      <c r="X1150" s="67"/>
    </row>
    <row r="1151" spans="1:24" s="27" customFormat="1">
      <c r="A1151" s="31"/>
      <c r="B1151" s="24"/>
      <c r="C1151" s="30"/>
      <c r="D1151" s="28"/>
      <c r="E1151" s="31"/>
      <c r="F1151" s="31"/>
      <c r="G1151" s="31"/>
      <c r="I1151" s="28"/>
      <c r="J1151" s="62"/>
      <c r="K1151" s="62"/>
      <c r="L1151" s="33"/>
      <c r="M1151" s="32"/>
      <c r="N1151" s="34"/>
      <c r="O1151" s="36"/>
      <c r="P1151" s="68"/>
      <c r="Q1151" s="24"/>
      <c r="R1151" s="24"/>
      <c r="S1151" s="64"/>
      <c r="V1151" s="67"/>
      <c r="X1151" s="67"/>
    </row>
    <row r="1152" spans="1:24" s="27" customFormat="1">
      <c r="A1152" s="31"/>
      <c r="B1152" s="24"/>
      <c r="C1152" s="30"/>
      <c r="D1152" s="28"/>
      <c r="E1152" s="31"/>
      <c r="F1152" s="31"/>
      <c r="G1152" s="31"/>
      <c r="I1152" s="28"/>
      <c r="J1152" s="62"/>
      <c r="K1152" s="62"/>
      <c r="L1152" s="33"/>
      <c r="M1152" s="32"/>
      <c r="N1152" s="34"/>
      <c r="O1152" s="36"/>
      <c r="P1152" s="68"/>
      <c r="Q1152" s="24"/>
      <c r="R1152" s="24"/>
      <c r="S1152" s="64"/>
      <c r="V1152" s="67"/>
      <c r="X1152" s="67"/>
    </row>
    <row r="1153" spans="1:24" s="27" customFormat="1">
      <c r="A1153" s="31"/>
      <c r="B1153" s="24"/>
      <c r="C1153" s="30"/>
      <c r="D1153" s="28"/>
      <c r="E1153" s="31"/>
      <c r="F1153" s="31"/>
      <c r="G1153" s="31"/>
      <c r="I1153" s="28"/>
      <c r="J1153" s="62"/>
      <c r="K1153" s="62"/>
      <c r="L1153" s="33"/>
      <c r="M1153" s="32"/>
      <c r="N1153" s="34"/>
      <c r="O1153" s="36"/>
      <c r="P1153" s="68"/>
      <c r="Q1153" s="24"/>
      <c r="R1153" s="24"/>
      <c r="S1153" s="64"/>
      <c r="V1153" s="67"/>
      <c r="X1153" s="67"/>
    </row>
    <row r="1154" spans="1:24" s="27" customFormat="1">
      <c r="A1154" s="31"/>
      <c r="B1154" s="24"/>
      <c r="C1154" s="30"/>
      <c r="D1154" s="28"/>
      <c r="E1154" s="31"/>
      <c r="F1154" s="31"/>
      <c r="G1154" s="31"/>
      <c r="I1154" s="28"/>
      <c r="J1154" s="62"/>
      <c r="K1154" s="62"/>
      <c r="L1154" s="33"/>
      <c r="M1154" s="32"/>
      <c r="N1154" s="34"/>
      <c r="O1154" s="36"/>
      <c r="P1154" s="68"/>
      <c r="Q1154" s="24"/>
      <c r="R1154" s="24"/>
      <c r="S1154" s="64"/>
      <c r="V1154" s="67"/>
      <c r="X1154" s="67"/>
    </row>
    <row r="1155" spans="1:24" s="27" customFormat="1">
      <c r="A1155" s="31"/>
      <c r="B1155" s="24"/>
      <c r="C1155" s="30"/>
      <c r="D1155" s="28"/>
      <c r="E1155" s="31"/>
      <c r="F1155" s="31"/>
      <c r="G1155" s="31"/>
      <c r="I1155" s="28"/>
      <c r="J1155" s="62"/>
      <c r="K1155" s="62"/>
      <c r="L1155" s="33"/>
      <c r="M1155" s="32"/>
      <c r="N1155" s="34"/>
      <c r="O1155" s="36"/>
      <c r="P1155" s="68"/>
      <c r="Q1155" s="24"/>
      <c r="R1155" s="24"/>
      <c r="S1155" s="64"/>
      <c r="V1155" s="67"/>
      <c r="X1155" s="67"/>
    </row>
    <row r="1156" spans="1:24" s="27" customFormat="1">
      <c r="A1156" s="31"/>
      <c r="B1156" s="24"/>
      <c r="C1156" s="30"/>
      <c r="D1156" s="28"/>
      <c r="E1156" s="31"/>
      <c r="F1156" s="31"/>
      <c r="G1156" s="31"/>
      <c r="I1156" s="28"/>
      <c r="J1156" s="62"/>
      <c r="K1156" s="62"/>
      <c r="L1156" s="33"/>
      <c r="M1156" s="32"/>
      <c r="N1156" s="34"/>
      <c r="O1156" s="36"/>
      <c r="P1156" s="68"/>
      <c r="Q1156" s="24"/>
      <c r="R1156" s="24"/>
      <c r="S1156" s="64"/>
      <c r="V1156" s="67"/>
      <c r="X1156" s="67"/>
    </row>
    <row r="1157" spans="1:24" s="27" customFormat="1">
      <c r="A1157" s="31"/>
      <c r="B1157" s="24"/>
      <c r="C1157" s="30"/>
      <c r="D1157" s="28"/>
      <c r="E1157" s="31"/>
      <c r="F1157" s="31"/>
      <c r="G1157" s="31"/>
      <c r="I1157" s="28"/>
      <c r="J1157" s="62"/>
      <c r="K1157" s="62"/>
      <c r="L1157" s="33"/>
      <c r="M1157" s="32"/>
      <c r="N1157" s="34"/>
      <c r="O1157" s="36"/>
      <c r="P1157" s="68"/>
      <c r="Q1157" s="24"/>
      <c r="R1157" s="24"/>
      <c r="S1157" s="64"/>
      <c r="V1157" s="67"/>
      <c r="X1157" s="67"/>
    </row>
    <row r="1158" spans="1:24" s="27" customFormat="1">
      <c r="A1158" s="31"/>
      <c r="B1158" s="24"/>
      <c r="C1158" s="30"/>
      <c r="D1158" s="28"/>
      <c r="E1158" s="31"/>
      <c r="F1158" s="31"/>
      <c r="G1158" s="31"/>
      <c r="I1158" s="28"/>
      <c r="J1158" s="62"/>
      <c r="K1158" s="62"/>
      <c r="L1158" s="33"/>
      <c r="M1158" s="32"/>
      <c r="N1158" s="34"/>
      <c r="O1158" s="36"/>
      <c r="P1158" s="68"/>
      <c r="Q1158" s="24"/>
      <c r="R1158" s="24"/>
      <c r="S1158" s="64"/>
      <c r="V1158" s="67"/>
      <c r="X1158" s="67"/>
    </row>
    <row r="1159" spans="1:24" s="27" customFormat="1">
      <c r="A1159" s="31"/>
      <c r="B1159" s="24"/>
      <c r="C1159" s="30"/>
      <c r="D1159" s="28"/>
      <c r="E1159" s="31"/>
      <c r="F1159" s="31"/>
      <c r="G1159" s="31"/>
      <c r="I1159" s="28"/>
      <c r="J1159" s="62"/>
      <c r="K1159" s="62"/>
      <c r="L1159" s="33"/>
      <c r="M1159" s="32"/>
      <c r="N1159" s="34"/>
      <c r="O1159" s="36"/>
      <c r="P1159" s="68"/>
      <c r="Q1159" s="24"/>
      <c r="R1159" s="24"/>
      <c r="S1159" s="64"/>
      <c r="V1159" s="67"/>
      <c r="X1159" s="67"/>
    </row>
    <row r="1160" spans="1:24" s="27" customFormat="1">
      <c r="A1160" s="31"/>
      <c r="B1160" s="24"/>
      <c r="C1160" s="30"/>
      <c r="D1160" s="28"/>
      <c r="E1160" s="31"/>
      <c r="F1160" s="31"/>
      <c r="G1160" s="31"/>
      <c r="I1160" s="28"/>
      <c r="J1160" s="62"/>
      <c r="K1160" s="62"/>
      <c r="L1160" s="33"/>
      <c r="M1160" s="32"/>
      <c r="N1160" s="34"/>
      <c r="O1160" s="36"/>
      <c r="P1160" s="68"/>
      <c r="Q1160" s="24"/>
      <c r="R1160" s="24"/>
      <c r="S1160" s="64"/>
      <c r="V1160" s="67"/>
      <c r="X1160" s="67"/>
    </row>
    <row r="1161" spans="1:24" s="27" customFormat="1">
      <c r="A1161" s="31"/>
      <c r="B1161" s="24"/>
      <c r="C1161" s="30"/>
      <c r="D1161" s="28"/>
      <c r="E1161" s="31"/>
      <c r="F1161" s="31"/>
      <c r="G1161" s="31"/>
      <c r="I1161" s="28"/>
      <c r="J1161" s="62"/>
      <c r="K1161" s="62"/>
      <c r="L1161" s="33"/>
      <c r="M1161" s="32"/>
      <c r="N1161" s="34"/>
      <c r="O1161" s="36"/>
      <c r="P1161" s="68"/>
      <c r="Q1161" s="24"/>
      <c r="R1161" s="24"/>
      <c r="S1161" s="64"/>
      <c r="V1161" s="67"/>
      <c r="X1161" s="67"/>
    </row>
    <row r="1162" spans="1:24" s="27" customFormat="1">
      <c r="A1162" s="31"/>
      <c r="B1162" s="24"/>
      <c r="C1162" s="30"/>
      <c r="D1162" s="28"/>
      <c r="E1162" s="31"/>
      <c r="F1162" s="31"/>
      <c r="G1162" s="31"/>
      <c r="I1162" s="28"/>
      <c r="J1162" s="62"/>
      <c r="K1162" s="62"/>
      <c r="L1162" s="33"/>
      <c r="M1162" s="32"/>
      <c r="N1162" s="34"/>
      <c r="O1162" s="36"/>
      <c r="P1162" s="68"/>
      <c r="Q1162" s="24"/>
      <c r="R1162" s="24"/>
      <c r="S1162" s="64"/>
      <c r="V1162" s="67"/>
      <c r="X1162" s="67"/>
    </row>
    <row r="1163" spans="1:24" s="27" customFormat="1">
      <c r="A1163" s="31"/>
      <c r="B1163" s="24"/>
      <c r="C1163" s="30"/>
      <c r="D1163" s="28"/>
      <c r="E1163" s="31"/>
      <c r="F1163" s="31"/>
      <c r="G1163" s="31"/>
      <c r="I1163" s="28"/>
      <c r="J1163" s="62"/>
      <c r="K1163" s="62"/>
      <c r="L1163" s="33"/>
      <c r="M1163" s="32"/>
      <c r="N1163" s="34"/>
      <c r="O1163" s="36"/>
      <c r="P1163" s="68"/>
      <c r="Q1163" s="24"/>
      <c r="R1163" s="24"/>
      <c r="S1163" s="64"/>
      <c r="V1163" s="67"/>
      <c r="X1163" s="67"/>
    </row>
    <row r="1164" spans="1:24" s="27" customFormat="1">
      <c r="A1164" s="31"/>
      <c r="B1164" s="24"/>
      <c r="C1164" s="30"/>
      <c r="D1164" s="28"/>
      <c r="E1164" s="31"/>
      <c r="F1164" s="31"/>
      <c r="G1164" s="31"/>
      <c r="I1164" s="28"/>
      <c r="J1164" s="62"/>
      <c r="K1164" s="62"/>
      <c r="L1164" s="33"/>
      <c r="M1164" s="32"/>
      <c r="N1164" s="34"/>
      <c r="O1164" s="36"/>
      <c r="P1164" s="68"/>
      <c r="Q1164" s="24"/>
      <c r="R1164" s="24"/>
      <c r="S1164" s="64"/>
      <c r="V1164" s="67"/>
      <c r="X1164" s="67"/>
    </row>
    <row r="1165" spans="1:24" s="27" customFormat="1">
      <c r="A1165" s="31"/>
      <c r="B1165" s="24"/>
      <c r="C1165" s="30"/>
      <c r="D1165" s="28"/>
      <c r="E1165" s="31"/>
      <c r="F1165" s="31"/>
      <c r="G1165" s="31"/>
      <c r="I1165" s="28"/>
      <c r="J1165" s="62"/>
      <c r="K1165" s="62"/>
      <c r="L1165" s="33"/>
      <c r="M1165" s="32"/>
      <c r="N1165" s="34"/>
      <c r="O1165" s="36"/>
      <c r="P1165" s="68"/>
      <c r="Q1165" s="24"/>
      <c r="R1165" s="24"/>
      <c r="S1165" s="64"/>
      <c r="V1165" s="67"/>
      <c r="X1165" s="67"/>
    </row>
    <row r="1166" spans="1:24" s="27" customFormat="1">
      <c r="A1166" s="31"/>
      <c r="B1166" s="24"/>
      <c r="C1166" s="30"/>
      <c r="D1166" s="28"/>
      <c r="E1166" s="31"/>
      <c r="F1166" s="31"/>
      <c r="G1166" s="31"/>
      <c r="I1166" s="28"/>
      <c r="J1166" s="62"/>
      <c r="K1166" s="62"/>
      <c r="L1166" s="33"/>
      <c r="M1166" s="32"/>
      <c r="N1166" s="34"/>
      <c r="O1166" s="36"/>
      <c r="P1166" s="68"/>
      <c r="Q1166" s="24"/>
      <c r="R1166" s="24"/>
      <c r="S1166" s="64"/>
      <c r="V1166" s="67"/>
      <c r="X1166" s="67"/>
    </row>
    <row r="1167" spans="1:24" s="27" customFormat="1">
      <c r="A1167" s="31"/>
      <c r="B1167" s="24"/>
      <c r="C1167" s="30"/>
      <c r="D1167" s="28"/>
      <c r="E1167" s="31"/>
      <c r="F1167" s="31"/>
      <c r="G1167" s="31"/>
      <c r="I1167" s="28"/>
      <c r="J1167" s="62"/>
      <c r="K1167" s="62"/>
      <c r="L1167" s="33"/>
      <c r="M1167" s="32"/>
      <c r="N1167" s="34"/>
      <c r="O1167" s="36"/>
      <c r="P1167" s="68"/>
      <c r="Q1167" s="24"/>
      <c r="R1167" s="24"/>
      <c r="S1167" s="64"/>
      <c r="V1167" s="67"/>
      <c r="X1167" s="67"/>
    </row>
    <row r="1168" spans="1:24" s="27" customFormat="1">
      <c r="A1168" s="31"/>
      <c r="B1168" s="24"/>
      <c r="C1168" s="30"/>
      <c r="D1168" s="28"/>
      <c r="E1168" s="31"/>
      <c r="F1168" s="31"/>
      <c r="G1168" s="31"/>
      <c r="I1168" s="28"/>
      <c r="J1168" s="62"/>
      <c r="K1168" s="62"/>
      <c r="L1168" s="33"/>
      <c r="M1168" s="32"/>
      <c r="N1168" s="34"/>
      <c r="O1168" s="36"/>
      <c r="P1168" s="68"/>
      <c r="Q1168" s="24"/>
      <c r="R1168" s="24"/>
      <c r="S1168" s="64"/>
      <c r="V1168" s="67"/>
      <c r="X1168" s="67"/>
    </row>
    <row r="1169" spans="1:24" s="27" customFormat="1">
      <c r="A1169" s="31"/>
      <c r="B1169" s="24"/>
      <c r="C1169" s="30"/>
      <c r="D1169" s="28"/>
      <c r="E1169" s="31"/>
      <c r="F1169" s="31"/>
      <c r="G1169" s="31"/>
      <c r="I1169" s="28"/>
      <c r="J1169" s="62"/>
      <c r="K1169" s="62"/>
      <c r="L1169" s="33"/>
      <c r="M1169" s="32"/>
      <c r="N1169" s="34"/>
      <c r="O1169" s="36"/>
      <c r="P1169" s="68"/>
      <c r="Q1169" s="24"/>
      <c r="R1169" s="24"/>
      <c r="S1169" s="64"/>
      <c r="V1169" s="67"/>
      <c r="X1169" s="67"/>
    </row>
    <row r="1170" spans="1:24" s="27" customFormat="1">
      <c r="A1170" s="31"/>
      <c r="B1170" s="24"/>
      <c r="C1170" s="30"/>
      <c r="D1170" s="28"/>
      <c r="E1170" s="31"/>
      <c r="F1170" s="31"/>
      <c r="G1170" s="31"/>
      <c r="I1170" s="28"/>
      <c r="J1170" s="62"/>
      <c r="K1170" s="62"/>
      <c r="L1170" s="33"/>
      <c r="M1170" s="32"/>
      <c r="N1170" s="34"/>
      <c r="O1170" s="36"/>
      <c r="P1170" s="68"/>
      <c r="Q1170" s="24"/>
      <c r="R1170" s="24"/>
      <c r="S1170" s="64"/>
      <c r="V1170" s="67"/>
      <c r="X1170" s="67"/>
    </row>
    <row r="1171" spans="1:24" s="27" customFormat="1">
      <c r="A1171" s="31"/>
      <c r="B1171" s="24"/>
      <c r="C1171" s="30"/>
      <c r="D1171" s="28"/>
      <c r="E1171" s="31"/>
      <c r="F1171" s="31"/>
      <c r="G1171" s="31"/>
      <c r="I1171" s="28"/>
      <c r="J1171" s="62"/>
      <c r="K1171" s="62"/>
      <c r="L1171" s="33"/>
      <c r="M1171" s="32"/>
      <c r="N1171" s="34"/>
      <c r="O1171" s="36"/>
      <c r="P1171" s="68"/>
      <c r="Q1171" s="24"/>
      <c r="R1171" s="24"/>
      <c r="S1171" s="64"/>
      <c r="V1171" s="67"/>
      <c r="X1171" s="67"/>
    </row>
    <row r="1172" spans="1:24" s="27" customFormat="1">
      <c r="A1172" s="31"/>
      <c r="B1172" s="24"/>
      <c r="C1172" s="30"/>
      <c r="D1172" s="28"/>
      <c r="E1172" s="31"/>
      <c r="F1172" s="31"/>
      <c r="G1172" s="31"/>
      <c r="I1172" s="28"/>
      <c r="J1172" s="62"/>
      <c r="K1172" s="62"/>
      <c r="L1172" s="33"/>
      <c r="M1172" s="32"/>
      <c r="N1172" s="34"/>
      <c r="O1172" s="36"/>
      <c r="P1172" s="68"/>
      <c r="Q1172" s="24"/>
      <c r="R1172" s="24"/>
      <c r="S1172" s="64"/>
      <c r="V1172" s="67"/>
      <c r="X1172" s="67"/>
    </row>
    <row r="1173" spans="1:24" s="27" customFormat="1">
      <c r="A1173" s="31"/>
      <c r="B1173" s="24"/>
      <c r="C1173" s="30"/>
      <c r="D1173" s="28"/>
      <c r="E1173" s="31"/>
      <c r="F1173" s="31"/>
      <c r="G1173" s="31"/>
      <c r="I1173" s="28"/>
      <c r="J1173" s="62"/>
      <c r="K1173" s="62"/>
      <c r="L1173" s="33"/>
      <c r="M1173" s="32"/>
      <c r="N1173" s="34"/>
      <c r="O1173" s="36"/>
      <c r="P1173" s="68"/>
      <c r="Q1173" s="24"/>
      <c r="R1173" s="24"/>
      <c r="S1173" s="64"/>
      <c r="V1173" s="67"/>
      <c r="X1173" s="67"/>
    </row>
    <row r="1174" spans="1:24" s="27" customFormat="1">
      <c r="A1174" s="31"/>
      <c r="B1174" s="24"/>
      <c r="C1174" s="30"/>
      <c r="D1174" s="28"/>
      <c r="E1174" s="31"/>
      <c r="F1174" s="31"/>
      <c r="G1174" s="31"/>
      <c r="I1174" s="28"/>
      <c r="J1174" s="62"/>
      <c r="K1174" s="62"/>
      <c r="L1174" s="33"/>
      <c r="M1174" s="32"/>
      <c r="N1174" s="34"/>
      <c r="O1174" s="36"/>
      <c r="P1174" s="68"/>
      <c r="Q1174" s="24"/>
      <c r="R1174" s="24"/>
      <c r="S1174" s="64"/>
      <c r="V1174" s="67"/>
      <c r="X1174" s="67"/>
    </row>
    <row r="1175" spans="1:24" s="27" customFormat="1">
      <c r="A1175" s="31"/>
      <c r="B1175" s="24"/>
      <c r="C1175" s="30"/>
      <c r="D1175" s="28"/>
      <c r="E1175" s="31"/>
      <c r="F1175" s="31"/>
      <c r="G1175" s="31"/>
      <c r="I1175" s="28"/>
      <c r="J1175" s="62"/>
      <c r="K1175" s="62"/>
      <c r="L1175" s="33"/>
      <c r="M1175" s="32"/>
      <c r="N1175" s="34"/>
      <c r="O1175" s="36"/>
      <c r="P1175" s="68"/>
      <c r="Q1175" s="24"/>
      <c r="R1175" s="24"/>
      <c r="S1175" s="64"/>
      <c r="V1175" s="67"/>
      <c r="X1175" s="67"/>
    </row>
    <row r="1176" spans="1:24" s="27" customFormat="1">
      <c r="A1176" s="31"/>
      <c r="B1176" s="24"/>
      <c r="C1176" s="30"/>
      <c r="D1176" s="28"/>
      <c r="E1176" s="31"/>
      <c r="F1176" s="31"/>
      <c r="G1176" s="31"/>
      <c r="I1176" s="28"/>
      <c r="J1176" s="62"/>
      <c r="K1176" s="62"/>
      <c r="L1176" s="33"/>
      <c r="M1176" s="32"/>
      <c r="N1176" s="34"/>
      <c r="O1176" s="36"/>
      <c r="P1176" s="68"/>
      <c r="Q1176" s="24"/>
      <c r="R1176" s="24"/>
      <c r="S1176" s="64"/>
      <c r="V1176" s="67"/>
      <c r="X1176" s="67"/>
    </row>
    <row r="1177" spans="1:24" s="27" customFormat="1">
      <c r="A1177" s="31"/>
      <c r="B1177" s="24"/>
      <c r="C1177" s="30"/>
      <c r="D1177" s="28"/>
      <c r="E1177" s="31"/>
      <c r="F1177" s="31"/>
      <c r="G1177" s="31"/>
      <c r="I1177" s="28"/>
      <c r="J1177" s="62"/>
      <c r="K1177" s="62"/>
      <c r="L1177" s="33"/>
      <c r="M1177" s="32"/>
      <c r="N1177" s="34"/>
      <c r="O1177" s="36"/>
      <c r="P1177" s="68"/>
      <c r="Q1177" s="24"/>
      <c r="R1177" s="24"/>
      <c r="S1177" s="64"/>
      <c r="V1177" s="67"/>
      <c r="X1177" s="67"/>
    </row>
    <row r="1178" spans="1:24" s="27" customFormat="1">
      <c r="A1178" s="31"/>
      <c r="B1178" s="24"/>
      <c r="C1178" s="30"/>
      <c r="D1178" s="28"/>
      <c r="E1178" s="31"/>
      <c r="F1178" s="31"/>
      <c r="G1178" s="31"/>
      <c r="I1178" s="28"/>
      <c r="J1178" s="62"/>
      <c r="K1178" s="62"/>
      <c r="L1178" s="33"/>
      <c r="M1178" s="32"/>
      <c r="N1178" s="34"/>
      <c r="O1178" s="36"/>
      <c r="P1178" s="68"/>
      <c r="Q1178" s="24"/>
      <c r="R1178" s="24"/>
      <c r="S1178" s="64"/>
      <c r="V1178" s="67"/>
      <c r="X1178" s="67"/>
    </row>
    <row r="1179" spans="1:24" s="27" customFormat="1">
      <c r="A1179" s="31"/>
      <c r="B1179" s="24"/>
      <c r="C1179" s="30"/>
      <c r="D1179" s="28"/>
      <c r="E1179" s="31"/>
      <c r="F1179" s="31"/>
      <c r="G1179" s="31"/>
      <c r="I1179" s="28"/>
      <c r="J1179" s="62"/>
      <c r="K1179" s="62"/>
      <c r="L1179" s="33"/>
      <c r="M1179" s="32"/>
      <c r="N1179" s="34"/>
      <c r="O1179" s="36"/>
      <c r="P1179" s="68"/>
      <c r="Q1179" s="24"/>
      <c r="R1179" s="24"/>
      <c r="S1179" s="64"/>
      <c r="V1179" s="67"/>
      <c r="X1179" s="67"/>
    </row>
    <row r="1180" spans="1:24" s="27" customFormat="1">
      <c r="A1180" s="31"/>
      <c r="B1180" s="24"/>
      <c r="C1180" s="30"/>
      <c r="D1180" s="28"/>
      <c r="E1180" s="31"/>
      <c r="F1180" s="31"/>
      <c r="G1180" s="31"/>
      <c r="I1180" s="28"/>
      <c r="J1180" s="62"/>
      <c r="K1180" s="62"/>
      <c r="L1180" s="33"/>
      <c r="M1180" s="32"/>
      <c r="N1180" s="34"/>
      <c r="O1180" s="36"/>
      <c r="P1180" s="68"/>
      <c r="Q1180" s="24"/>
      <c r="R1180" s="24"/>
      <c r="S1180" s="64"/>
      <c r="V1180" s="67"/>
      <c r="X1180" s="67"/>
    </row>
    <row r="1181" spans="1:24" s="27" customFormat="1">
      <c r="A1181" s="31"/>
      <c r="B1181" s="24"/>
      <c r="C1181" s="30"/>
      <c r="D1181" s="28"/>
      <c r="E1181" s="31"/>
      <c r="F1181" s="31"/>
      <c r="G1181" s="31"/>
      <c r="I1181" s="28"/>
      <c r="J1181" s="62"/>
      <c r="K1181" s="62"/>
      <c r="L1181" s="33"/>
      <c r="M1181" s="32"/>
      <c r="N1181" s="34"/>
      <c r="O1181" s="36"/>
      <c r="P1181" s="68"/>
      <c r="Q1181" s="24"/>
      <c r="R1181" s="24"/>
      <c r="S1181" s="64"/>
      <c r="V1181" s="67"/>
      <c r="X1181" s="67"/>
    </row>
    <row r="1182" spans="1:24" s="27" customFormat="1">
      <c r="A1182" s="31"/>
      <c r="B1182" s="24"/>
      <c r="C1182" s="30"/>
      <c r="D1182" s="28"/>
      <c r="E1182" s="31"/>
      <c r="F1182" s="31"/>
      <c r="G1182" s="31"/>
      <c r="I1182" s="28"/>
      <c r="J1182" s="62"/>
      <c r="K1182" s="62"/>
      <c r="L1182" s="33"/>
      <c r="M1182" s="32"/>
      <c r="N1182" s="34"/>
      <c r="O1182" s="36"/>
      <c r="P1182" s="68"/>
      <c r="Q1182" s="24"/>
      <c r="R1182" s="24"/>
      <c r="S1182" s="64"/>
      <c r="V1182" s="67"/>
      <c r="X1182" s="67"/>
    </row>
    <row r="1183" spans="1:24" s="27" customFormat="1">
      <c r="A1183" s="31"/>
      <c r="B1183" s="24"/>
      <c r="C1183" s="30"/>
      <c r="D1183" s="28"/>
      <c r="E1183" s="31"/>
      <c r="F1183" s="31"/>
      <c r="G1183" s="31"/>
      <c r="I1183" s="28"/>
      <c r="J1183" s="62"/>
      <c r="K1183" s="62"/>
      <c r="L1183" s="33"/>
      <c r="M1183" s="32"/>
      <c r="N1183" s="34"/>
      <c r="O1183" s="36"/>
      <c r="P1183" s="68"/>
      <c r="Q1183" s="24"/>
      <c r="R1183" s="24"/>
      <c r="S1183" s="64"/>
      <c r="V1183" s="67"/>
      <c r="X1183" s="67"/>
    </row>
    <row r="1184" spans="1:24" s="27" customFormat="1">
      <c r="A1184" s="31"/>
      <c r="B1184" s="24"/>
      <c r="C1184" s="30"/>
      <c r="D1184" s="28"/>
      <c r="E1184" s="31"/>
      <c r="F1184" s="31"/>
      <c r="G1184" s="31"/>
      <c r="I1184" s="28"/>
      <c r="J1184" s="62"/>
      <c r="K1184" s="62"/>
      <c r="L1184" s="33"/>
      <c r="M1184" s="32"/>
      <c r="N1184" s="34"/>
      <c r="O1184" s="36"/>
      <c r="P1184" s="68"/>
      <c r="Q1184" s="24"/>
      <c r="R1184" s="24"/>
      <c r="S1184" s="64"/>
      <c r="V1184" s="67"/>
      <c r="X1184" s="67"/>
    </row>
    <row r="1185" spans="1:24" s="27" customFormat="1">
      <c r="A1185" s="31"/>
      <c r="B1185" s="24"/>
      <c r="C1185" s="30"/>
      <c r="D1185" s="28"/>
      <c r="E1185" s="31"/>
      <c r="F1185" s="31"/>
      <c r="G1185" s="31"/>
      <c r="I1185" s="28"/>
      <c r="J1185" s="62"/>
      <c r="K1185" s="62"/>
      <c r="L1185" s="33"/>
      <c r="M1185" s="32"/>
      <c r="N1185" s="34"/>
      <c r="O1185" s="36"/>
      <c r="P1185" s="68"/>
      <c r="Q1185" s="24"/>
      <c r="R1185" s="24"/>
      <c r="S1185" s="64"/>
      <c r="V1185" s="67"/>
      <c r="X1185" s="67"/>
    </row>
    <row r="1186" spans="1:24" s="27" customFormat="1">
      <c r="A1186" s="31"/>
      <c r="B1186" s="24"/>
      <c r="C1186" s="30"/>
      <c r="D1186" s="28"/>
      <c r="E1186" s="31"/>
      <c r="F1186" s="31"/>
      <c r="G1186" s="31"/>
      <c r="I1186" s="28"/>
      <c r="J1186" s="62"/>
      <c r="K1186" s="62"/>
      <c r="L1186" s="33"/>
      <c r="M1186" s="32"/>
      <c r="N1186" s="34"/>
      <c r="O1186" s="36"/>
      <c r="P1186" s="68"/>
      <c r="Q1186" s="24"/>
      <c r="R1186" s="24"/>
      <c r="S1186" s="64"/>
      <c r="V1186" s="67"/>
      <c r="X1186" s="67"/>
    </row>
    <row r="1187" spans="1:24" s="27" customFormat="1">
      <c r="A1187" s="31"/>
      <c r="B1187" s="24"/>
      <c r="C1187" s="30"/>
      <c r="D1187" s="28"/>
      <c r="E1187" s="31"/>
      <c r="F1187" s="31"/>
      <c r="G1187" s="31"/>
      <c r="I1187" s="28"/>
      <c r="J1187" s="62"/>
      <c r="K1187" s="62"/>
      <c r="L1187" s="33"/>
      <c r="M1187" s="32"/>
      <c r="N1187" s="34"/>
      <c r="O1187" s="36"/>
      <c r="P1187" s="68"/>
      <c r="Q1187" s="24"/>
      <c r="R1187" s="24"/>
      <c r="S1187" s="64"/>
      <c r="V1187" s="67"/>
      <c r="X1187" s="67"/>
    </row>
    <row r="1188" spans="1:24" s="27" customFormat="1">
      <c r="A1188" s="31"/>
      <c r="B1188" s="24"/>
      <c r="C1188" s="30"/>
      <c r="D1188" s="28"/>
      <c r="E1188" s="31"/>
      <c r="F1188" s="31"/>
      <c r="G1188" s="31"/>
      <c r="I1188" s="28"/>
      <c r="J1188" s="62"/>
      <c r="K1188" s="62"/>
      <c r="L1188" s="33"/>
      <c r="M1188" s="32"/>
      <c r="N1188" s="34"/>
      <c r="O1188" s="36"/>
      <c r="P1188" s="68"/>
      <c r="Q1188" s="24"/>
      <c r="R1188" s="24"/>
      <c r="S1188" s="64"/>
      <c r="V1188" s="67"/>
      <c r="X1188" s="67"/>
    </row>
    <row r="1189" spans="1:24" s="27" customFormat="1">
      <c r="A1189" s="31"/>
      <c r="B1189" s="24"/>
      <c r="C1189" s="30"/>
      <c r="D1189" s="28"/>
      <c r="E1189" s="31"/>
      <c r="F1189" s="31"/>
      <c r="G1189" s="31"/>
      <c r="I1189" s="28"/>
      <c r="J1189" s="62"/>
      <c r="K1189" s="62"/>
      <c r="L1189" s="33"/>
      <c r="M1189" s="32"/>
      <c r="N1189" s="34"/>
      <c r="O1189" s="36"/>
      <c r="P1189" s="68"/>
      <c r="Q1189" s="24"/>
      <c r="R1189" s="24"/>
      <c r="S1189" s="64"/>
      <c r="V1189" s="67"/>
      <c r="X1189" s="67"/>
    </row>
    <row r="1190" spans="1:24" s="27" customFormat="1">
      <c r="A1190" s="31"/>
      <c r="B1190" s="24"/>
      <c r="C1190" s="30"/>
      <c r="D1190" s="28"/>
      <c r="E1190" s="31"/>
      <c r="F1190" s="31"/>
      <c r="G1190" s="31"/>
      <c r="I1190" s="28"/>
      <c r="J1190" s="62"/>
      <c r="K1190" s="62"/>
      <c r="L1190" s="33"/>
      <c r="M1190" s="32"/>
      <c r="N1190" s="34"/>
      <c r="O1190" s="36"/>
      <c r="P1190" s="68"/>
      <c r="Q1190" s="24"/>
      <c r="R1190" s="24"/>
      <c r="S1190" s="64"/>
      <c r="V1190" s="67"/>
      <c r="X1190" s="67"/>
    </row>
    <row r="1191" spans="1:24" s="27" customFormat="1">
      <c r="A1191" s="31"/>
      <c r="B1191" s="24"/>
      <c r="C1191" s="30"/>
      <c r="D1191" s="28"/>
      <c r="E1191" s="31"/>
      <c r="F1191" s="31"/>
      <c r="G1191" s="31"/>
      <c r="I1191" s="28"/>
      <c r="J1191" s="62"/>
      <c r="K1191" s="62"/>
      <c r="L1191" s="33"/>
      <c r="M1191" s="32"/>
      <c r="N1191" s="34"/>
      <c r="O1191" s="36"/>
      <c r="P1191" s="68"/>
      <c r="Q1191" s="24"/>
      <c r="R1191" s="24"/>
      <c r="S1191" s="64"/>
      <c r="V1191" s="67"/>
      <c r="X1191" s="67"/>
    </row>
    <row r="1192" spans="1:24" s="27" customFormat="1">
      <c r="A1192" s="31"/>
      <c r="B1192" s="24"/>
      <c r="C1192" s="30"/>
      <c r="D1192" s="28"/>
      <c r="E1192" s="31"/>
      <c r="F1192" s="31"/>
      <c r="G1192" s="31"/>
      <c r="I1192" s="28"/>
      <c r="J1192" s="62"/>
      <c r="K1192" s="62"/>
      <c r="L1192" s="33"/>
      <c r="M1192" s="32"/>
      <c r="N1192" s="34"/>
      <c r="O1192" s="36"/>
      <c r="P1192" s="68"/>
      <c r="Q1192" s="24"/>
      <c r="R1192" s="24"/>
      <c r="S1192" s="64"/>
      <c r="V1192" s="67"/>
      <c r="X1192" s="67"/>
    </row>
    <row r="1193" spans="1:24" s="27" customFormat="1">
      <c r="A1193" s="31"/>
      <c r="B1193" s="24"/>
      <c r="C1193" s="30"/>
      <c r="D1193" s="28"/>
      <c r="E1193" s="31"/>
      <c r="F1193" s="31"/>
      <c r="G1193" s="31"/>
      <c r="I1193" s="28"/>
      <c r="J1193" s="62"/>
      <c r="K1193" s="62"/>
      <c r="L1193" s="33"/>
      <c r="M1193" s="32"/>
      <c r="N1193" s="34"/>
      <c r="O1193" s="36"/>
      <c r="P1193" s="68"/>
      <c r="Q1193" s="24"/>
      <c r="R1193" s="24"/>
      <c r="S1193" s="64"/>
      <c r="V1193" s="67"/>
      <c r="X1193" s="67"/>
    </row>
    <row r="1194" spans="1:24" s="27" customFormat="1">
      <c r="A1194" s="31"/>
      <c r="B1194" s="24"/>
      <c r="C1194" s="30"/>
      <c r="D1194" s="28"/>
      <c r="E1194" s="31"/>
      <c r="F1194" s="31"/>
      <c r="G1194" s="31"/>
      <c r="I1194" s="28"/>
      <c r="J1194" s="62"/>
      <c r="K1194" s="62"/>
      <c r="L1194" s="33"/>
      <c r="M1194" s="32"/>
      <c r="N1194" s="34"/>
      <c r="O1194" s="36"/>
      <c r="P1194" s="68"/>
      <c r="Q1194" s="24"/>
      <c r="R1194" s="24"/>
      <c r="S1194" s="64"/>
      <c r="V1194" s="67"/>
      <c r="X1194" s="67"/>
    </row>
    <row r="1195" spans="1:24" s="27" customFormat="1">
      <c r="A1195" s="31"/>
      <c r="B1195" s="24"/>
      <c r="C1195" s="30"/>
      <c r="D1195" s="28"/>
      <c r="E1195" s="31"/>
      <c r="F1195" s="31"/>
      <c r="G1195" s="31"/>
      <c r="I1195" s="28"/>
      <c r="J1195" s="62"/>
      <c r="K1195" s="62"/>
      <c r="L1195" s="33"/>
      <c r="M1195" s="32"/>
      <c r="N1195" s="34"/>
      <c r="O1195" s="36"/>
      <c r="P1195" s="68"/>
      <c r="Q1195" s="24"/>
      <c r="R1195" s="24"/>
      <c r="S1195" s="64"/>
      <c r="V1195" s="67"/>
      <c r="X1195" s="67"/>
    </row>
    <row r="1196" spans="1:24" s="27" customFormat="1">
      <c r="A1196" s="31"/>
      <c r="B1196" s="24"/>
      <c r="C1196" s="30"/>
      <c r="D1196" s="28"/>
      <c r="E1196" s="31"/>
      <c r="F1196" s="31"/>
      <c r="G1196" s="31"/>
      <c r="I1196" s="28"/>
      <c r="J1196" s="62"/>
      <c r="K1196" s="62"/>
      <c r="L1196" s="33"/>
      <c r="M1196" s="32"/>
      <c r="N1196" s="34"/>
      <c r="O1196" s="36"/>
      <c r="P1196" s="68"/>
      <c r="Q1196" s="24"/>
      <c r="R1196" s="24"/>
      <c r="S1196" s="64"/>
      <c r="V1196" s="67"/>
      <c r="X1196" s="67"/>
    </row>
    <row r="1197" spans="1:24" s="27" customFormat="1">
      <c r="A1197" s="31"/>
      <c r="B1197" s="24"/>
      <c r="C1197" s="30"/>
      <c r="D1197" s="28"/>
      <c r="E1197" s="31"/>
      <c r="F1197" s="31"/>
      <c r="G1197" s="31"/>
      <c r="I1197" s="28"/>
      <c r="J1197" s="62"/>
      <c r="K1197" s="62"/>
      <c r="L1197" s="33"/>
      <c r="M1197" s="32"/>
      <c r="N1197" s="34"/>
      <c r="O1197" s="36"/>
      <c r="P1197" s="68"/>
      <c r="Q1197" s="24"/>
      <c r="R1197" s="24"/>
      <c r="S1197" s="64"/>
      <c r="V1197" s="67"/>
      <c r="X1197" s="67"/>
    </row>
    <row r="1198" spans="1:24" s="27" customFormat="1">
      <c r="A1198" s="31"/>
      <c r="B1198" s="24"/>
      <c r="C1198" s="30"/>
      <c r="D1198" s="28"/>
      <c r="E1198" s="31"/>
      <c r="F1198" s="31"/>
      <c r="G1198" s="31"/>
      <c r="I1198" s="28"/>
      <c r="J1198" s="62"/>
      <c r="K1198" s="62"/>
      <c r="L1198" s="33"/>
      <c r="M1198" s="32"/>
      <c r="N1198" s="34"/>
      <c r="O1198" s="36"/>
      <c r="P1198" s="68"/>
      <c r="Q1198" s="24"/>
      <c r="R1198" s="24"/>
      <c r="S1198" s="64"/>
      <c r="V1198" s="67"/>
      <c r="X1198" s="67"/>
    </row>
    <row r="1199" spans="1:24" s="27" customFormat="1">
      <c r="A1199" s="31"/>
      <c r="B1199" s="24"/>
      <c r="C1199" s="30"/>
      <c r="D1199" s="28"/>
      <c r="E1199" s="31"/>
      <c r="F1199" s="31"/>
      <c r="G1199" s="31"/>
      <c r="I1199" s="28"/>
      <c r="J1199" s="62"/>
      <c r="K1199" s="62"/>
      <c r="L1199" s="33"/>
      <c r="M1199" s="32"/>
      <c r="N1199" s="34"/>
      <c r="O1199" s="36"/>
      <c r="P1199" s="68"/>
      <c r="Q1199" s="24"/>
      <c r="R1199" s="24"/>
      <c r="S1199" s="64"/>
      <c r="V1199" s="67"/>
      <c r="X1199" s="67"/>
    </row>
    <row r="1200" spans="1:24" s="27" customFormat="1">
      <c r="A1200" s="31"/>
      <c r="B1200" s="24"/>
      <c r="C1200" s="30"/>
      <c r="D1200" s="28"/>
      <c r="E1200" s="31"/>
      <c r="F1200" s="31"/>
      <c r="G1200" s="31"/>
      <c r="I1200" s="28"/>
      <c r="J1200" s="62"/>
      <c r="K1200" s="62"/>
      <c r="L1200" s="33"/>
      <c r="M1200" s="32"/>
      <c r="N1200" s="34"/>
      <c r="O1200" s="36"/>
      <c r="P1200" s="68"/>
      <c r="Q1200" s="24"/>
      <c r="R1200" s="24"/>
      <c r="S1200" s="64"/>
      <c r="V1200" s="67"/>
      <c r="X1200" s="67"/>
    </row>
    <row r="1201" spans="1:24" s="27" customFormat="1">
      <c r="A1201" s="31"/>
      <c r="B1201" s="24"/>
      <c r="C1201" s="30"/>
      <c r="D1201" s="28"/>
      <c r="E1201" s="31"/>
      <c r="F1201" s="31"/>
      <c r="G1201" s="31"/>
      <c r="I1201" s="28"/>
      <c r="J1201" s="62"/>
      <c r="K1201" s="62"/>
      <c r="L1201" s="33"/>
      <c r="M1201" s="32"/>
      <c r="N1201" s="34"/>
      <c r="O1201" s="36"/>
      <c r="P1201" s="68"/>
      <c r="Q1201" s="24"/>
      <c r="R1201" s="24"/>
      <c r="S1201" s="64"/>
      <c r="V1201" s="67"/>
      <c r="X1201" s="67"/>
    </row>
    <row r="1202" spans="1:24" s="27" customFormat="1">
      <c r="A1202" s="31"/>
      <c r="B1202" s="24"/>
      <c r="C1202" s="30"/>
      <c r="D1202" s="28"/>
      <c r="E1202" s="31"/>
      <c r="F1202" s="31"/>
      <c r="G1202" s="31"/>
      <c r="I1202" s="28"/>
      <c r="J1202" s="62"/>
      <c r="K1202" s="62"/>
      <c r="L1202" s="33"/>
      <c r="M1202" s="32"/>
      <c r="N1202" s="34"/>
      <c r="O1202" s="36"/>
      <c r="P1202" s="68"/>
      <c r="Q1202" s="24"/>
      <c r="R1202" s="24"/>
      <c r="S1202" s="64"/>
      <c r="V1202" s="67"/>
      <c r="X1202" s="67"/>
    </row>
    <row r="1203" spans="1:24" s="27" customFormat="1">
      <c r="A1203" s="31"/>
      <c r="B1203" s="24"/>
      <c r="C1203" s="30"/>
      <c r="D1203" s="28"/>
      <c r="E1203" s="31"/>
      <c r="F1203" s="31"/>
      <c r="G1203" s="31"/>
      <c r="I1203" s="28"/>
      <c r="J1203" s="62"/>
      <c r="K1203" s="62"/>
      <c r="L1203" s="33"/>
      <c r="M1203" s="32"/>
      <c r="N1203" s="34"/>
      <c r="O1203" s="36"/>
      <c r="P1203" s="68"/>
      <c r="Q1203" s="24"/>
      <c r="R1203" s="24"/>
      <c r="S1203" s="64"/>
      <c r="V1203" s="67"/>
      <c r="X1203" s="67"/>
    </row>
    <row r="1204" spans="1:24" s="27" customFormat="1">
      <c r="A1204" s="31"/>
      <c r="B1204" s="24"/>
      <c r="C1204" s="30"/>
      <c r="D1204" s="28"/>
      <c r="E1204" s="31"/>
      <c r="F1204" s="31"/>
      <c r="G1204" s="31"/>
      <c r="I1204" s="28"/>
      <c r="J1204" s="62"/>
      <c r="K1204" s="62"/>
      <c r="L1204" s="33"/>
      <c r="M1204" s="32"/>
      <c r="N1204" s="34"/>
      <c r="O1204" s="36"/>
      <c r="P1204" s="68"/>
      <c r="Q1204" s="24"/>
      <c r="R1204" s="24"/>
      <c r="S1204" s="64"/>
      <c r="V1204" s="67"/>
      <c r="X1204" s="67"/>
    </row>
    <row r="1205" spans="1:24" s="27" customFormat="1">
      <c r="A1205" s="31"/>
      <c r="B1205" s="24"/>
      <c r="C1205" s="30"/>
      <c r="D1205" s="28"/>
      <c r="E1205" s="31"/>
      <c r="F1205" s="31"/>
      <c r="G1205" s="31"/>
      <c r="I1205" s="28"/>
      <c r="J1205" s="62"/>
      <c r="K1205" s="62"/>
      <c r="L1205" s="33"/>
      <c r="M1205" s="32"/>
      <c r="N1205" s="34"/>
      <c r="O1205" s="36"/>
      <c r="P1205" s="68"/>
      <c r="Q1205" s="24"/>
      <c r="R1205" s="24"/>
      <c r="S1205" s="64"/>
      <c r="V1205" s="67"/>
      <c r="X1205" s="67"/>
    </row>
    <row r="1206" spans="1:24" s="27" customFormat="1">
      <c r="A1206" s="31"/>
      <c r="B1206" s="24"/>
      <c r="C1206" s="30"/>
      <c r="D1206" s="28"/>
      <c r="E1206" s="31"/>
      <c r="F1206" s="31"/>
      <c r="G1206" s="31"/>
      <c r="I1206" s="28"/>
      <c r="J1206" s="62"/>
      <c r="K1206" s="62"/>
      <c r="L1206" s="33"/>
      <c r="M1206" s="32"/>
      <c r="N1206" s="34"/>
      <c r="O1206" s="36"/>
      <c r="P1206" s="68"/>
      <c r="Q1206" s="24"/>
      <c r="R1206" s="24"/>
      <c r="S1206" s="64"/>
      <c r="V1206" s="67"/>
      <c r="X1206" s="67"/>
    </row>
    <row r="1207" spans="1:24" s="27" customFormat="1">
      <c r="A1207" s="31"/>
      <c r="B1207" s="24"/>
      <c r="C1207" s="30"/>
      <c r="D1207" s="28"/>
      <c r="E1207" s="31"/>
      <c r="F1207" s="31"/>
      <c r="G1207" s="31"/>
      <c r="I1207" s="28"/>
      <c r="J1207" s="62"/>
      <c r="K1207" s="62"/>
      <c r="L1207" s="33"/>
      <c r="M1207" s="32"/>
      <c r="N1207" s="34"/>
      <c r="O1207" s="36"/>
      <c r="P1207" s="68"/>
      <c r="Q1207" s="24"/>
      <c r="R1207" s="24"/>
      <c r="S1207" s="64"/>
      <c r="V1207" s="67"/>
      <c r="X1207" s="67"/>
    </row>
    <row r="1208" spans="1:24" s="27" customFormat="1">
      <c r="A1208" s="31"/>
      <c r="B1208" s="24"/>
      <c r="C1208" s="30"/>
      <c r="D1208" s="28"/>
      <c r="E1208" s="31"/>
      <c r="F1208" s="31"/>
      <c r="G1208" s="31"/>
      <c r="I1208" s="28"/>
      <c r="J1208" s="62"/>
      <c r="K1208" s="62"/>
      <c r="L1208" s="33"/>
      <c r="M1208" s="32"/>
      <c r="N1208" s="34"/>
      <c r="O1208" s="36"/>
      <c r="P1208" s="68"/>
      <c r="Q1208" s="24"/>
      <c r="R1208" s="24"/>
      <c r="S1208" s="64"/>
      <c r="V1208" s="67"/>
      <c r="X1208" s="67"/>
    </row>
    <row r="1209" spans="1:24" s="27" customFormat="1">
      <c r="A1209" s="31"/>
      <c r="B1209" s="24"/>
      <c r="C1209" s="30"/>
      <c r="D1209" s="28"/>
      <c r="E1209" s="31"/>
      <c r="F1209" s="31"/>
      <c r="G1209" s="31"/>
      <c r="I1209" s="28"/>
      <c r="J1209" s="62"/>
      <c r="K1209" s="62"/>
      <c r="L1209" s="33"/>
      <c r="M1209" s="32"/>
      <c r="N1209" s="34"/>
      <c r="O1209" s="36"/>
      <c r="P1209" s="68"/>
      <c r="Q1209" s="24"/>
      <c r="R1209" s="24"/>
      <c r="S1209" s="64"/>
      <c r="V1209" s="67"/>
      <c r="X1209" s="67"/>
    </row>
    <row r="1210" spans="1:24" s="27" customFormat="1">
      <c r="A1210" s="31"/>
      <c r="B1210" s="24"/>
      <c r="C1210" s="30"/>
      <c r="D1210" s="28"/>
      <c r="E1210" s="31"/>
      <c r="F1210" s="31"/>
      <c r="G1210" s="31"/>
      <c r="I1210" s="28"/>
      <c r="J1210" s="62"/>
      <c r="K1210" s="62"/>
      <c r="L1210" s="33"/>
      <c r="M1210" s="32"/>
      <c r="N1210" s="34"/>
      <c r="O1210" s="36"/>
      <c r="P1210" s="68"/>
      <c r="Q1210" s="24"/>
      <c r="R1210" s="24"/>
      <c r="S1210" s="64"/>
      <c r="V1210" s="67"/>
      <c r="X1210" s="67"/>
    </row>
    <row r="1211" spans="1:24" s="27" customFormat="1">
      <c r="A1211" s="31"/>
      <c r="B1211" s="24"/>
      <c r="C1211" s="30"/>
      <c r="D1211" s="28"/>
      <c r="E1211" s="31"/>
      <c r="F1211" s="31"/>
      <c r="G1211" s="31"/>
      <c r="I1211" s="28"/>
      <c r="J1211" s="62"/>
      <c r="K1211" s="62"/>
      <c r="L1211" s="33"/>
      <c r="M1211" s="32"/>
      <c r="N1211" s="34"/>
      <c r="O1211" s="36"/>
      <c r="P1211" s="68"/>
      <c r="Q1211" s="24"/>
      <c r="R1211" s="24"/>
      <c r="S1211" s="64"/>
      <c r="V1211" s="67"/>
      <c r="X1211" s="67"/>
    </row>
    <row r="1212" spans="1:24" s="27" customFormat="1">
      <c r="A1212" s="31"/>
      <c r="B1212" s="24"/>
      <c r="C1212" s="30"/>
      <c r="D1212" s="28"/>
      <c r="E1212" s="31"/>
      <c r="F1212" s="31"/>
      <c r="G1212" s="31"/>
      <c r="I1212" s="28"/>
      <c r="J1212" s="62"/>
      <c r="K1212" s="62"/>
      <c r="L1212" s="33"/>
      <c r="M1212" s="32"/>
      <c r="N1212" s="34"/>
      <c r="O1212" s="36"/>
      <c r="P1212" s="68"/>
      <c r="Q1212" s="24"/>
      <c r="R1212" s="24"/>
      <c r="S1212" s="64"/>
      <c r="V1212" s="67"/>
      <c r="X1212" s="67"/>
    </row>
    <row r="1213" spans="1:24" s="27" customFormat="1">
      <c r="A1213" s="31"/>
      <c r="B1213" s="24"/>
      <c r="C1213" s="30"/>
      <c r="D1213" s="28"/>
      <c r="E1213" s="31"/>
      <c r="F1213" s="31"/>
      <c r="G1213" s="31"/>
      <c r="I1213" s="28"/>
      <c r="J1213" s="62"/>
      <c r="K1213" s="62"/>
      <c r="L1213" s="33"/>
      <c r="M1213" s="32"/>
      <c r="N1213" s="34"/>
      <c r="O1213" s="36"/>
      <c r="P1213" s="68"/>
      <c r="Q1213" s="24"/>
      <c r="R1213" s="24"/>
      <c r="S1213" s="64"/>
      <c r="V1213" s="67"/>
      <c r="X1213" s="67"/>
    </row>
    <row r="1214" spans="1:24" s="27" customFormat="1">
      <c r="A1214" s="31"/>
      <c r="B1214" s="24"/>
      <c r="C1214" s="30"/>
      <c r="D1214" s="28"/>
      <c r="E1214" s="31"/>
      <c r="F1214" s="31"/>
      <c r="G1214" s="31"/>
      <c r="I1214" s="28"/>
      <c r="J1214" s="62"/>
      <c r="K1214" s="62"/>
      <c r="L1214" s="33"/>
      <c r="M1214" s="32"/>
      <c r="N1214" s="34"/>
      <c r="O1214" s="36"/>
      <c r="P1214" s="68"/>
      <c r="Q1214" s="24"/>
      <c r="R1214" s="24"/>
      <c r="S1214" s="64"/>
      <c r="V1214" s="67"/>
      <c r="X1214" s="67"/>
    </row>
    <row r="1215" spans="1:24" s="27" customFormat="1">
      <c r="A1215" s="31"/>
      <c r="B1215" s="24"/>
      <c r="C1215" s="30"/>
      <c r="D1215" s="28"/>
      <c r="E1215" s="31"/>
      <c r="F1215" s="31"/>
      <c r="G1215" s="31"/>
      <c r="I1215" s="28"/>
      <c r="J1215" s="62"/>
      <c r="K1215" s="62"/>
      <c r="L1215" s="33"/>
      <c r="M1215" s="32"/>
      <c r="N1215" s="34"/>
      <c r="O1215" s="36"/>
      <c r="P1215" s="68"/>
      <c r="Q1215" s="24"/>
      <c r="R1215" s="24"/>
      <c r="S1215" s="64"/>
      <c r="V1215" s="67"/>
      <c r="X1215" s="67"/>
    </row>
    <row r="1216" spans="1:24" s="27" customFormat="1">
      <c r="A1216" s="31"/>
      <c r="B1216" s="24"/>
      <c r="C1216" s="30"/>
      <c r="D1216" s="28"/>
      <c r="E1216" s="31"/>
      <c r="F1216" s="31"/>
      <c r="G1216" s="31"/>
      <c r="I1216" s="28"/>
      <c r="J1216" s="62"/>
      <c r="K1216" s="62"/>
      <c r="L1216" s="33"/>
      <c r="M1216" s="32"/>
      <c r="N1216" s="34"/>
      <c r="O1216" s="36"/>
      <c r="P1216" s="68"/>
      <c r="Q1216" s="24"/>
      <c r="R1216" s="24"/>
      <c r="S1216" s="64"/>
      <c r="V1216" s="67"/>
      <c r="X1216" s="67"/>
    </row>
    <row r="1217" spans="1:24" s="27" customFormat="1">
      <c r="A1217" s="31"/>
      <c r="B1217" s="24"/>
      <c r="C1217" s="30"/>
      <c r="D1217" s="28"/>
      <c r="E1217" s="31"/>
      <c r="F1217" s="31"/>
      <c r="G1217" s="31"/>
      <c r="I1217" s="28"/>
      <c r="J1217" s="62"/>
      <c r="K1217" s="62"/>
      <c r="L1217" s="33"/>
      <c r="M1217" s="32"/>
      <c r="N1217" s="34"/>
      <c r="O1217" s="36"/>
      <c r="P1217" s="68"/>
      <c r="Q1217" s="24"/>
      <c r="R1217" s="24"/>
      <c r="S1217" s="64"/>
      <c r="V1217" s="67"/>
      <c r="X1217" s="67"/>
    </row>
    <row r="1218" spans="1:24" s="27" customFormat="1">
      <c r="A1218" s="31"/>
      <c r="B1218" s="24"/>
      <c r="C1218" s="30"/>
      <c r="D1218" s="28"/>
      <c r="E1218" s="31"/>
      <c r="F1218" s="31"/>
      <c r="G1218" s="31"/>
      <c r="I1218" s="28"/>
      <c r="J1218" s="62"/>
      <c r="K1218" s="62"/>
      <c r="L1218" s="33"/>
      <c r="M1218" s="32"/>
      <c r="N1218" s="34"/>
      <c r="O1218" s="36"/>
      <c r="P1218" s="68"/>
      <c r="Q1218" s="24"/>
      <c r="R1218" s="24"/>
      <c r="S1218" s="64"/>
      <c r="V1218" s="67"/>
      <c r="X1218" s="67"/>
    </row>
    <row r="1219" spans="1:24" s="27" customFormat="1">
      <c r="A1219" s="31"/>
      <c r="B1219" s="24"/>
      <c r="C1219" s="30"/>
      <c r="D1219" s="28"/>
      <c r="E1219" s="31"/>
      <c r="F1219" s="31"/>
      <c r="G1219" s="31"/>
      <c r="I1219" s="28"/>
      <c r="J1219" s="62"/>
      <c r="K1219" s="62"/>
      <c r="L1219" s="33"/>
      <c r="M1219" s="32"/>
      <c r="N1219" s="34"/>
      <c r="O1219" s="36"/>
      <c r="P1219" s="68"/>
      <c r="Q1219" s="24"/>
      <c r="R1219" s="24"/>
      <c r="S1219" s="64"/>
      <c r="V1219" s="67"/>
      <c r="X1219" s="67"/>
    </row>
    <row r="1220" spans="1:24" s="27" customFormat="1">
      <c r="A1220" s="31"/>
      <c r="B1220" s="24"/>
      <c r="C1220" s="30"/>
      <c r="D1220" s="28"/>
      <c r="E1220" s="31"/>
      <c r="F1220" s="31"/>
      <c r="G1220" s="31"/>
      <c r="I1220" s="28"/>
      <c r="J1220" s="62"/>
      <c r="K1220" s="62"/>
      <c r="L1220" s="33"/>
      <c r="M1220" s="32"/>
      <c r="N1220" s="34"/>
      <c r="O1220" s="36"/>
      <c r="P1220" s="68"/>
      <c r="Q1220" s="24"/>
      <c r="R1220" s="24"/>
      <c r="S1220" s="64"/>
      <c r="V1220" s="67"/>
      <c r="X1220" s="67"/>
    </row>
    <row r="1221" spans="1:24" s="27" customFormat="1">
      <c r="A1221" s="31"/>
      <c r="B1221" s="24"/>
      <c r="C1221" s="30"/>
      <c r="D1221" s="28"/>
      <c r="E1221" s="31"/>
      <c r="F1221" s="31"/>
      <c r="G1221" s="31"/>
      <c r="I1221" s="28"/>
      <c r="J1221" s="62"/>
      <c r="K1221" s="62"/>
      <c r="L1221" s="33"/>
      <c r="M1221" s="32"/>
      <c r="N1221" s="34"/>
      <c r="O1221" s="36"/>
      <c r="P1221" s="68"/>
      <c r="Q1221" s="24"/>
      <c r="R1221" s="24"/>
      <c r="S1221" s="64"/>
      <c r="V1221" s="67"/>
      <c r="X1221" s="67"/>
    </row>
    <row r="1222" spans="1:24" s="27" customFormat="1">
      <c r="A1222" s="31"/>
      <c r="B1222" s="24"/>
      <c r="C1222" s="30"/>
      <c r="D1222" s="28"/>
      <c r="E1222" s="31"/>
      <c r="F1222" s="31"/>
      <c r="G1222" s="31"/>
      <c r="I1222" s="28"/>
      <c r="J1222" s="62"/>
      <c r="K1222" s="62"/>
      <c r="L1222" s="33"/>
      <c r="M1222" s="32"/>
      <c r="N1222" s="34"/>
      <c r="O1222" s="36"/>
      <c r="P1222" s="68"/>
      <c r="Q1222" s="24"/>
      <c r="R1222" s="24"/>
      <c r="S1222" s="64"/>
      <c r="V1222" s="67"/>
      <c r="X1222" s="67"/>
    </row>
    <row r="1223" spans="1:24" s="27" customFormat="1">
      <c r="A1223" s="31"/>
      <c r="B1223" s="24"/>
      <c r="C1223" s="30"/>
      <c r="D1223" s="28"/>
      <c r="E1223" s="31"/>
      <c r="F1223" s="31"/>
      <c r="G1223" s="31"/>
      <c r="I1223" s="28"/>
      <c r="J1223" s="62"/>
      <c r="K1223" s="62"/>
      <c r="L1223" s="33"/>
      <c r="M1223" s="32"/>
      <c r="N1223" s="34"/>
      <c r="O1223" s="36"/>
      <c r="P1223" s="68"/>
      <c r="Q1223" s="24"/>
      <c r="R1223" s="24"/>
      <c r="S1223" s="64"/>
      <c r="V1223" s="67"/>
      <c r="X1223" s="67"/>
    </row>
    <row r="1224" spans="1:24" s="27" customFormat="1">
      <c r="A1224" s="31"/>
      <c r="B1224" s="24"/>
      <c r="C1224" s="30"/>
      <c r="D1224" s="28"/>
      <c r="E1224" s="31"/>
      <c r="F1224" s="31"/>
      <c r="G1224" s="31"/>
      <c r="I1224" s="28"/>
      <c r="J1224" s="62"/>
      <c r="K1224" s="62"/>
      <c r="L1224" s="33"/>
      <c r="M1224" s="32"/>
      <c r="N1224" s="34"/>
      <c r="O1224" s="36"/>
      <c r="P1224" s="68"/>
      <c r="Q1224" s="24"/>
      <c r="R1224" s="24"/>
      <c r="S1224" s="64"/>
      <c r="V1224" s="67"/>
      <c r="X1224" s="67"/>
    </row>
    <row r="1225" spans="1:24" s="27" customFormat="1">
      <c r="A1225" s="31"/>
      <c r="B1225" s="24"/>
      <c r="C1225" s="30"/>
      <c r="D1225" s="28"/>
      <c r="E1225" s="31"/>
      <c r="F1225" s="31"/>
      <c r="G1225" s="31"/>
      <c r="I1225" s="28"/>
      <c r="J1225" s="62"/>
      <c r="K1225" s="62"/>
      <c r="L1225" s="33"/>
      <c r="M1225" s="32"/>
      <c r="N1225" s="34"/>
      <c r="O1225" s="36"/>
      <c r="P1225" s="68"/>
      <c r="Q1225" s="24"/>
      <c r="R1225" s="24"/>
      <c r="S1225" s="64"/>
      <c r="V1225" s="67"/>
      <c r="X1225" s="67"/>
    </row>
    <row r="1226" spans="1:24" s="27" customFormat="1">
      <c r="A1226" s="31"/>
      <c r="B1226" s="24"/>
      <c r="C1226" s="30"/>
      <c r="D1226" s="28"/>
      <c r="E1226" s="31"/>
      <c r="F1226" s="31"/>
      <c r="G1226" s="31"/>
      <c r="I1226" s="28"/>
      <c r="J1226" s="62"/>
      <c r="K1226" s="62"/>
      <c r="L1226" s="33"/>
      <c r="M1226" s="32"/>
      <c r="N1226" s="34"/>
      <c r="O1226" s="36"/>
      <c r="P1226" s="68"/>
      <c r="Q1226" s="24"/>
      <c r="R1226" s="24"/>
      <c r="S1226" s="64"/>
      <c r="V1226" s="67"/>
      <c r="X1226" s="67"/>
    </row>
    <row r="1227" spans="1:24" s="27" customFormat="1">
      <c r="A1227" s="31"/>
      <c r="B1227" s="24"/>
      <c r="C1227" s="30"/>
      <c r="D1227" s="28"/>
      <c r="E1227" s="31"/>
      <c r="F1227" s="31"/>
      <c r="G1227" s="31"/>
      <c r="I1227" s="28"/>
      <c r="J1227" s="62"/>
      <c r="K1227" s="62"/>
      <c r="L1227" s="33"/>
      <c r="M1227" s="32"/>
      <c r="N1227" s="34"/>
      <c r="O1227" s="36"/>
      <c r="P1227" s="68"/>
      <c r="Q1227" s="24"/>
      <c r="R1227" s="24"/>
      <c r="S1227" s="64"/>
      <c r="V1227" s="67"/>
      <c r="X1227" s="67"/>
    </row>
    <row r="1228" spans="1:24" s="27" customFormat="1">
      <c r="A1228" s="31"/>
      <c r="B1228" s="24"/>
      <c r="C1228" s="30"/>
      <c r="D1228" s="28"/>
      <c r="E1228" s="31"/>
      <c r="F1228" s="31"/>
      <c r="G1228" s="31"/>
      <c r="I1228" s="28"/>
      <c r="J1228" s="62"/>
      <c r="K1228" s="62"/>
      <c r="L1228" s="33"/>
      <c r="M1228" s="32"/>
      <c r="N1228" s="34"/>
      <c r="O1228" s="36"/>
      <c r="P1228" s="68"/>
      <c r="Q1228" s="24"/>
      <c r="R1228" s="24"/>
      <c r="S1228" s="64"/>
      <c r="V1228" s="67"/>
      <c r="X1228" s="67"/>
    </row>
    <row r="1229" spans="1:24" s="27" customFormat="1">
      <c r="A1229" s="31"/>
      <c r="B1229" s="24"/>
      <c r="C1229" s="30"/>
      <c r="D1229" s="28"/>
      <c r="E1229" s="31"/>
      <c r="F1229" s="31"/>
      <c r="G1229" s="31"/>
      <c r="I1229" s="28"/>
      <c r="J1229" s="62"/>
      <c r="K1229" s="62"/>
      <c r="L1229" s="33"/>
      <c r="M1229" s="32"/>
      <c r="N1229" s="34"/>
      <c r="O1229" s="36"/>
      <c r="P1229" s="68"/>
      <c r="Q1229" s="24"/>
      <c r="R1229" s="24"/>
      <c r="S1229" s="64"/>
      <c r="V1229" s="67"/>
      <c r="X1229" s="67"/>
    </row>
    <row r="1230" spans="1:24" s="27" customFormat="1">
      <c r="A1230" s="31"/>
      <c r="B1230" s="24"/>
      <c r="C1230" s="30"/>
      <c r="D1230" s="28"/>
      <c r="E1230" s="31"/>
      <c r="F1230" s="31"/>
      <c r="G1230" s="31"/>
      <c r="I1230" s="28"/>
      <c r="J1230" s="62"/>
      <c r="K1230" s="62"/>
      <c r="L1230" s="33"/>
      <c r="M1230" s="32"/>
      <c r="N1230" s="34"/>
      <c r="O1230" s="36"/>
      <c r="P1230" s="68"/>
      <c r="Q1230" s="24"/>
      <c r="R1230" s="24"/>
      <c r="S1230" s="64"/>
      <c r="V1230" s="67"/>
      <c r="X1230" s="67"/>
    </row>
    <row r="1231" spans="1:24" s="27" customFormat="1">
      <c r="A1231" s="31"/>
      <c r="B1231" s="24"/>
      <c r="C1231" s="30"/>
      <c r="D1231" s="28"/>
      <c r="E1231" s="31"/>
      <c r="F1231" s="31"/>
      <c r="G1231" s="31"/>
      <c r="I1231" s="28"/>
      <c r="J1231" s="62"/>
      <c r="K1231" s="62"/>
      <c r="L1231" s="33"/>
      <c r="M1231" s="32"/>
      <c r="N1231" s="34"/>
      <c r="O1231" s="36"/>
      <c r="P1231" s="68"/>
      <c r="Q1231" s="24"/>
      <c r="R1231" s="24"/>
      <c r="S1231" s="64"/>
      <c r="V1231" s="67"/>
      <c r="X1231" s="67"/>
    </row>
    <row r="1232" spans="1:24" s="27" customFormat="1">
      <c r="A1232" s="31"/>
      <c r="B1232" s="24"/>
      <c r="C1232" s="30"/>
      <c r="D1232" s="28"/>
      <c r="E1232" s="31"/>
      <c r="F1232" s="31"/>
      <c r="G1232" s="31"/>
      <c r="I1232" s="28"/>
      <c r="J1232" s="62"/>
      <c r="K1232" s="62"/>
      <c r="L1232" s="33"/>
      <c r="M1232" s="32"/>
      <c r="N1232" s="34"/>
      <c r="O1232" s="36"/>
      <c r="P1232" s="68"/>
      <c r="Q1232" s="24"/>
      <c r="R1232" s="24"/>
      <c r="S1232" s="64"/>
      <c r="V1232" s="67"/>
      <c r="X1232" s="67"/>
    </row>
    <row r="1233" spans="1:24" s="27" customFormat="1">
      <c r="A1233" s="31"/>
      <c r="B1233" s="24"/>
      <c r="C1233" s="30"/>
      <c r="D1233" s="28"/>
      <c r="E1233" s="31"/>
      <c r="F1233" s="31"/>
      <c r="G1233" s="31"/>
      <c r="I1233" s="28"/>
      <c r="J1233" s="62"/>
      <c r="K1233" s="62"/>
      <c r="L1233" s="33"/>
      <c r="M1233" s="32"/>
      <c r="N1233" s="34"/>
      <c r="O1233" s="36"/>
      <c r="P1233" s="68"/>
      <c r="Q1233" s="24"/>
      <c r="R1233" s="24"/>
      <c r="S1233" s="64"/>
      <c r="V1233" s="67"/>
      <c r="X1233" s="67"/>
    </row>
    <row r="1234" spans="1:24" s="27" customFormat="1">
      <c r="A1234" s="31"/>
      <c r="B1234" s="24"/>
      <c r="C1234" s="30"/>
      <c r="D1234" s="28"/>
      <c r="E1234" s="31"/>
      <c r="F1234" s="31"/>
      <c r="G1234" s="31"/>
      <c r="I1234" s="28"/>
      <c r="J1234" s="62"/>
      <c r="K1234" s="62"/>
      <c r="L1234" s="33"/>
      <c r="M1234" s="32"/>
      <c r="N1234" s="34"/>
      <c r="O1234" s="36"/>
      <c r="P1234" s="68"/>
      <c r="Q1234" s="24"/>
      <c r="R1234" s="24"/>
      <c r="S1234" s="64"/>
      <c r="V1234" s="67"/>
      <c r="X1234" s="67"/>
    </row>
    <row r="1235" spans="1:24" s="27" customFormat="1">
      <c r="A1235" s="31"/>
      <c r="B1235" s="24"/>
      <c r="C1235" s="30"/>
      <c r="D1235" s="28"/>
      <c r="E1235" s="31"/>
      <c r="F1235" s="31"/>
      <c r="G1235" s="31"/>
      <c r="I1235" s="28"/>
      <c r="J1235" s="62"/>
      <c r="K1235" s="62"/>
      <c r="L1235" s="33"/>
      <c r="M1235" s="32"/>
      <c r="N1235" s="34"/>
      <c r="O1235" s="36"/>
      <c r="P1235" s="68"/>
      <c r="Q1235" s="24"/>
      <c r="R1235" s="24"/>
      <c r="S1235" s="64"/>
      <c r="V1235" s="67"/>
      <c r="X1235" s="67"/>
    </row>
    <row r="1236" spans="1:24" s="27" customFormat="1">
      <c r="A1236" s="31"/>
      <c r="B1236" s="24"/>
      <c r="C1236" s="30"/>
      <c r="D1236" s="28"/>
      <c r="E1236" s="31"/>
      <c r="F1236" s="31"/>
      <c r="G1236" s="31"/>
      <c r="I1236" s="28"/>
      <c r="J1236" s="62"/>
      <c r="K1236" s="62"/>
      <c r="L1236" s="33"/>
      <c r="M1236" s="32"/>
      <c r="N1236" s="34"/>
      <c r="O1236" s="36"/>
      <c r="P1236" s="68"/>
      <c r="Q1236" s="24"/>
      <c r="R1236" s="24"/>
      <c r="S1236" s="64"/>
      <c r="V1236" s="67"/>
      <c r="X1236" s="67"/>
    </row>
    <row r="1237" spans="1:24" s="27" customFormat="1">
      <c r="A1237" s="31"/>
      <c r="B1237" s="24"/>
      <c r="C1237" s="30"/>
      <c r="D1237" s="28"/>
      <c r="E1237" s="31"/>
      <c r="F1237" s="31"/>
      <c r="G1237" s="31"/>
      <c r="I1237" s="28"/>
      <c r="J1237" s="62"/>
      <c r="K1237" s="62"/>
      <c r="L1237" s="33"/>
      <c r="M1237" s="32"/>
      <c r="N1237" s="34"/>
      <c r="O1237" s="36"/>
      <c r="P1237" s="68"/>
      <c r="Q1237" s="24"/>
      <c r="R1237" s="24"/>
      <c r="S1237" s="64"/>
      <c r="V1237" s="67"/>
      <c r="X1237" s="67"/>
    </row>
    <row r="1238" spans="1:24" s="27" customFormat="1">
      <c r="A1238" s="31"/>
      <c r="B1238" s="24"/>
      <c r="C1238" s="30"/>
      <c r="D1238" s="28"/>
      <c r="E1238" s="31"/>
      <c r="F1238" s="31"/>
      <c r="G1238" s="31"/>
      <c r="I1238" s="28"/>
      <c r="J1238" s="62"/>
      <c r="K1238" s="62"/>
      <c r="L1238" s="33"/>
      <c r="M1238" s="32"/>
      <c r="N1238" s="34"/>
      <c r="O1238" s="36"/>
      <c r="P1238" s="68"/>
      <c r="Q1238" s="24"/>
      <c r="R1238" s="24"/>
      <c r="S1238" s="64"/>
      <c r="V1238" s="67"/>
      <c r="X1238" s="67"/>
    </row>
    <row r="1239" spans="1:24" s="27" customFormat="1">
      <c r="A1239" s="31"/>
      <c r="B1239" s="24"/>
      <c r="C1239" s="30"/>
      <c r="D1239" s="28"/>
      <c r="E1239" s="31"/>
      <c r="F1239" s="31"/>
      <c r="G1239" s="31"/>
      <c r="I1239" s="28"/>
      <c r="J1239" s="62"/>
      <c r="K1239" s="62"/>
      <c r="L1239" s="33"/>
      <c r="M1239" s="32"/>
      <c r="N1239" s="34"/>
      <c r="O1239" s="36"/>
      <c r="P1239" s="68"/>
      <c r="Q1239" s="24"/>
      <c r="R1239" s="24"/>
      <c r="S1239" s="64"/>
      <c r="V1239" s="67"/>
      <c r="X1239" s="67"/>
    </row>
    <row r="1240" spans="1:24" s="27" customFormat="1">
      <c r="A1240" s="31"/>
      <c r="B1240" s="24"/>
      <c r="C1240" s="30"/>
      <c r="D1240" s="28"/>
      <c r="E1240" s="31"/>
      <c r="F1240" s="31"/>
      <c r="G1240" s="31"/>
      <c r="I1240" s="28"/>
      <c r="J1240" s="62"/>
      <c r="K1240" s="62"/>
      <c r="L1240" s="33"/>
      <c r="M1240" s="32"/>
      <c r="N1240" s="34"/>
      <c r="O1240" s="36"/>
      <c r="P1240" s="68"/>
      <c r="Q1240" s="24"/>
      <c r="R1240" s="24"/>
      <c r="S1240" s="64"/>
      <c r="V1240" s="67"/>
      <c r="X1240" s="67"/>
    </row>
    <row r="1241" spans="1:24" s="27" customFormat="1">
      <c r="A1241" s="31"/>
      <c r="B1241" s="24"/>
      <c r="C1241" s="30"/>
      <c r="D1241" s="28"/>
      <c r="E1241" s="31"/>
      <c r="F1241" s="31"/>
      <c r="G1241" s="31"/>
      <c r="I1241" s="28"/>
      <c r="J1241" s="62"/>
      <c r="K1241" s="62"/>
      <c r="L1241" s="33"/>
      <c r="M1241" s="32"/>
      <c r="N1241" s="34"/>
      <c r="O1241" s="36"/>
      <c r="P1241" s="68"/>
      <c r="Q1241" s="24"/>
      <c r="R1241" s="24"/>
      <c r="S1241" s="64"/>
      <c r="V1241" s="67"/>
      <c r="X1241" s="67"/>
    </row>
    <row r="1242" spans="1:24" s="27" customFormat="1">
      <c r="A1242" s="31"/>
      <c r="B1242" s="24"/>
      <c r="C1242" s="30"/>
      <c r="D1242" s="28"/>
      <c r="E1242" s="31"/>
      <c r="F1242" s="31"/>
      <c r="G1242" s="31"/>
      <c r="I1242" s="28"/>
      <c r="J1242" s="62"/>
      <c r="K1242" s="62"/>
      <c r="L1242" s="33"/>
      <c r="M1242" s="32"/>
      <c r="N1242" s="34"/>
      <c r="O1242" s="36"/>
      <c r="P1242" s="68"/>
      <c r="Q1242" s="24"/>
      <c r="R1242" s="24"/>
      <c r="S1242" s="64"/>
      <c r="V1242" s="67"/>
      <c r="X1242" s="67"/>
    </row>
    <row r="1243" spans="1:24" s="27" customFormat="1">
      <c r="A1243" s="31"/>
      <c r="B1243" s="24"/>
      <c r="C1243" s="30"/>
      <c r="D1243" s="28"/>
      <c r="E1243" s="31"/>
      <c r="F1243" s="31"/>
      <c r="G1243" s="31"/>
      <c r="I1243" s="28"/>
      <c r="J1243" s="62"/>
      <c r="K1243" s="62"/>
      <c r="L1243" s="33"/>
      <c r="M1243" s="32"/>
      <c r="N1243" s="34"/>
      <c r="O1243" s="36"/>
      <c r="P1243" s="68"/>
      <c r="Q1243" s="24"/>
      <c r="R1243" s="24"/>
      <c r="S1243" s="64"/>
      <c r="V1243" s="67"/>
      <c r="X1243" s="67"/>
    </row>
    <row r="1244" spans="1:24" s="27" customFormat="1">
      <c r="A1244" s="31"/>
      <c r="B1244" s="24"/>
      <c r="C1244" s="30"/>
      <c r="D1244" s="28"/>
      <c r="E1244" s="31"/>
      <c r="F1244" s="31"/>
      <c r="G1244" s="31"/>
      <c r="I1244" s="28"/>
      <c r="J1244" s="62"/>
      <c r="K1244" s="62"/>
      <c r="L1244" s="33"/>
      <c r="M1244" s="32"/>
      <c r="N1244" s="34"/>
      <c r="O1244" s="36"/>
      <c r="P1244" s="68"/>
      <c r="Q1244" s="24"/>
      <c r="R1244" s="24"/>
      <c r="S1244" s="64"/>
      <c r="V1244" s="67"/>
      <c r="X1244" s="67"/>
    </row>
    <row r="1245" spans="1:24" s="27" customFormat="1">
      <c r="A1245" s="31"/>
      <c r="B1245" s="24"/>
      <c r="C1245" s="30"/>
      <c r="D1245" s="28"/>
      <c r="E1245" s="31"/>
      <c r="F1245" s="31"/>
      <c r="G1245" s="31"/>
      <c r="I1245" s="28"/>
      <c r="J1245" s="62"/>
      <c r="K1245" s="62"/>
      <c r="L1245" s="33"/>
      <c r="M1245" s="32"/>
      <c r="N1245" s="34"/>
      <c r="O1245" s="36"/>
      <c r="P1245" s="68"/>
      <c r="Q1245" s="24"/>
      <c r="R1245" s="24"/>
      <c r="S1245" s="64"/>
      <c r="V1245" s="67"/>
      <c r="X1245" s="67"/>
    </row>
    <row r="1246" spans="1:24" s="27" customFormat="1">
      <c r="A1246" s="31"/>
      <c r="B1246" s="24"/>
      <c r="C1246" s="30"/>
      <c r="D1246" s="28"/>
      <c r="E1246" s="31"/>
      <c r="F1246" s="31"/>
      <c r="G1246" s="31"/>
      <c r="I1246" s="28"/>
      <c r="J1246" s="62"/>
      <c r="K1246" s="62"/>
      <c r="L1246" s="33"/>
      <c r="M1246" s="32"/>
      <c r="N1246" s="34"/>
      <c r="O1246" s="36"/>
      <c r="P1246" s="68"/>
      <c r="Q1246" s="24"/>
      <c r="R1246" s="24"/>
      <c r="S1246" s="64"/>
      <c r="V1246" s="67"/>
      <c r="X1246" s="67"/>
    </row>
    <row r="1247" spans="1:24" s="27" customFormat="1">
      <c r="A1247" s="31"/>
      <c r="B1247" s="24"/>
      <c r="C1247" s="30"/>
      <c r="D1247" s="28"/>
      <c r="E1247" s="31"/>
      <c r="F1247" s="31"/>
      <c r="G1247" s="31"/>
      <c r="I1247" s="28"/>
      <c r="J1247" s="62"/>
      <c r="K1247" s="62"/>
      <c r="L1247" s="33"/>
      <c r="M1247" s="32"/>
      <c r="N1247" s="34"/>
      <c r="O1247" s="36"/>
      <c r="P1247" s="68"/>
      <c r="Q1247" s="24"/>
      <c r="R1247" s="24"/>
      <c r="S1247" s="64"/>
      <c r="V1247" s="67"/>
      <c r="X1247" s="67"/>
    </row>
    <row r="1248" spans="1:24" s="27" customFormat="1">
      <c r="A1248" s="31"/>
      <c r="B1248" s="24"/>
      <c r="C1248" s="30"/>
      <c r="D1248" s="28"/>
      <c r="E1248" s="31"/>
      <c r="F1248" s="31"/>
      <c r="G1248" s="31"/>
      <c r="I1248" s="28"/>
      <c r="J1248" s="62"/>
      <c r="K1248" s="62"/>
      <c r="L1248" s="33"/>
      <c r="M1248" s="32"/>
      <c r="N1248" s="34"/>
      <c r="O1248" s="36"/>
      <c r="P1248" s="68"/>
      <c r="Q1248" s="24"/>
      <c r="R1248" s="24"/>
      <c r="S1248" s="64"/>
      <c r="V1248" s="67"/>
      <c r="X1248" s="67"/>
    </row>
    <row r="1249" spans="1:24" s="27" customFormat="1">
      <c r="A1249" s="31"/>
      <c r="B1249" s="24"/>
      <c r="C1249" s="30"/>
      <c r="D1249" s="28"/>
      <c r="E1249" s="31"/>
      <c r="F1249" s="31"/>
      <c r="G1249" s="31"/>
      <c r="I1249" s="28"/>
      <c r="J1249" s="62"/>
      <c r="K1249" s="62"/>
      <c r="L1249" s="33"/>
      <c r="M1249" s="32"/>
      <c r="N1249" s="34"/>
      <c r="O1249" s="36"/>
      <c r="P1249" s="68"/>
      <c r="Q1249" s="24"/>
      <c r="R1249" s="24"/>
      <c r="S1249" s="64"/>
      <c r="V1249" s="67"/>
      <c r="X1249" s="67"/>
    </row>
    <row r="1250" spans="1:24" s="27" customFormat="1">
      <c r="A1250" s="31"/>
      <c r="B1250" s="24"/>
      <c r="C1250" s="30"/>
      <c r="D1250" s="28"/>
      <c r="E1250" s="31"/>
      <c r="F1250" s="31"/>
      <c r="G1250" s="31"/>
      <c r="I1250" s="28"/>
      <c r="J1250" s="62"/>
      <c r="K1250" s="62"/>
      <c r="L1250" s="33"/>
      <c r="M1250" s="32"/>
      <c r="N1250" s="34"/>
      <c r="O1250" s="36"/>
      <c r="P1250" s="68"/>
      <c r="Q1250" s="24"/>
      <c r="R1250" s="24"/>
      <c r="S1250" s="64"/>
      <c r="V1250" s="67"/>
      <c r="X1250" s="67"/>
    </row>
    <row r="1251" spans="1:24" s="27" customFormat="1">
      <c r="A1251" s="31"/>
      <c r="B1251" s="24"/>
      <c r="C1251" s="30"/>
      <c r="D1251" s="28"/>
      <c r="E1251" s="31"/>
      <c r="F1251" s="31"/>
      <c r="G1251" s="31"/>
      <c r="I1251" s="28"/>
      <c r="J1251" s="62"/>
      <c r="K1251" s="62"/>
      <c r="L1251" s="33"/>
      <c r="M1251" s="32"/>
      <c r="N1251" s="34"/>
      <c r="O1251" s="36"/>
      <c r="P1251" s="68"/>
      <c r="Q1251" s="24"/>
      <c r="R1251" s="24"/>
      <c r="S1251" s="64"/>
      <c r="V1251" s="67"/>
      <c r="X1251" s="67"/>
    </row>
    <row r="1252" spans="1:24" s="27" customFormat="1">
      <c r="A1252" s="31"/>
      <c r="B1252" s="24"/>
      <c r="C1252" s="30"/>
      <c r="D1252" s="28"/>
      <c r="E1252" s="31"/>
      <c r="F1252" s="31"/>
      <c r="G1252" s="31"/>
      <c r="I1252" s="28"/>
      <c r="J1252" s="62"/>
      <c r="K1252" s="62"/>
      <c r="L1252" s="33"/>
      <c r="M1252" s="32"/>
      <c r="N1252" s="34"/>
      <c r="O1252" s="36"/>
      <c r="P1252" s="68"/>
      <c r="Q1252" s="24"/>
      <c r="R1252" s="24"/>
      <c r="S1252" s="64"/>
      <c r="V1252" s="67"/>
      <c r="X1252" s="67"/>
    </row>
    <row r="1253" spans="1:24" s="27" customFormat="1">
      <c r="A1253" s="31"/>
      <c r="B1253" s="24"/>
      <c r="C1253" s="30"/>
      <c r="D1253" s="28"/>
      <c r="E1253" s="31"/>
      <c r="F1253" s="31"/>
      <c r="G1253" s="31"/>
      <c r="I1253" s="28"/>
      <c r="J1253" s="62"/>
      <c r="K1253" s="62"/>
      <c r="L1253" s="33"/>
      <c r="M1253" s="32"/>
      <c r="N1253" s="34"/>
      <c r="O1253" s="36"/>
      <c r="P1253" s="68"/>
      <c r="Q1253" s="24"/>
      <c r="R1253" s="24"/>
      <c r="S1253" s="64"/>
      <c r="V1253" s="67"/>
      <c r="X1253" s="67"/>
    </row>
    <row r="1254" spans="1:24" s="27" customFormat="1">
      <c r="A1254" s="31"/>
      <c r="B1254" s="24"/>
      <c r="C1254" s="30"/>
      <c r="D1254" s="28"/>
      <c r="E1254" s="31"/>
      <c r="F1254" s="31"/>
      <c r="G1254" s="31"/>
      <c r="I1254" s="28"/>
      <c r="J1254" s="62"/>
      <c r="K1254" s="62"/>
      <c r="L1254" s="33"/>
      <c r="M1254" s="32"/>
      <c r="N1254" s="34"/>
      <c r="O1254" s="36"/>
      <c r="P1254" s="68"/>
      <c r="Q1254" s="24"/>
      <c r="R1254" s="24"/>
      <c r="S1254" s="64"/>
      <c r="V1254" s="67"/>
      <c r="X1254" s="67"/>
    </row>
    <row r="1255" spans="1:24" s="27" customFormat="1">
      <c r="A1255" s="31"/>
      <c r="B1255" s="24"/>
      <c r="C1255" s="30"/>
      <c r="D1255" s="28"/>
      <c r="E1255" s="31"/>
      <c r="F1255" s="31"/>
      <c r="G1255" s="31"/>
      <c r="I1255" s="28"/>
      <c r="J1255" s="62"/>
      <c r="K1255" s="62"/>
      <c r="L1255" s="33"/>
      <c r="M1255" s="32"/>
      <c r="N1255" s="34"/>
      <c r="O1255" s="36"/>
      <c r="P1255" s="68"/>
      <c r="Q1255" s="24"/>
      <c r="R1255" s="24"/>
      <c r="S1255" s="64"/>
      <c r="V1255" s="67"/>
      <c r="X1255" s="67"/>
    </row>
    <row r="1256" spans="1:24" s="27" customFormat="1">
      <c r="A1256" s="31"/>
      <c r="B1256" s="24"/>
      <c r="C1256" s="30"/>
      <c r="D1256" s="28"/>
      <c r="E1256" s="31"/>
      <c r="F1256" s="31"/>
      <c r="G1256" s="31"/>
      <c r="I1256" s="28"/>
      <c r="J1256" s="62"/>
      <c r="K1256" s="62"/>
      <c r="L1256" s="33"/>
      <c r="M1256" s="32"/>
      <c r="N1256" s="34"/>
      <c r="O1256" s="36"/>
      <c r="P1256" s="68"/>
      <c r="Q1256" s="24"/>
      <c r="R1256" s="24"/>
      <c r="S1256" s="64"/>
      <c r="V1256" s="67"/>
      <c r="X1256" s="67"/>
    </row>
    <row r="1257" spans="1:24" s="27" customFormat="1">
      <c r="A1257" s="31"/>
      <c r="B1257" s="24"/>
      <c r="C1257" s="30"/>
      <c r="D1257" s="28"/>
      <c r="E1257" s="31"/>
      <c r="F1257" s="31"/>
      <c r="G1257" s="31"/>
      <c r="I1257" s="28"/>
      <c r="J1257" s="62"/>
      <c r="K1257" s="62"/>
      <c r="L1257" s="33"/>
      <c r="M1257" s="32"/>
      <c r="N1257" s="34"/>
      <c r="O1257" s="36"/>
      <c r="P1257" s="68"/>
      <c r="Q1257" s="24"/>
      <c r="R1257" s="24"/>
      <c r="S1257" s="64"/>
      <c r="V1257" s="67"/>
      <c r="X1257" s="67"/>
    </row>
    <row r="1258" spans="1:24" s="27" customFormat="1">
      <c r="A1258" s="31"/>
      <c r="B1258" s="24"/>
      <c r="C1258" s="30"/>
      <c r="D1258" s="28"/>
      <c r="E1258" s="31"/>
      <c r="F1258" s="31"/>
      <c r="G1258" s="31"/>
      <c r="I1258" s="28"/>
      <c r="J1258" s="62"/>
      <c r="K1258" s="62"/>
      <c r="L1258" s="33"/>
      <c r="M1258" s="32"/>
      <c r="N1258" s="34"/>
      <c r="O1258" s="36"/>
      <c r="P1258" s="68"/>
      <c r="Q1258" s="24"/>
      <c r="R1258" s="24"/>
      <c r="S1258" s="64"/>
      <c r="V1258" s="67"/>
      <c r="X1258" s="67"/>
    </row>
    <row r="1259" spans="1:24" s="27" customFormat="1">
      <c r="A1259" s="31"/>
      <c r="B1259" s="24"/>
      <c r="C1259" s="30"/>
      <c r="D1259" s="28"/>
      <c r="E1259" s="31"/>
      <c r="F1259" s="31"/>
      <c r="G1259" s="31"/>
      <c r="I1259" s="28"/>
      <c r="J1259" s="62"/>
      <c r="K1259" s="62"/>
      <c r="L1259" s="33"/>
      <c r="M1259" s="32"/>
      <c r="N1259" s="34"/>
      <c r="O1259" s="36"/>
      <c r="P1259" s="68"/>
      <c r="Q1259" s="24"/>
      <c r="R1259" s="24"/>
      <c r="S1259" s="64"/>
      <c r="V1259" s="67"/>
      <c r="X1259" s="67"/>
    </row>
    <row r="1260" spans="1:24" s="27" customFormat="1">
      <c r="A1260" s="31"/>
      <c r="B1260" s="24"/>
      <c r="C1260" s="30"/>
      <c r="D1260" s="28"/>
      <c r="E1260" s="31"/>
      <c r="F1260" s="31"/>
      <c r="G1260" s="31"/>
      <c r="I1260" s="28"/>
      <c r="J1260" s="62"/>
      <c r="K1260" s="62"/>
      <c r="L1260" s="33"/>
      <c r="M1260" s="32"/>
      <c r="N1260" s="34"/>
      <c r="O1260" s="36"/>
      <c r="P1260" s="68"/>
      <c r="Q1260" s="24"/>
      <c r="R1260" s="24"/>
      <c r="S1260" s="64"/>
      <c r="V1260" s="67"/>
      <c r="X1260" s="67"/>
    </row>
    <row r="1261" spans="1:24" s="27" customFormat="1">
      <c r="A1261" s="31"/>
      <c r="B1261" s="24"/>
      <c r="C1261" s="30"/>
      <c r="D1261" s="28"/>
      <c r="E1261" s="31"/>
      <c r="F1261" s="31"/>
      <c r="G1261" s="31"/>
      <c r="I1261" s="28"/>
      <c r="J1261" s="62"/>
      <c r="K1261" s="62"/>
      <c r="L1261" s="33"/>
      <c r="M1261" s="32"/>
      <c r="N1261" s="34"/>
      <c r="O1261" s="36"/>
      <c r="P1261" s="68"/>
      <c r="Q1261" s="24"/>
      <c r="R1261" s="24"/>
      <c r="S1261" s="64"/>
      <c r="V1261" s="67"/>
      <c r="X1261" s="67"/>
    </row>
    <row r="1262" spans="1:24" s="27" customFormat="1">
      <c r="A1262" s="31"/>
      <c r="B1262" s="24"/>
      <c r="C1262" s="30"/>
      <c r="D1262" s="28"/>
      <c r="E1262" s="31"/>
      <c r="F1262" s="31"/>
      <c r="G1262" s="31"/>
      <c r="I1262" s="28"/>
      <c r="J1262" s="62"/>
      <c r="K1262" s="62"/>
      <c r="L1262" s="33"/>
      <c r="M1262" s="32"/>
      <c r="N1262" s="34"/>
      <c r="O1262" s="36"/>
      <c r="P1262" s="68"/>
      <c r="Q1262" s="24"/>
      <c r="R1262" s="24"/>
      <c r="S1262" s="64"/>
      <c r="V1262" s="67"/>
      <c r="X1262" s="67"/>
    </row>
    <row r="1263" spans="1:24" s="27" customFormat="1">
      <c r="A1263" s="31"/>
      <c r="B1263" s="24"/>
      <c r="C1263" s="30"/>
      <c r="D1263" s="28"/>
      <c r="E1263" s="31"/>
      <c r="F1263" s="31"/>
      <c r="G1263" s="31"/>
      <c r="I1263" s="28"/>
      <c r="J1263" s="62"/>
      <c r="K1263" s="62"/>
      <c r="L1263" s="33"/>
      <c r="M1263" s="32"/>
      <c r="N1263" s="34"/>
      <c r="O1263" s="36"/>
      <c r="P1263" s="68"/>
      <c r="Q1263" s="24"/>
      <c r="R1263" s="24"/>
      <c r="S1263" s="64"/>
      <c r="V1263" s="67"/>
      <c r="X1263" s="67"/>
    </row>
    <row r="1264" spans="1:24" s="27" customFormat="1">
      <c r="A1264" s="31"/>
      <c r="B1264" s="24"/>
      <c r="C1264" s="30"/>
      <c r="D1264" s="28"/>
      <c r="E1264" s="31"/>
      <c r="F1264" s="31"/>
      <c r="G1264" s="31"/>
      <c r="I1264" s="28"/>
      <c r="J1264" s="62"/>
      <c r="K1264" s="62"/>
      <c r="L1264" s="33"/>
      <c r="M1264" s="32"/>
      <c r="N1264" s="34"/>
      <c r="O1264" s="36"/>
      <c r="P1264" s="68"/>
      <c r="Q1264" s="24"/>
      <c r="R1264" s="24"/>
      <c r="S1264" s="64"/>
      <c r="V1264" s="67"/>
      <c r="X1264" s="67"/>
    </row>
    <row r="1265" spans="1:24" s="27" customFormat="1">
      <c r="A1265" s="31"/>
      <c r="B1265" s="24"/>
      <c r="C1265" s="30"/>
      <c r="D1265" s="28"/>
      <c r="E1265" s="31"/>
      <c r="F1265" s="31"/>
      <c r="G1265" s="31"/>
      <c r="I1265" s="28"/>
      <c r="J1265" s="62"/>
      <c r="K1265" s="62"/>
      <c r="L1265" s="33"/>
      <c r="M1265" s="32"/>
      <c r="N1265" s="34"/>
      <c r="O1265" s="36"/>
      <c r="P1265" s="68"/>
      <c r="Q1265" s="24"/>
      <c r="R1265" s="24"/>
      <c r="S1265" s="64"/>
      <c r="V1265" s="67"/>
      <c r="X1265" s="67"/>
    </row>
    <row r="1266" spans="1:24" s="27" customFormat="1">
      <c r="A1266" s="31"/>
      <c r="B1266" s="24"/>
      <c r="C1266" s="30"/>
      <c r="D1266" s="28"/>
      <c r="E1266" s="31"/>
      <c r="F1266" s="31"/>
      <c r="G1266" s="31"/>
      <c r="I1266" s="28"/>
      <c r="J1266" s="62"/>
      <c r="K1266" s="62"/>
      <c r="L1266" s="33"/>
      <c r="M1266" s="32"/>
      <c r="N1266" s="34"/>
      <c r="O1266" s="36"/>
      <c r="P1266" s="68"/>
      <c r="Q1266" s="24"/>
      <c r="R1266" s="24"/>
      <c r="S1266" s="64"/>
      <c r="V1266" s="67"/>
      <c r="X1266" s="67"/>
    </row>
    <row r="1267" spans="1:24" s="27" customFormat="1">
      <c r="A1267" s="31"/>
      <c r="B1267" s="24"/>
      <c r="C1267" s="30"/>
      <c r="D1267" s="28"/>
      <c r="E1267" s="31"/>
      <c r="F1267" s="31"/>
      <c r="G1267" s="31"/>
      <c r="I1267" s="28"/>
      <c r="J1267" s="62"/>
      <c r="K1267" s="62"/>
      <c r="L1267" s="33"/>
      <c r="M1267" s="32"/>
      <c r="N1267" s="34"/>
      <c r="O1267" s="36"/>
      <c r="P1267" s="68"/>
      <c r="Q1267" s="24"/>
      <c r="R1267" s="24"/>
      <c r="S1267" s="64"/>
      <c r="V1267" s="67"/>
      <c r="X1267" s="67"/>
    </row>
    <row r="1268" spans="1:24" s="27" customFormat="1">
      <c r="A1268" s="31"/>
      <c r="B1268" s="24"/>
      <c r="C1268" s="30"/>
      <c r="D1268" s="28"/>
      <c r="E1268" s="31"/>
      <c r="F1268" s="31"/>
      <c r="G1268" s="31"/>
      <c r="I1268" s="28"/>
      <c r="J1268" s="62"/>
      <c r="K1268" s="62"/>
      <c r="L1268" s="33"/>
      <c r="M1268" s="32"/>
      <c r="N1268" s="34"/>
      <c r="O1268" s="36"/>
      <c r="P1268" s="68"/>
      <c r="Q1268" s="24"/>
      <c r="R1268" s="24"/>
      <c r="S1268" s="64"/>
      <c r="V1268" s="67"/>
      <c r="X1268" s="67"/>
    </row>
    <row r="1269" spans="1:24" s="27" customFormat="1">
      <c r="A1269" s="31"/>
      <c r="B1269" s="24"/>
      <c r="C1269" s="30"/>
      <c r="D1269" s="28"/>
      <c r="E1269" s="31"/>
      <c r="F1269" s="31"/>
      <c r="G1269" s="31"/>
      <c r="I1269" s="28"/>
      <c r="J1269" s="62"/>
      <c r="K1269" s="62"/>
      <c r="L1269" s="33"/>
      <c r="M1269" s="32"/>
      <c r="N1269" s="34"/>
      <c r="O1269" s="36"/>
      <c r="P1269" s="68"/>
      <c r="Q1269" s="24"/>
      <c r="R1269" s="24"/>
      <c r="S1269" s="64"/>
      <c r="V1269" s="67"/>
      <c r="X1269" s="67"/>
    </row>
    <row r="1270" spans="1:24" s="27" customFormat="1">
      <c r="A1270" s="31"/>
      <c r="B1270" s="24"/>
      <c r="C1270" s="30"/>
      <c r="D1270" s="28"/>
      <c r="E1270" s="31"/>
      <c r="F1270" s="31"/>
      <c r="G1270" s="31"/>
      <c r="I1270" s="28"/>
      <c r="J1270" s="62"/>
      <c r="K1270" s="62"/>
      <c r="L1270" s="33"/>
      <c r="M1270" s="32"/>
      <c r="N1270" s="34"/>
      <c r="O1270" s="36"/>
      <c r="P1270" s="68"/>
      <c r="Q1270" s="24"/>
      <c r="R1270" s="24"/>
      <c r="S1270" s="64"/>
      <c r="V1270" s="67"/>
      <c r="X1270" s="67"/>
    </row>
    <row r="1271" spans="1:24" s="27" customFormat="1">
      <c r="A1271" s="31"/>
      <c r="B1271" s="24"/>
      <c r="C1271" s="30"/>
      <c r="D1271" s="28"/>
      <c r="E1271" s="31"/>
      <c r="F1271" s="31"/>
      <c r="G1271" s="31"/>
      <c r="I1271" s="28"/>
      <c r="J1271" s="62"/>
      <c r="K1271" s="62"/>
      <c r="L1271" s="33"/>
      <c r="M1271" s="32"/>
      <c r="N1271" s="34"/>
      <c r="O1271" s="36"/>
      <c r="P1271" s="68"/>
      <c r="Q1271" s="24"/>
      <c r="R1271" s="24"/>
      <c r="S1271" s="64"/>
      <c r="V1271" s="67"/>
      <c r="X1271" s="67"/>
    </row>
    <row r="1272" spans="1:24" s="27" customFormat="1">
      <c r="A1272" s="31"/>
      <c r="B1272" s="24"/>
      <c r="C1272" s="30"/>
      <c r="D1272" s="28"/>
      <c r="E1272" s="31"/>
      <c r="F1272" s="31"/>
      <c r="G1272" s="31"/>
      <c r="I1272" s="28"/>
      <c r="J1272" s="62"/>
      <c r="K1272" s="62"/>
      <c r="L1272" s="33"/>
      <c r="M1272" s="32"/>
      <c r="N1272" s="34"/>
      <c r="O1272" s="36"/>
      <c r="P1272" s="68"/>
      <c r="Q1272" s="24"/>
      <c r="R1272" s="24"/>
      <c r="S1272" s="64"/>
      <c r="V1272" s="67"/>
      <c r="X1272" s="67"/>
    </row>
    <row r="1273" spans="1:24" s="27" customFormat="1">
      <c r="A1273" s="31"/>
      <c r="B1273" s="24"/>
      <c r="C1273" s="30"/>
      <c r="D1273" s="28"/>
      <c r="E1273" s="31"/>
      <c r="F1273" s="31"/>
      <c r="G1273" s="31"/>
      <c r="I1273" s="28"/>
      <c r="J1273" s="62"/>
      <c r="K1273" s="62"/>
      <c r="L1273" s="33"/>
      <c r="M1273" s="32"/>
      <c r="N1273" s="34"/>
      <c r="O1273" s="36"/>
      <c r="P1273" s="68"/>
      <c r="Q1273" s="24"/>
      <c r="R1273" s="24"/>
      <c r="S1273" s="64"/>
      <c r="V1273" s="67"/>
      <c r="X1273" s="67"/>
    </row>
    <row r="1274" spans="1:24" s="27" customFormat="1">
      <c r="A1274" s="31"/>
      <c r="B1274" s="24"/>
      <c r="C1274" s="30"/>
      <c r="D1274" s="28"/>
      <c r="E1274" s="31"/>
      <c r="F1274" s="31"/>
      <c r="G1274" s="31"/>
      <c r="I1274" s="28"/>
      <c r="J1274" s="62"/>
      <c r="K1274" s="62"/>
      <c r="L1274" s="33"/>
      <c r="M1274" s="32"/>
      <c r="N1274" s="34"/>
      <c r="O1274" s="36"/>
      <c r="P1274" s="68"/>
      <c r="Q1274" s="24"/>
      <c r="R1274" s="24"/>
      <c r="S1274" s="64"/>
      <c r="V1274" s="67"/>
      <c r="X1274" s="67"/>
    </row>
    <row r="1275" spans="1:24" s="27" customFormat="1">
      <c r="A1275" s="31"/>
      <c r="B1275" s="24"/>
      <c r="C1275" s="30"/>
      <c r="D1275" s="28"/>
      <c r="E1275" s="31"/>
      <c r="F1275" s="31"/>
      <c r="G1275" s="31"/>
      <c r="I1275" s="28"/>
      <c r="J1275" s="62"/>
      <c r="K1275" s="62"/>
      <c r="L1275" s="33"/>
      <c r="M1275" s="32"/>
      <c r="N1275" s="34"/>
      <c r="O1275" s="36"/>
      <c r="P1275" s="68"/>
      <c r="Q1275" s="24"/>
      <c r="R1275" s="24"/>
      <c r="S1275" s="64"/>
      <c r="V1275" s="67"/>
      <c r="X1275" s="67"/>
    </row>
    <row r="1276" spans="1:24" s="27" customFormat="1">
      <c r="A1276" s="31"/>
      <c r="B1276" s="24"/>
      <c r="C1276" s="30"/>
      <c r="D1276" s="28"/>
      <c r="E1276" s="31"/>
      <c r="F1276" s="31"/>
      <c r="G1276" s="31"/>
      <c r="I1276" s="28"/>
      <c r="J1276" s="62"/>
      <c r="K1276" s="62"/>
      <c r="L1276" s="33"/>
      <c r="M1276" s="32"/>
      <c r="N1276" s="34"/>
      <c r="O1276" s="36"/>
      <c r="P1276" s="68"/>
      <c r="Q1276" s="24"/>
      <c r="R1276" s="24"/>
      <c r="S1276" s="64"/>
      <c r="V1276" s="67"/>
      <c r="X1276" s="67"/>
    </row>
    <row r="1277" spans="1:24" s="27" customFormat="1">
      <c r="A1277" s="31"/>
      <c r="B1277" s="24"/>
      <c r="C1277" s="30"/>
      <c r="D1277" s="28"/>
      <c r="E1277" s="31"/>
      <c r="F1277" s="31"/>
      <c r="G1277" s="31"/>
      <c r="I1277" s="28"/>
      <c r="J1277" s="62"/>
      <c r="K1277" s="62"/>
      <c r="L1277" s="33"/>
      <c r="M1277" s="32"/>
      <c r="N1277" s="34"/>
      <c r="O1277" s="36"/>
      <c r="P1277" s="68"/>
      <c r="Q1277" s="24"/>
      <c r="R1277" s="24"/>
      <c r="S1277" s="64"/>
      <c r="V1277" s="67"/>
      <c r="X1277" s="67"/>
    </row>
    <row r="1278" spans="1:24" s="27" customFormat="1">
      <c r="A1278" s="31"/>
      <c r="B1278" s="24"/>
      <c r="C1278" s="30"/>
      <c r="D1278" s="28"/>
      <c r="E1278" s="31"/>
      <c r="F1278" s="31"/>
      <c r="G1278" s="31"/>
      <c r="I1278" s="28"/>
      <c r="J1278" s="62"/>
      <c r="K1278" s="62"/>
      <c r="L1278" s="33"/>
      <c r="M1278" s="32"/>
      <c r="N1278" s="34"/>
      <c r="O1278" s="36"/>
      <c r="P1278" s="68"/>
      <c r="Q1278" s="24"/>
      <c r="R1278" s="24"/>
      <c r="S1278" s="64"/>
      <c r="V1278" s="67"/>
      <c r="X1278" s="67"/>
    </row>
    <row r="1279" spans="1:24" s="27" customFormat="1">
      <c r="A1279" s="31"/>
      <c r="B1279" s="24"/>
      <c r="C1279" s="30"/>
      <c r="D1279" s="28"/>
      <c r="E1279" s="31"/>
      <c r="F1279" s="31"/>
      <c r="G1279" s="31"/>
      <c r="I1279" s="28"/>
      <c r="J1279" s="62"/>
      <c r="K1279" s="62"/>
      <c r="L1279" s="33"/>
      <c r="M1279" s="32"/>
      <c r="N1279" s="34"/>
      <c r="O1279" s="36"/>
      <c r="P1279" s="68"/>
      <c r="Q1279" s="24"/>
      <c r="R1279" s="24"/>
      <c r="S1279" s="64"/>
      <c r="V1279" s="67"/>
      <c r="X1279" s="67"/>
    </row>
    <row r="1280" spans="1:24" s="27" customFormat="1">
      <c r="A1280" s="31"/>
      <c r="B1280" s="24"/>
      <c r="C1280" s="30"/>
      <c r="D1280" s="28"/>
      <c r="E1280" s="31"/>
      <c r="F1280" s="31"/>
      <c r="G1280" s="31"/>
      <c r="I1280" s="28"/>
      <c r="J1280" s="62"/>
      <c r="K1280" s="62"/>
      <c r="L1280" s="33"/>
      <c r="M1280" s="32"/>
      <c r="N1280" s="34"/>
      <c r="O1280" s="36"/>
      <c r="P1280" s="68"/>
      <c r="Q1280" s="24"/>
      <c r="R1280" s="24"/>
      <c r="S1280" s="64"/>
      <c r="V1280" s="67"/>
      <c r="X1280" s="67"/>
    </row>
    <row r="1281" spans="1:24" s="27" customFormat="1">
      <c r="A1281" s="31"/>
      <c r="B1281" s="24"/>
      <c r="C1281" s="30"/>
      <c r="D1281" s="28"/>
      <c r="E1281" s="31"/>
      <c r="F1281" s="31"/>
      <c r="G1281" s="31"/>
      <c r="I1281" s="28"/>
      <c r="J1281" s="62"/>
      <c r="K1281" s="62"/>
      <c r="L1281" s="33"/>
      <c r="M1281" s="32"/>
      <c r="N1281" s="34"/>
      <c r="O1281" s="36"/>
      <c r="P1281" s="68"/>
      <c r="Q1281" s="24"/>
      <c r="R1281" s="24"/>
      <c r="S1281" s="64"/>
      <c r="V1281" s="67"/>
      <c r="X1281" s="67"/>
    </row>
    <row r="1282" spans="1:24" s="27" customFormat="1">
      <c r="A1282" s="31"/>
      <c r="B1282" s="24"/>
      <c r="C1282" s="30"/>
      <c r="D1282" s="28"/>
      <c r="E1282" s="31"/>
      <c r="F1282" s="31"/>
      <c r="G1282" s="31"/>
      <c r="I1282" s="28"/>
      <c r="J1282" s="62"/>
      <c r="K1282" s="62"/>
      <c r="L1282" s="33"/>
      <c r="M1282" s="32"/>
      <c r="N1282" s="34"/>
      <c r="O1282" s="36"/>
      <c r="P1282" s="68"/>
      <c r="Q1282" s="24"/>
      <c r="R1282" s="24"/>
      <c r="S1282" s="64"/>
      <c r="V1282" s="67"/>
      <c r="X1282" s="67"/>
    </row>
    <row r="1283" spans="1:24" s="27" customFormat="1">
      <c r="A1283" s="31"/>
      <c r="B1283" s="24"/>
      <c r="C1283" s="30"/>
      <c r="D1283" s="28"/>
      <c r="E1283" s="31"/>
      <c r="F1283" s="31"/>
      <c r="G1283" s="31"/>
      <c r="I1283" s="28"/>
      <c r="J1283" s="62"/>
      <c r="K1283" s="62"/>
      <c r="L1283" s="33"/>
      <c r="M1283" s="32"/>
      <c r="N1283" s="34"/>
      <c r="O1283" s="36"/>
      <c r="P1283" s="68"/>
      <c r="Q1283" s="24"/>
      <c r="R1283" s="24"/>
      <c r="S1283" s="64"/>
      <c r="V1283" s="67"/>
      <c r="X1283" s="67"/>
    </row>
    <row r="1284" spans="1:24" s="27" customFormat="1">
      <c r="A1284" s="31"/>
      <c r="B1284" s="24"/>
      <c r="C1284" s="30"/>
      <c r="D1284" s="28"/>
      <c r="E1284" s="31"/>
      <c r="F1284" s="31"/>
      <c r="G1284" s="31"/>
      <c r="I1284" s="28"/>
      <c r="J1284" s="62"/>
      <c r="K1284" s="62"/>
      <c r="L1284" s="33"/>
      <c r="M1284" s="32"/>
      <c r="N1284" s="34"/>
      <c r="O1284" s="36"/>
      <c r="P1284" s="68"/>
      <c r="Q1284" s="24"/>
      <c r="R1284" s="24"/>
      <c r="S1284" s="64"/>
      <c r="V1284" s="67"/>
      <c r="X1284" s="67"/>
    </row>
    <row r="1285" spans="1:24" s="27" customFormat="1">
      <c r="A1285" s="31"/>
      <c r="B1285" s="24"/>
      <c r="C1285" s="30"/>
      <c r="D1285" s="28"/>
      <c r="E1285" s="31"/>
      <c r="F1285" s="31"/>
      <c r="G1285" s="31"/>
      <c r="I1285" s="28"/>
      <c r="J1285" s="62"/>
      <c r="K1285" s="62"/>
      <c r="L1285" s="33"/>
      <c r="M1285" s="32"/>
      <c r="N1285" s="34"/>
      <c r="O1285" s="36"/>
      <c r="P1285" s="68"/>
      <c r="Q1285" s="24"/>
      <c r="R1285" s="24"/>
      <c r="S1285" s="64"/>
      <c r="V1285" s="67"/>
      <c r="X1285" s="67"/>
    </row>
    <row r="1286" spans="1:24" s="27" customFormat="1">
      <c r="A1286" s="31"/>
      <c r="B1286" s="24"/>
      <c r="C1286" s="30"/>
      <c r="D1286" s="28"/>
      <c r="E1286" s="31"/>
      <c r="F1286" s="31"/>
      <c r="G1286" s="31"/>
      <c r="I1286" s="28"/>
      <c r="J1286" s="62"/>
      <c r="K1286" s="62"/>
      <c r="L1286" s="33"/>
      <c r="M1286" s="32"/>
      <c r="N1286" s="34"/>
      <c r="O1286" s="36"/>
      <c r="P1286" s="68"/>
      <c r="Q1286" s="24"/>
      <c r="R1286" s="24"/>
      <c r="S1286" s="64"/>
      <c r="V1286" s="67"/>
      <c r="X1286" s="67"/>
    </row>
    <row r="1287" spans="1:24" s="27" customFormat="1">
      <c r="A1287" s="31"/>
      <c r="B1287" s="24"/>
      <c r="C1287" s="30"/>
      <c r="D1287" s="28"/>
      <c r="E1287" s="31"/>
      <c r="F1287" s="31"/>
      <c r="G1287" s="31"/>
      <c r="I1287" s="28"/>
      <c r="J1287" s="62"/>
      <c r="K1287" s="62"/>
      <c r="L1287" s="33"/>
      <c r="M1287" s="32"/>
      <c r="N1287" s="34"/>
      <c r="O1287" s="36"/>
      <c r="P1287" s="68"/>
      <c r="Q1287" s="24"/>
      <c r="R1287" s="24"/>
      <c r="S1287" s="64"/>
      <c r="V1287" s="67"/>
      <c r="X1287" s="67"/>
    </row>
    <row r="1288" spans="1:24" s="27" customFormat="1">
      <c r="A1288" s="31"/>
      <c r="B1288" s="24"/>
      <c r="C1288" s="30"/>
      <c r="D1288" s="28"/>
      <c r="E1288" s="31"/>
      <c r="F1288" s="31"/>
      <c r="G1288" s="31"/>
      <c r="I1288" s="28"/>
      <c r="J1288" s="62"/>
      <c r="K1288" s="62"/>
      <c r="L1288" s="33"/>
      <c r="M1288" s="32"/>
      <c r="N1288" s="34"/>
      <c r="O1288" s="36"/>
      <c r="P1288" s="68"/>
      <c r="Q1288" s="24"/>
      <c r="R1288" s="24"/>
      <c r="S1288" s="64"/>
      <c r="V1288" s="67"/>
      <c r="X1288" s="67"/>
    </row>
    <row r="1289" spans="1:24" s="27" customFormat="1">
      <c r="A1289" s="31"/>
      <c r="B1289" s="24"/>
      <c r="C1289" s="30"/>
      <c r="D1289" s="28"/>
      <c r="E1289" s="31"/>
      <c r="F1289" s="31"/>
      <c r="G1289" s="31"/>
      <c r="I1289" s="28"/>
      <c r="J1289" s="62"/>
      <c r="K1289" s="62"/>
      <c r="L1289" s="33"/>
      <c r="M1289" s="32"/>
      <c r="N1289" s="34"/>
      <c r="O1289" s="36"/>
      <c r="P1289" s="68"/>
      <c r="Q1289" s="24"/>
      <c r="R1289" s="24"/>
      <c r="S1289" s="64"/>
      <c r="V1289" s="67"/>
      <c r="X1289" s="67"/>
    </row>
    <row r="1290" spans="1:24" s="27" customFormat="1">
      <c r="A1290" s="31"/>
      <c r="B1290" s="24"/>
      <c r="C1290" s="30"/>
      <c r="D1290" s="28"/>
      <c r="E1290" s="31"/>
      <c r="F1290" s="31"/>
      <c r="G1290" s="31"/>
      <c r="I1290" s="28"/>
      <c r="J1290" s="62"/>
      <c r="K1290" s="62"/>
      <c r="L1290" s="33"/>
      <c r="M1290" s="32"/>
      <c r="N1290" s="34"/>
      <c r="O1290" s="36"/>
      <c r="P1290" s="68"/>
      <c r="Q1290" s="24"/>
      <c r="R1290" s="24"/>
      <c r="S1290" s="64"/>
      <c r="V1290" s="67"/>
      <c r="X1290" s="67"/>
    </row>
    <row r="1291" spans="1:24" s="27" customFormat="1">
      <c r="A1291" s="31"/>
      <c r="B1291" s="24"/>
      <c r="C1291" s="30"/>
      <c r="D1291" s="28"/>
      <c r="E1291" s="31"/>
      <c r="F1291" s="31"/>
      <c r="G1291" s="31"/>
      <c r="I1291" s="28"/>
      <c r="J1291" s="62"/>
      <c r="K1291" s="62"/>
      <c r="L1291" s="33"/>
      <c r="M1291" s="32"/>
      <c r="N1291" s="34"/>
      <c r="O1291" s="36"/>
      <c r="P1291" s="68"/>
      <c r="Q1291" s="24"/>
      <c r="R1291" s="24"/>
      <c r="S1291" s="64"/>
      <c r="V1291" s="67"/>
      <c r="X1291" s="67"/>
    </row>
    <row r="1292" spans="1:24" s="27" customFormat="1">
      <c r="A1292" s="31"/>
      <c r="B1292" s="24"/>
      <c r="C1292" s="30"/>
      <c r="D1292" s="28"/>
      <c r="E1292" s="31"/>
      <c r="F1292" s="31"/>
      <c r="G1292" s="31"/>
      <c r="I1292" s="28"/>
      <c r="J1292" s="62"/>
      <c r="K1292" s="62"/>
      <c r="L1292" s="33"/>
      <c r="M1292" s="32"/>
      <c r="N1292" s="34"/>
      <c r="O1292" s="36"/>
      <c r="P1292" s="68"/>
      <c r="Q1292" s="24"/>
      <c r="R1292" s="24"/>
      <c r="S1292" s="64"/>
      <c r="V1292" s="67"/>
      <c r="X1292" s="67"/>
    </row>
    <row r="1293" spans="1:24" s="27" customFormat="1">
      <c r="A1293" s="31"/>
      <c r="B1293" s="24"/>
      <c r="C1293" s="30"/>
      <c r="D1293" s="28"/>
      <c r="E1293" s="31"/>
      <c r="F1293" s="31"/>
      <c r="G1293" s="31"/>
      <c r="I1293" s="28"/>
      <c r="J1293" s="62"/>
      <c r="K1293" s="62"/>
      <c r="L1293" s="33"/>
      <c r="M1293" s="32"/>
      <c r="N1293" s="34"/>
      <c r="O1293" s="36"/>
      <c r="P1293" s="68"/>
      <c r="Q1293" s="24"/>
      <c r="R1293" s="24"/>
      <c r="S1293" s="64"/>
      <c r="V1293" s="67"/>
      <c r="X1293" s="67"/>
    </row>
    <row r="1294" spans="1:24" s="27" customFormat="1">
      <c r="A1294" s="31"/>
      <c r="B1294" s="24"/>
      <c r="C1294" s="30"/>
      <c r="D1294" s="28"/>
      <c r="E1294" s="31"/>
      <c r="F1294" s="31"/>
      <c r="G1294" s="31"/>
      <c r="I1294" s="28"/>
      <c r="J1294" s="62"/>
      <c r="K1294" s="62"/>
      <c r="L1294" s="33"/>
      <c r="M1294" s="32"/>
      <c r="N1294" s="34"/>
      <c r="O1294" s="36"/>
      <c r="P1294" s="68"/>
      <c r="Q1294" s="24"/>
      <c r="R1294" s="24"/>
      <c r="S1294" s="64"/>
      <c r="V1294" s="67"/>
      <c r="X1294" s="67"/>
    </row>
    <row r="1295" spans="1:24" s="27" customFormat="1">
      <c r="A1295" s="31"/>
      <c r="B1295" s="24"/>
      <c r="C1295" s="30"/>
      <c r="D1295" s="28"/>
      <c r="E1295" s="31"/>
      <c r="F1295" s="31"/>
      <c r="G1295" s="31"/>
      <c r="I1295" s="28"/>
      <c r="J1295" s="62"/>
      <c r="K1295" s="62"/>
      <c r="L1295" s="33"/>
      <c r="M1295" s="32"/>
      <c r="N1295" s="34"/>
      <c r="O1295" s="36"/>
      <c r="P1295" s="68"/>
      <c r="Q1295" s="24"/>
      <c r="R1295" s="24"/>
      <c r="S1295" s="64"/>
      <c r="V1295" s="67"/>
      <c r="X1295" s="67"/>
    </row>
    <row r="1296" spans="1:24" s="27" customFormat="1">
      <c r="A1296" s="31"/>
      <c r="B1296" s="24"/>
      <c r="C1296" s="30"/>
      <c r="D1296" s="28"/>
      <c r="E1296" s="31"/>
      <c r="F1296" s="31"/>
      <c r="G1296" s="31"/>
      <c r="I1296" s="28"/>
      <c r="J1296" s="62"/>
      <c r="K1296" s="62"/>
      <c r="L1296" s="33"/>
      <c r="M1296" s="32"/>
      <c r="N1296" s="34"/>
      <c r="O1296" s="36"/>
      <c r="P1296" s="68"/>
      <c r="Q1296" s="24"/>
      <c r="R1296" s="24"/>
      <c r="S1296" s="64"/>
      <c r="V1296" s="67"/>
      <c r="X1296" s="67"/>
    </row>
    <row r="1297" spans="1:24" s="27" customFormat="1">
      <c r="A1297" s="31"/>
      <c r="B1297" s="24"/>
      <c r="C1297" s="30"/>
      <c r="D1297" s="28"/>
      <c r="E1297" s="31"/>
      <c r="F1297" s="31"/>
      <c r="G1297" s="31"/>
      <c r="I1297" s="28"/>
      <c r="J1297" s="62"/>
      <c r="K1297" s="62"/>
      <c r="L1297" s="33"/>
      <c r="M1297" s="32"/>
      <c r="N1297" s="34"/>
      <c r="O1297" s="36"/>
      <c r="P1297" s="68"/>
      <c r="Q1297" s="24"/>
      <c r="R1297" s="24"/>
      <c r="S1297" s="64"/>
      <c r="V1297" s="67"/>
      <c r="X1297" s="67"/>
    </row>
    <row r="1298" spans="1:24" s="27" customFormat="1">
      <c r="A1298" s="31"/>
      <c r="B1298" s="24"/>
      <c r="C1298" s="30"/>
      <c r="D1298" s="28"/>
      <c r="E1298" s="31"/>
      <c r="F1298" s="31"/>
      <c r="G1298" s="31"/>
      <c r="I1298" s="28"/>
      <c r="J1298" s="62"/>
      <c r="K1298" s="62"/>
      <c r="L1298" s="33"/>
      <c r="M1298" s="32"/>
      <c r="N1298" s="34"/>
      <c r="O1298" s="36"/>
      <c r="P1298" s="68"/>
      <c r="Q1298" s="24"/>
      <c r="R1298" s="24"/>
      <c r="S1298" s="64"/>
      <c r="V1298" s="67"/>
      <c r="X1298" s="67"/>
    </row>
    <row r="1299" spans="1:24" s="27" customFormat="1">
      <c r="A1299" s="31"/>
      <c r="B1299" s="24"/>
      <c r="C1299" s="30"/>
      <c r="D1299" s="28"/>
      <c r="E1299" s="31"/>
      <c r="F1299" s="31"/>
      <c r="G1299" s="31"/>
      <c r="I1299" s="28"/>
      <c r="J1299" s="62"/>
      <c r="K1299" s="62"/>
      <c r="L1299" s="33"/>
      <c r="M1299" s="32"/>
      <c r="N1299" s="34"/>
      <c r="O1299" s="36"/>
      <c r="P1299" s="68"/>
      <c r="Q1299" s="24"/>
      <c r="R1299" s="24"/>
      <c r="S1299" s="64"/>
      <c r="V1299" s="67"/>
      <c r="X1299" s="67"/>
    </row>
    <row r="1300" spans="1:24" s="27" customFormat="1">
      <c r="A1300" s="31"/>
      <c r="B1300" s="24"/>
      <c r="C1300" s="30"/>
      <c r="D1300" s="28"/>
      <c r="E1300" s="31"/>
      <c r="F1300" s="31"/>
      <c r="G1300" s="31"/>
      <c r="I1300" s="28"/>
      <c r="J1300" s="62"/>
      <c r="K1300" s="62"/>
      <c r="L1300" s="33"/>
      <c r="M1300" s="32"/>
      <c r="N1300" s="34"/>
      <c r="O1300" s="36"/>
      <c r="P1300" s="68"/>
      <c r="Q1300" s="24"/>
      <c r="R1300" s="24"/>
      <c r="S1300" s="64"/>
      <c r="V1300" s="67"/>
      <c r="X1300" s="67"/>
    </row>
    <row r="1301" spans="1:24" s="27" customFormat="1">
      <c r="A1301" s="31"/>
      <c r="B1301" s="24"/>
      <c r="C1301" s="30"/>
      <c r="D1301" s="28"/>
      <c r="E1301" s="31"/>
      <c r="F1301" s="31"/>
      <c r="G1301" s="31"/>
      <c r="I1301" s="28"/>
      <c r="J1301" s="62"/>
      <c r="K1301" s="62"/>
      <c r="L1301" s="33"/>
      <c r="M1301" s="32"/>
      <c r="N1301" s="34"/>
      <c r="O1301" s="36"/>
      <c r="P1301" s="68"/>
      <c r="Q1301" s="24"/>
      <c r="R1301" s="24"/>
      <c r="S1301" s="64"/>
      <c r="V1301" s="67"/>
      <c r="X1301" s="67"/>
    </row>
    <row r="1302" spans="1:24" s="27" customFormat="1">
      <c r="A1302" s="31"/>
      <c r="B1302" s="24"/>
      <c r="C1302" s="30"/>
      <c r="D1302" s="28"/>
      <c r="E1302" s="31"/>
      <c r="F1302" s="31"/>
      <c r="G1302" s="31"/>
      <c r="I1302" s="28"/>
      <c r="J1302" s="62"/>
      <c r="K1302" s="62"/>
      <c r="L1302" s="33"/>
      <c r="M1302" s="32"/>
      <c r="N1302" s="34"/>
      <c r="O1302" s="36"/>
      <c r="P1302" s="68"/>
      <c r="Q1302" s="24"/>
      <c r="R1302" s="24"/>
      <c r="S1302" s="64"/>
      <c r="V1302" s="67"/>
      <c r="X1302" s="67"/>
    </row>
    <row r="1303" spans="1:24" s="27" customFormat="1">
      <c r="A1303" s="31"/>
      <c r="B1303" s="24"/>
      <c r="C1303" s="30"/>
      <c r="D1303" s="28"/>
      <c r="E1303" s="31"/>
      <c r="F1303" s="31"/>
      <c r="G1303" s="31"/>
      <c r="I1303" s="28"/>
      <c r="J1303" s="62"/>
      <c r="K1303" s="62"/>
      <c r="L1303" s="33"/>
      <c r="M1303" s="32"/>
      <c r="N1303" s="34"/>
      <c r="O1303" s="36"/>
      <c r="P1303" s="68"/>
      <c r="Q1303" s="24"/>
      <c r="R1303" s="24"/>
      <c r="S1303" s="64"/>
      <c r="V1303" s="67"/>
      <c r="X1303" s="67"/>
    </row>
    <row r="1304" spans="1:24" s="27" customFormat="1">
      <c r="A1304" s="31"/>
      <c r="B1304" s="24"/>
      <c r="C1304" s="30"/>
      <c r="D1304" s="28"/>
      <c r="E1304" s="31"/>
      <c r="F1304" s="31"/>
      <c r="G1304" s="31"/>
      <c r="I1304" s="28"/>
      <c r="J1304" s="62"/>
      <c r="K1304" s="62"/>
      <c r="L1304" s="33"/>
      <c r="M1304" s="32"/>
      <c r="N1304" s="34"/>
      <c r="O1304" s="36"/>
      <c r="P1304" s="68"/>
      <c r="Q1304" s="24"/>
      <c r="R1304" s="24"/>
      <c r="S1304" s="64"/>
      <c r="V1304" s="67"/>
      <c r="X1304" s="67"/>
    </row>
    <row r="1305" spans="1:24" s="27" customFormat="1">
      <c r="A1305" s="31"/>
      <c r="B1305" s="24"/>
      <c r="C1305" s="30"/>
      <c r="D1305" s="28"/>
      <c r="E1305" s="31"/>
      <c r="F1305" s="31"/>
      <c r="G1305" s="31"/>
      <c r="I1305" s="28"/>
      <c r="J1305" s="62"/>
      <c r="K1305" s="62"/>
      <c r="L1305" s="33"/>
      <c r="M1305" s="32"/>
      <c r="N1305" s="34"/>
      <c r="O1305" s="36"/>
      <c r="P1305" s="68"/>
      <c r="Q1305" s="24"/>
      <c r="R1305" s="24"/>
      <c r="S1305" s="64"/>
      <c r="V1305" s="67"/>
      <c r="X1305" s="67"/>
    </row>
    <row r="1306" spans="1:24" s="27" customFormat="1">
      <c r="A1306" s="31"/>
      <c r="B1306" s="24"/>
      <c r="C1306" s="30"/>
      <c r="D1306" s="28"/>
      <c r="E1306" s="31"/>
      <c r="F1306" s="31"/>
      <c r="G1306" s="31"/>
      <c r="I1306" s="28"/>
      <c r="J1306" s="62"/>
      <c r="K1306" s="62"/>
      <c r="L1306" s="33"/>
      <c r="M1306" s="32"/>
      <c r="N1306" s="34"/>
      <c r="O1306" s="36"/>
      <c r="P1306" s="68"/>
      <c r="Q1306" s="24"/>
      <c r="R1306" s="24"/>
      <c r="S1306" s="64"/>
      <c r="V1306" s="67"/>
      <c r="X1306" s="67"/>
    </row>
    <row r="1307" spans="1:24" s="27" customFormat="1">
      <c r="A1307" s="31"/>
      <c r="B1307" s="24"/>
      <c r="C1307" s="30"/>
      <c r="D1307" s="28"/>
      <c r="E1307" s="31"/>
      <c r="F1307" s="31"/>
      <c r="G1307" s="31"/>
      <c r="I1307" s="28"/>
      <c r="J1307" s="62"/>
      <c r="K1307" s="62"/>
      <c r="L1307" s="33"/>
      <c r="M1307" s="32"/>
      <c r="N1307" s="34"/>
      <c r="O1307" s="36"/>
      <c r="P1307" s="68"/>
      <c r="Q1307" s="24"/>
      <c r="R1307" s="24"/>
      <c r="S1307" s="64"/>
      <c r="V1307" s="67"/>
      <c r="X1307" s="67"/>
    </row>
    <row r="1308" spans="1:24" s="27" customFormat="1">
      <c r="A1308" s="31"/>
      <c r="B1308" s="24"/>
      <c r="C1308" s="30"/>
      <c r="D1308" s="28"/>
      <c r="E1308" s="31"/>
      <c r="F1308" s="31"/>
      <c r="G1308" s="31"/>
      <c r="I1308" s="28"/>
      <c r="J1308" s="62"/>
      <c r="K1308" s="62"/>
      <c r="L1308" s="33"/>
      <c r="M1308" s="32"/>
      <c r="N1308" s="34"/>
      <c r="O1308" s="36"/>
      <c r="P1308" s="68"/>
      <c r="Q1308" s="24"/>
      <c r="R1308" s="24"/>
      <c r="S1308" s="64"/>
      <c r="V1308" s="67"/>
      <c r="X1308" s="67"/>
    </row>
    <row r="1309" spans="1:24" s="27" customFormat="1">
      <c r="A1309" s="31"/>
      <c r="B1309" s="24"/>
      <c r="C1309" s="30"/>
      <c r="D1309" s="28"/>
      <c r="E1309" s="31"/>
      <c r="F1309" s="31"/>
      <c r="G1309" s="31"/>
      <c r="I1309" s="28"/>
      <c r="J1309" s="62"/>
      <c r="K1309" s="62"/>
      <c r="L1309" s="33"/>
      <c r="M1309" s="32"/>
      <c r="N1309" s="34"/>
      <c r="O1309" s="36"/>
      <c r="P1309" s="68"/>
      <c r="Q1309" s="24"/>
      <c r="R1309" s="24"/>
      <c r="S1309" s="64"/>
      <c r="V1309" s="67"/>
      <c r="X1309" s="67"/>
    </row>
    <row r="1310" spans="1:24" s="27" customFormat="1">
      <c r="A1310" s="31"/>
      <c r="B1310" s="24"/>
      <c r="C1310" s="30"/>
      <c r="D1310" s="28"/>
      <c r="E1310" s="31"/>
      <c r="F1310" s="31"/>
      <c r="G1310" s="31"/>
      <c r="I1310" s="28"/>
      <c r="J1310" s="62"/>
      <c r="K1310" s="62"/>
      <c r="L1310" s="33"/>
      <c r="M1310" s="32"/>
      <c r="N1310" s="34"/>
      <c r="O1310" s="36"/>
      <c r="P1310" s="68"/>
      <c r="Q1310" s="24"/>
      <c r="R1310" s="24"/>
      <c r="S1310" s="64"/>
      <c r="V1310" s="67"/>
      <c r="X1310" s="67"/>
    </row>
    <row r="1311" spans="1:24" s="27" customFormat="1">
      <c r="A1311" s="31"/>
      <c r="B1311" s="24"/>
      <c r="C1311" s="30"/>
      <c r="D1311" s="28"/>
      <c r="E1311" s="31"/>
      <c r="F1311" s="31"/>
      <c r="G1311" s="31"/>
      <c r="I1311" s="28"/>
      <c r="J1311" s="62"/>
      <c r="K1311" s="62"/>
      <c r="L1311" s="33"/>
      <c r="M1311" s="32"/>
      <c r="N1311" s="34"/>
      <c r="O1311" s="36"/>
      <c r="P1311" s="68"/>
      <c r="Q1311" s="24"/>
      <c r="R1311" s="24"/>
      <c r="S1311" s="64"/>
      <c r="V1311" s="67"/>
      <c r="X1311" s="67"/>
    </row>
    <row r="1312" spans="1:24" s="27" customFormat="1">
      <c r="A1312" s="31"/>
      <c r="B1312" s="24"/>
      <c r="C1312" s="30"/>
      <c r="D1312" s="28"/>
      <c r="E1312" s="31"/>
      <c r="F1312" s="31"/>
      <c r="G1312" s="31"/>
      <c r="I1312" s="28"/>
      <c r="J1312" s="62"/>
      <c r="K1312" s="62"/>
      <c r="L1312" s="33"/>
      <c r="M1312" s="32"/>
      <c r="N1312" s="34"/>
      <c r="O1312" s="36"/>
      <c r="P1312" s="68"/>
      <c r="Q1312" s="24"/>
      <c r="R1312" s="24"/>
      <c r="S1312" s="64"/>
      <c r="V1312" s="67"/>
      <c r="X1312" s="67"/>
    </row>
    <row r="1313" spans="1:24" s="27" customFormat="1">
      <c r="A1313" s="31"/>
      <c r="B1313" s="24"/>
      <c r="C1313" s="30"/>
      <c r="D1313" s="28"/>
      <c r="E1313" s="31"/>
      <c r="F1313" s="31"/>
      <c r="G1313" s="31"/>
      <c r="I1313" s="28"/>
      <c r="J1313" s="62"/>
      <c r="K1313" s="62"/>
      <c r="L1313" s="33"/>
      <c r="M1313" s="32"/>
      <c r="N1313" s="34"/>
      <c r="O1313" s="36"/>
      <c r="P1313" s="68"/>
      <c r="Q1313" s="24"/>
      <c r="R1313" s="24"/>
      <c r="S1313" s="64"/>
      <c r="V1313" s="67"/>
      <c r="X1313" s="67"/>
    </row>
    <row r="1314" spans="1:24" s="27" customFormat="1">
      <c r="A1314" s="31"/>
      <c r="B1314" s="24"/>
      <c r="C1314" s="30"/>
      <c r="D1314" s="28"/>
      <c r="E1314" s="31"/>
      <c r="F1314" s="31"/>
      <c r="G1314" s="31"/>
      <c r="I1314" s="28"/>
      <c r="J1314" s="62"/>
      <c r="K1314" s="62"/>
      <c r="L1314" s="33"/>
      <c r="M1314" s="32"/>
      <c r="N1314" s="34"/>
      <c r="O1314" s="36"/>
      <c r="P1314" s="68"/>
      <c r="Q1314" s="24"/>
      <c r="R1314" s="24"/>
      <c r="S1314" s="64"/>
      <c r="V1314" s="67"/>
      <c r="X1314" s="67"/>
    </row>
    <row r="1315" spans="1:24" s="27" customFormat="1">
      <c r="A1315" s="31"/>
      <c r="B1315" s="24"/>
      <c r="C1315" s="30"/>
      <c r="D1315" s="28"/>
      <c r="E1315" s="31"/>
      <c r="F1315" s="31"/>
      <c r="G1315" s="31"/>
      <c r="I1315" s="28"/>
      <c r="J1315" s="62"/>
      <c r="K1315" s="62"/>
      <c r="L1315" s="33"/>
      <c r="M1315" s="32"/>
      <c r="N1315" s="34"/>
      <c r="O1315" s="36"/>
      <c r="P1315" s="68"/>
      <c r="Q1315" s="24"/>
      <c r="R1315" s="24"/>
      <c r="S1315" s="64"/>
      <c r="V1315" s="67"/>
      <c r="X1315" s="67"/>
    </row>
    <row r="1316" spans="1:24" s="27" customFormat="1">
      <c r="A1316" s="31"/>
      <c r="B1316" s="24"/>
      <c r="C1316" s="30"/>
      <c r="D1316" s="28"/>
      <c r="E1316" s="31"/>
      <c r="F1316" s="31"/>
      <c r="G1316" s="31"/>
      <c r="I1316" s="28"/>
      <c r="J1316" s="62"/>
      <c r="K1316" s="62"/>
      <c r="L1316" s="33"/>
      <c r="M1316" s="32"/>
      <c r="N1316" s="34"/>
      <c r="O1316" s="36"/>
      <c r="P1316" s="68"/>
      <c r="Q1316" s="24"/>
      <c r="R1316" s="24"/>
      <c r="S1316" s="64"/>
      <c r="T1316" s="58"/>
      <c r="V1316" s="67"/>
      <c r="X1316" s="67"/>
    </row>
    <row r="1317" spans="1:24" s="27" customFormat="1">
      <c r="A1317" s="31"/>
      <c r="B1317" s="24"/>
      <c r="C1317" s="30"/>
      <c r="D1317" s="28"/>
      <c r="E1317" s="31"/>
      <c r="F1317" s="31"/>
      <c r="G1317" s="31"/>
      <c r="I1317" s="28"/>
      <c r="J1317" s="62"/>
      <c r="K1317" s="62"/>
      <c r="L1317" s="33"/>
      <c r="M1317" s="32"/>
      <c r="N1317" s="34"/>
      <c r="O1317" s="36"/>
      <c r="P1317" s="68"/>
      <c r="Q1317" s="24"/>
      <c r="R1317" s="24"/>
      <c r="S1317" s="64"/>
      <c r="T1317" s="58"/>
      <c r="V1317" s="67"/>
      <c r="X1317" s="67"/>
    </row>
    <row r="1318" spans="1:24" s="27" customFormat="1">
      <c r="A1318" s="31"/>
      <c r="B1318" s="24"/>
      <c r="C1318" s="30"/>
      <c r="D1318" s="28"/>
      <c r="E1318" s="31"/>
      <c r="F1318" s="31"/>
      <c r="G1318" s="31"/>
      <c r="I1318" s="28"/>
      <c r="J1318" s="62"/>
      <c r="K1318" s="62"/>
      <c r="L1318" s="33"/>
      <c r="M1318" s="32"/>
      <c r="N1318" s="34"/>
      <c r="O1318" s="36"/>
      <c r="P1318" s="68"/>
      <c r="Q1318" s="24"/>
      <c r="R1318" s="24"/>
      <c r="S1318" s="64"/>
      <c r="T1318" s="58"/>
      <c r="V1318" s="67"/>
      <c r="X1318" s="67"/>
    </row>
    <row r="1319" spans="1:24" s="27" customFormat="1">
      <c r="A1319" s="31"/>
      <c r="B1319" s="24"/>
      <c r="C1319" s="30"/>
      <c r="D1319" s="28"/>
      <c r="E1319" s="31"/>
      <c r="F1319" s="31"/>
      <c r="G1319" s="31"/>
      <c r="I1319" s="28"/>
      <c r="J1319" s="62"/>
      <c r="K1319" s="62"/>
      <c r="L1319" s="33"/>
      <c r="M1319" s="32"/>
      <c r="N1319" s="34"/>
      <c r="O1319" s="36"/>
      <c r="P1319" s="68"/>
      <c r="Q1319" s="24"/>
      <c r="R1319" s="24"/>
      <c r="S1319" s="64"/>
      <c r="T1319" s="58"/>
      <c r="V1319" s="67"/>
      <c r="X1319" s="67"/>
    </row>
    <row r="1320" spans="1:24" s="27" customFormat="1">
      <c r="A1320" s="31"/>
      <c r="B1320" s="24"/>
      <c r="C1320" s="30"/>
      <c r="D1320" s="28"/>
      <c r="E1320" s="31"/>
      <c r="F1320" s="31"/>
      <c r="G1320" s="31"/>
      <c r="I1320" s="28"/>
      <c r="J1320" s="62"/>
      <c r="K1320" s="62"/>
      <c r="L1320" s="33"/>
      <c r="M1320" s="32"/>
      <c r="N1320" s="34"/>
      <c r="O1320" s="36"/>
      <c r="P1320" s="68"/>
      <c r="Q1320" s="24"/>
      <c r="R1320" s="24"/>
      <c r="S1320" s="64"/>
      <c r="T1320" s="58"/>
      <c r="V1320" s="67"/>
      <c r="X1320" s="67"/>
    </row>
    <row r="1321" spans="1:24" s="27" customFormat="1">
      <c r="A1321" s="31"/>
      <c r="B1321" s="24"/>
      <c r="C1321" s="30"/>
      <c r="D1321" s="28"/>
      <c r="E1321" s="31"/>
      <c r="F1321" s="31"/>
      <c r="G1321" s="31"/>
      <c r="I1321" s="28"/>
      <c r="J1321" s="62"/>
      <c r="K1321" s="62"/>
      <c r="L1321" s="33"/>
      <c r="M1321" s="32"/>
      <c r="N1321" s="34"/>
      <c r="O1321" s="36"/>
      <c r="P1321" s="68"/>
      <c r="Q1321" s="24"/>
      <c r="R1321" s="24"/>
      <c r="S1321" s="64"/>
      <c r="T1321" s="58"/>
      <c r="V1321" s="67"/>
      <c r="X1321" s="67"/>
    </row>
    <row r="1322" spans="1:24" s="27" customFormat="1">
      <c r="A1322" s="31"/>
      <c r="B1322" s="24"/>
      <c r="C1322" s="30"/>
      <c r="D1322" s="28"/>
      <c r="E1322" s="31"/>
      <c r="F1322" s="31"/>
      <c r="G1322" s="31"/>
      <c r="I1322" s="28"/>
      <c r="J1322" s="62"/>
      <c r="K1322" s="62"/>
      <c r="L1322" s="33"/>
      <c r="M1322" s="32"/>
      <c r="N1322" s="34"/>
      <c r="O1322" s="36"/>
      <c r="P1322" s="68"/>
      <c r="Q1322" s="24"/>
      <c r="R1322" s="24"/>
      <c r="S1322" s="64"/>
      <c r="T1322" s="58"/>
      <c r="V1322" s="67"/>
      <c r="X1322" s="67"/>
    </row>
    <row r="1323" spans="1:24" s="27" customFormat="1">
      <c r="A1323" s="31"/>
      <c r="B1323" s="24"/>
      <c r="C1323" s="30"/>
      <c r="D1323" s="28"/>
      <c r="E1323" s="31"/>
      <c r="F1323" s="31"/>
      <c r="G1323" s="31"/>
      <c r="I1323" s="28"/>
      <c r="J1323" s="62"/>
      <c r="K1323" s="62"/>
      <c r="L1323" s="33"/>
      <c r="M1323" s="32"/>
      <c r="N1323" s="34"/>
      <c r="O1323" s="36"/>
      <c r="P1323" s="68"/>
      <c r="Q1323" s="24"/>
      <c r="R1323" s="24"/>
      <c r="S1323" s="64"/>
      <c r="T1323" s="58"/>
      <c r="V1323" s="67"/>
      <c r="X1323" s="67"/>
    </row>
    <row r="1324" spans="1:24" s="27" customFormat="1">
      <c r="A1324" s="31"/>
      <c r="B1324" s="24"/>
      <c r="C1324" s="30"/>
      <c r="D1324" s="28"/>
      <c r="E1324" s="31"/>
      <c r="F1324" s="31"/>
      <c r="G1324" s="31"/>
      <c r="I1324" s="28"/>
      <c r="J1324" s="62"/>
      <c r="K1324" s="62"/>
      <c r="L1324" s="33"/>
      <c r="M1324" s="32"/>
      <c r="N1324" s="34"/>
      <c r="O1324" s="36"/>
      <c r="P1324" s="68"/>
      <c r="Q1324" s="24"/>
      <c r="R1324" s="24"/>
      <c r="S1324" s="64"/>
      <c r="T1324" s="58"/>
      <c r="V1324" s="67"/>
      <c r="X1324" s="67"/>
    </row>
    <row r="1325" spans="1:24" s="27" customFormat="1">
      <c r="A1325" s="31"/>
      <c r="B1325" s="24"/>
      <c r="C1325" s="30"/>
      <c r="D1325" s="28"/>
      <c r="E1325" s="31"/>
      <c r="F1325" s="31"/>
      <c r="G1325" s="31"/>
      <c r="I1325" s="28"/>
      <c r="J1325" s="62"/>
      <c r="K1325" s="62"/>
      <c r="L1325" s="33"/>
      <c r="M1325" s="32"/>
      <c r="N1325" s="34"/>
      <c r="O1325" s="36"/>
      <c r="P1325" s="68"/>
      <c r="Q1325" s="24"/>
      <c r="R1325" s="24"/>
      <c r="S1325" s="64"/>
      <c r="T1325" s="58"/>
      <c r="V1325" s="67"/>
      <c r="X1325" s="67"/>
    </row>
    <row r="1326" spans="1:24" s="27" customFormat="1">
      <c r="A1326" s="31"/>
      <c r="B1326" s="24"/>
      <c r="C1326" s="30"/>
      <c r="D1326" s="28"/>
      <c r="E1326" s="31"/>
      <c r="F1326" s="31"/>
      <c r="G1326" s="31"/>
      <c r="I1326" s="28"/>
      <c r="J1326" s="62"/>
      <c r="K1326" s="62"/>
      <c r="L1326" s="33"/>
      <c r="M1326" s="32"/>
      <c r="N1326" s="34"/>
      <c r="O1326" s="36"/>
      <c r="P1326" s="68"/>
      <c r="Q1326" s="24"/>
      <c r="R1326" s="24"/>
      <c r="S1326" s="64"/>
      <c r="T1326" s="58"/>
      <c r="V1326" s="67"/>
      <c r="X1326" s="67"/>
    </row>
    <row r="1327" spans="1:24" s="27" customFormat="1">
      <c r="A1327" s="31"/>
      <c r="B1327" s="24"/>
      <c r="C1327" s="30"/>
      <c r="D1327" s="28"/>
      <c r="E1327" s="31"/>
      <c r="F1327" s="31"/>
      <c r="G1327" s="31"/>
      <c r="I1327" s="28"/>
      <c r="J1327" s="62"/>
      <c r="K1327" s="62"/>
      <c r="L1327" s="33"/>
      <c r="M1327" s="32"/>
      <c r="N1327" s="34"/>
      <c r="O1327" s="36"/>
      <c r="P1327" s="68"/>
      <c r="Q1327" s="24"/>
      <c r="R1327" s="24"/>
      <c r="S1327" s="64"/>
      <c r="T1327" s="58"/>
      <c r="V1327" s="67"/>
      <c r="X1327" s="67"/>
    </row>
    <row r="1328" spans="1:24" s="27" customFormat="1">
      <c r="A1328" s="31"/>
      <c r="B1328" s="24"/>
      <c r="C1328" s="30"/>
      <c r="D1328" s="28"/>
      <c r="E1328" s="31"/>
      <c r="F1328" s="31"/>
      <c r="G1328" s="31"/>
      <c r="I1328" s="28"/>
      <c r="J1328" s="62"/>
      <c r="K1328" s="62"/>
      <c r="L1328" s="33"/>
      <c r="M1328" s="32"/>
      <c r="N1328" s="34"/>
      <c r="O1328" s="36"/>
      <c r="P1328" s="68"/>
      <c r="Q1328" s="24"/>
      <c r="R1328" s="24"/>
      <c r="S1328" s="64"/>
      <c r="T1328" s="58"/>
      <c r="V1328" s="67"/>
      <c r="X1328" s="67"/>
    </row>
    <row r="1329" spans="1:24" s="27" customFormat="1">
      <c r="A1329" s="31"/>
      <c r="B1329" s="24"/>
      <c r="C1329" s="30"/>
      <c r="D1329" s="28"/>
      <c r="E1329" s="31"/>
      <c r="F1329" s="31"/>
      <c r="G1329" s="31"/>
      <c r="I1329" s="28"/>
      <c r="J1329" s="62"/>
      <c r="K1329" s="62"/>
      <c r="L1329" s="33"/>
      <c r="M1329" s="32"/>
      <c r="N1329" s="34"/>
      <c r="O1329" s="36"/>
      <c r="P1329" s="68"/>
      <c r="Q1329" s="24"/>
      <c r="R1329" s="24"/>
      <c r="S1329" s="64"/>
      <c r="T1329" s="58"/>
      <c r="V1329" s="67"/>
      <c r="X1329" s="67"/>
    </row>
    <row r="1330" spans="1:24" s="27" customFormat="1">
      <c r="A1330" s="31"/>
      <c r="B1330" s="24"/>
      <c r="C1330" s="30"/>
      <c r="D1330" s="28"/>
      <c r="E1330" s="31"/>
      <c r="F1330" s="31"/>
      <c r="G1330" s="31"/>
      <c r="I1330" s="28"/>
      <c r="J1330" s="62"/>
      <c r="K1330" s="62"/>
      <c r="L1330" s="33"/>
      <c r="M1330" s="32"/>
      <c r="N1330" s="34"/>
      <c r="O1330" s="36"/>
      <c r="P1330" s="68"/>
      <c r="Q1330" s="24"/>
      <c r="R1330" s="24"/>
      <c r="S1330" s="64"/>
      <c r="T1330" s="58"/>
      <c r="V1330" s="67"/>
      <c r="X1330" s="67"/>
    </row>
    <row r="1331" spans="1:24" s="27" customFormat="1">
      <c r="A1331" s="31"/>
      <c r="B1331" s="24"/>
      <c r="C1331" s="30"/>
      <c r="D1331" s="28"/>
      <c r="E1331" s="31"/>
      <c r="F1331" s="31"/>
      <c r="G1331" s="31"/>
      <c r="I1331" s="28"/>
      <c r="J1331" s="62"/>
      <c r="K1331" s="62"/>
      <c r="L1331" s="33"/>
      <c r="M1331" s="32"/>
      <c r="N1331" s="34"/>
      <c r="O1331" s="36"/>
      <c r="P1331" s="68"/>
      <c r="Q1331" s="24"/>
      <c r="R1331" s="24"/>
      <c r="S1331" s="64"/>
      <c r="T1331" s="58"/>
      <c r="V1331" s="67"/>
      <c r="X1331" s="67"/>
    </row>
    <row r="1332" spans="1:24" s="27" customFormat="1">
      <c r="A1332" s="31"/>
      <c r="B1332" s="24"/>
      <c r="C1332" s="30"/>
      <c r="D1332" s="28"/>
      <c r="E1332" s="31"/>
      <c r="F1332" s="31"/>
      <c r="G1332" s="31"/>
      <c r="I1332" s="28"/>
      <c r="J1332" s="62"/>
      <c r="K1332" s="62"/>
      <c r="L1332" s="33"/>
      <c r="M1332" s="32"/>
      <c r="N1332" s="34"/>
      <c r="O1332" s="36"/>
      <c r="P1332" s="68"/>
      <c r="Q1332" s="24"/>
      <c r="R1332" s="24"/>
      <c r="S1332" s="64"/>
      <c r="T1332" s="58"/>
      <c r="V1332" s="67"/>
      <c r="X1332" s="67"/>
    </row>
    <row r="1333" spans="1:24" s="27" customFormat="1">
      <c r="A1333" s="31"/>
      <c r="B1333" s="24"/>
      <c r="C1333" s="30"/>
      <c r="D1333" s="28"/>
      <c r="E1333" s="31"/>
      <c r="F1333" s="31"/>
      <c r="G1333" s="31"/>
      <c r="I1333" s="28"/>
      <c r="J1333" s="62"/>
      <c r="K1333" s="62"/>
      <c r="L1333" s="33"/>
      <c r="M1333" s="32"/>
      <c r="N1333" s="34"/>
      <c r="O1333" s="36"/>
      <c r="P1333" s="68"/>
      <c r="Q1333" s="24"/>
      <c r="R1333" s="24"/>
      <c r="S1333" s="64"/>
      <c r="T1333" s="58"/>
      <c r="V1333" s="67"/>
      <c r="X1333" s="67"/>
    </row>
    <row r="1334" spans="1:24" s="27" customFormat="1">
      <c r="A1334" s="31"/>
      <c r="B1334" s="24"/>
      <c r="C1334" s="30"/>
      <c r="D1334" s="28"/>
      <c r="E1334" s="31"/>
      <c r="F1334" s="31"/>
      <c r="G1334" s="31"/>
      <c r="I1334" s="28"/>
      <c r="J1334" s="62"/>
      <c r="K1334" s="62"/>
      <c r="L1334" s="33"/>
      <c r="M1334" s="32"/>
      <c r="N1334" s="34"/>
      <c r="O1334" s="36"/>
      <c r="P1334" s="68"/>
      <c r="Q1334" s="24"/>
      <c r="R1334" s="24"/>
      <c r="S1334" s="64"/>
      <c r="T1334" s="58"/>
      <c r="V1334" s="67"/>
      <c r="X1334" s="67"/>
    </row>
    <row r="1335" spans="1:24" s="27" customFormat="1">
      <c r="A1335" s="31"/>
      <c r="B1335" s="24"/>
      <c r="C1335" s="30"/>
      <c r="D1335" s="28"/>
      <c r="E1335" s="31"/>
      <c r="F1335" s="31"/>
      <c r="G1335" s="31"/>
      <c r="I1335" s="28"/>
      <c r="J1335" s="62"/>
      <c r="K1335" s="62"/>
      <c r="L1335" s="33"/>
      <c r="M1335" s="32"/>
      <c r="N1335" s="34"/>
      <c r="O1335" s="36"/>
      <c r="P1335" s="68"/>
      <c r="Q1335" s="24"/>
      <c r="R1335" s="24"/>
      <c r="S1335" s="64"/>
      <c r="T1335" s="58"/>
      <c r="V1335" s="67"/>
      <c r="X1335" s="67"/>
    </row>
    <row r="1336" spans="1:24" s="27" customFormat="1">
      <c r="A1336" s="31"/>
      <c r="B1336" s="24"/>
      <c r="C1336" s="30"/>
      <c r="D1336" s="28"/>
      <c r="E1336" s="31"/>
      <c r="F1336" s="31"/>
      <c r="G1336" s="31"/>
      <c r="I1336" s="28"/>
      <c r="J1336" s="62"/>
      <c r="K1336" s="62"/>
      <c r="L1336" s="33"/>
      <c r="M1336" s="32"/>
      <c r="N1336" s="34"/>
      <c r="O1336" s="36"/>
      <c r="P1336" s="68"/>
      <c r="Q1336" s="24"/>
      <c r="R1336" s="24"/>
      <c r="S1336" s="64"/>
      <c r="T1336" s="58"/>
      <c r="V1336" s="67"/>
      <c r="X1336" s="67"/>
    </row>
    <row r="1337" spans="1:24" s="27" customFormat="1">
      <c r="A1337" s="31"/>
      <c r="B1337" s="24"/>
      <c r="C1337" s="30"/>
      <c r="D1337" s="28"/>
      <c r="E1337" s="31"/>
      <c r="F1337" s="31"/>
      <c r="G1337" s="31"/>
      <c r="I1337" s="28"/>
      <c r="J1337" s="62"/>
      <c r="K1337" s="62"/>
      <c r="L1337" s="33"/>
      <c r="M1337" s="32"/>
      <c r="N1337" s="34"/>
      <c r="O1337" s="36"/>
      <c r="P1337" s="68"/>
      <c r="Q1337" s="24"/>
      <c r="R1337" s="24"/>
      <c r="S1337" s="64"/>
      <c r="T1337" s="58"/>
      <c r="V1337" s="67"/>
      <c r="X1337" s="67"/>
    </row>
    <row r="1338" spans="1:24" s="27" customFormat="1">
      <c r="A1338" s="31"/>
      <c r="B1338" s="24"/>
      <c r="C1338" s="30"/>
      <c r="D1338" s="28"/>
      <c r="E1338" s="31"/>
      <c r="F1338" s="31"/>
      <c r="G1338" s="31"/>
      <c r="I1338" s="28"/>
      <c r="J1338" s="62"/>
      <c r="K1338" s="62"/>
      <c r="L1338" s="33"/>
      <c r="M1338" s="32"/>
      <c r="N1338" s="34"/>
      <c r="O1338" s="36"/>
      <c r="P1338" s="68"/>
      <c r="Q1338" s="24"/>
      <c r="R1338" s="24"/>
      <c r="S1338" s="64"/>
      <c r="T1338" s="58"/>
      <c r="V1338" s="67"/>
      <c r="X1338" s="67"/>
    </row>
    <row r="1339" spans="1:24" s="27" customFormat="1">
      <c r="A1339" s="31"/>
      <c r="B1339" s="24"/>
      <c r="C1339" s="30"/>
      <c r="D1339" s="28"/>
      <c r="E1339" s="31"/>
      <c r="F1339" s="31"/>
      <c r="G1339" s="31"/>
      <c r="I1339" s="28"/>
      <c r="J1339" s="62"/>
      <c r="K1339" s="62"/>
      <c r="L1339" s="33"/>
      <c r="M1339" s="32"/>
      <c r="N1339" s="34"/>
      <c r="O1339" s="36"/>
      <c r="P1339" s="68"/>
      <c r="Q1339" s="24"/>
      <c r="R1339" s="24"/>
      <c r="S1339" s="64"/>
      <c r="T1339" s="58"/>
      <c r="V1339" s="67"/>
      <c r="X1339" s="67"/>
    </row>
    <row r="1340" spans="1:24" s="27" customFormat="1">
      <c r="A1340" s="31"/>
      <c r="B1340" s="24"/>
      <c r="C1340" s="30"/>
      <c r="D1340" s="28"/>
      <c r="E1340" s="31"/>
      <c r="F1340" s="31"/>
      <c r="G1340" s="31"/>
      <c r="I1340" s="28"/>
      <c r="J1340" s="62"/>
      <c r="K1340" s="62"/>
      <c r="L1340" s="33"/>
      <c r="M1340" s="32"/>
      <c r="N1340" s="34"/>
      <c r="O1340" s="36"/>
      <c r="P1340" s="68"/>
      <c r="Q1340" s="24"/>
      <c r="R1340" s="24"/>
      <c r="S1340" s="64"/>
      <c r="T1340" s="58"/>
      <c r="V1340" s="67"/>
      <c r="X1340" s="67"/>
    </row>
    <row r="1341" spans="1:24" s="27" customFormat="1">
      <c r="A1341" s="31"/>
      <c r="B1341" s="24"/>
      <c r="C1341" s="30"/>
      <c r="D1341" s="28"/>
      <c r="E1341" s="31"/>
      <c r="F1341" s="31"/>
      <c r="G1341" s="31"/>
      <c r="I1341" s="28"/>
      <c r="J1341" s="62"/>
      <c r="K1341" s="62"/>
      <c r="L1341" s="33"/>
      <c r="M1341" s="32"/>
      <c r="N1341" s="34"/>
      <c r="O1341" s="36"/>
      <c r="P1341" s="68"/>
      <c r="Q1341" s="24"/>
      <c r="R1341" s="24"/>
      <c r="S1341" s="64"/>
      <c r="T1341" s="58"/>
      <c r="V1341" s="67"/>
      <c r="X1341" s="67"/>
    </row>
    <row r="1342" spans="1:24" s="27" customFormat="1">
      <c r="A1342" s="31"/>
      <c r="B1342" s="24"/>
      <c r="C1342" s="30"/>
      <c r="D1342" s="28"/>
      <c r="E1342" s="31"/>
      <c r="F1342" s="31"/>
      <c r="G1342" s="31"/>
      <c r="I1342" s="28"/>
      <c r="J1342" s="62"/>
      <c r="K1342" s="62"/>
      <c r="L1342" s="33"/>
      <c r="M1342" s="32"/>
      <c r="N1342" s="34"/>
      <c r="O1342" s="36"/>
      <c r="P1342" s="68"/>
      <c r="Q1342" s="24"/>
      <c r="R1342" s="24"/>
      <c r="S1342" s="64"/>
      <c r="T1342" s="58"/>
      <c r="V1342" s="67"/>
      <c r="X1342" s="67"/>
    </row>
    <row r="1343" spans="1:24" s="27" customFormat="1">
      <c r="A1343" s="31"/>
      <c r="B1343" s="24"/>
      <c r="C1343" s="30"/>
      <c r="D1343" s="28"/>
      <c r="E1343" s="31"/>
      <c r="F1343" s="31"/>
      <c r="G1343" s="31"/>
      <c r="I1343" s="28"/>
      <c r="J1343" s="62"/>
      <c r="K1343" s="62"/>
      <c r="L1343" s="33"/>
      <c r="M1343" s="32"/>
      <c r="N1343" s="34"/>
      <c r="O1343" s="36"/>
      <c r="P1343" s="68"/>
      <c r="Q1343" s="24"/>
      <c r="R1343" s="24"/>
      <c r="S1343" s="64"/>
      <c r="T1343" s="58"/>
      <c r="V1343" s="67"/>
      <c r="X1343" s="67"/>
    </row>
    <row r="1344" spans="1:24" s="27" customFormat="1">
      <c r="A1344" s="31"/>
      <c r="B1344" s="24"/>
      <c r="C1344" s="30"/>
      <c r="D1344" s="28"/>
      <c r="E1344" s="31"/>
      <c r="F1344" s="31"/>
      <c r="G1344" s="31"/>
      <c r="I1344" s="28"/>
      <c r="J1344" s="62"/>
      <c r="K1344" s="62"/>
      <c r="L1344" s="33"/>
      <c r="M1344" s="32"/>
      <c r="N1344" s="34"/>
      <c r="O1344" s="36"/>
      <c r="P1344" s="68"/>
      <c r="Q1344" s="24"/>
      <c r="R1344" s="24"/>
      <c r="S1344" s="64"/>
      <c r="T1344" s="58"/>
      <c r="V1344" s="67"/>
      <c r="X1344" s="67"/>
    </row>
    <row r="1345" spans="1:24" s="27" customFormat="1">
      <c r="A1345" s="31"/>
      <c r="B1345" s="24"/>
      <c r="C1345" s="30"/>
      <c r="D1345" s="28"/>
      <c r="E1345" s="31"/>
      <c r="F1345" s="31"/>
      <c r="G1345" s="31"/>
      <c r="I1345" s="28"/>
      <c r="J1345" s="62"/>
      <c r="K1345" s="62"/>
      <c r="L1345" s="33"/>
      <c r="M1345" s="32"/>
      <c r="N1345" s="34"/>
      <c r="O1345" s="36"/>
      <c r="P1345" s="68"/>
      <c r="Q1345" s="24"/>
      <c r="R1345" s="24"/>
      <c r="S1345" s="64"/>
      <c r="T1345" s="58"/>
      <c r="V1345" s="67"/>
      <c r="X1345" s="67"/>
    </row>
    <row r="1346" spans="1:24" s="27" customFormat="1">
      <c r="A1346" s="31"/>
      <c r="B1346" s="24"/>
      <c r="C1346" s="30"/>
      <c r="D1346" s="28"/>
      <c r="E1346" s="31"/>
      <c r="F1346" s="31"/>
      <c r="G1346" s="31"/>
      <c r="I1346" s="28"/>
      <c r="J1346" s="62"/>
      <c r="K1346" s="62"/>
      <c r="L1346" s="33"/>
      <c r="M1346" s="32"/>
      <c r="N1346" s="34"/>
      <c r="O1346" s="36"/>
      <c r="P1346" s="68"/>
      <c r="Q1346" s="24"/>
      <c r="R1346" s="24"/>
      <c r="S1346" s="64"/>
      <c r="T1346" s="58"/>
      <c r="V1346" s="67"/>
      <c r="X1346" s="67"/>
    </row>
    <row r="1347" spans="1:24" s="27" customFormat="1">
      <c r="A1347" s="31"/>
      <c r="B1347" s="24"/>
      <c r="C1347" s="30"/>
      <c r="D1347" s="28"/>
      <c r="E1347" s="31"/>
      <c r="F1347" s="31"/>
      <c r="G1347" s="31"/>
      <c r="I1347" s="28"/>
      <c r="J1347" s="62"/>
      <c r="K1347" s="62"/>
      <c r="L1347" s="33"/>
      <c r="M1347" s="32"/>
      <c r="N1347" s="34"/>
      <c r="O1347" s="36"/>
      <c r="P1347" s="68"/>
      <c r="Q1347" s="24"/>
      <c r="R1347" s="24"/>
      <c r="S1347" s="64"/>
      <c r="T1347" s="58"/>
      <c r="V1347" s="67"/>
      <c r="X1347" s="67"/>
    </row>
    <row r="1348" spans="1:24" s="27" customFormat="1">
      <c r="A1348" s="31"/>
      <c r="B1348" s="24"/>
      <c r="C1348" s="30"/>
      <c r="D1348" s="28"/>
      <c r="E1348" s="31"/>
      <c r="F1348" s="31"/>
      <c r="G1348" s="31"/>
      <c r="I1348" s="28"/>
      <c r="J1348" s="62"/>
      <c r="K1348" s="62"/>
      <c r="L1348" s="33"/>
      <c r="M1348" s="32"/>
      <c r="N1348" s="34"/>
      <c r="O1348" s="36"/>
      <c r="P1348" s="68"/>
      <c r="Q1348" s="24"/>
      <c r="R1348" s="24"/>
      <c r="S1348" s="64"/>
      <c r="T1348" s="58"/>
      <c r="V1348" s="67"/>
      <c r="X1348" s="67"/>
    </row>
    <row r="1349" spans="1:24" s="27" customFormat="1">
      <c r="A1349" s="31"/>
      <c r="B1349" s="24"/>
      <c r="C1349" s="30"/>
      <c r="D1349" s="28"/>
      <c r="E1349" s="31"/>
      <c r="F1349" s="31"/>
      <c r="G1349" s="31"/>
      <c r="I1349" s="28"/>
      <c r="J1349" s="62"/>
      <c r="K1349" s="62"/>
      <c r="L1349" s="33"/>
      <c r="M1349" s="32"/>
      <c r="N1349" s="34"/>
      <c r="O1349" s="36"/>
      <c r="P1349" s="68"/>
      <c r="Q1349" s="24"/>
      <c r="R1349" s="24"/>
      <c r="S1349" s="64"/>
      <c r="T1349" s="58"/>
      <c r="V1349" s="67"/>
      <c r="X1349" s="67"/>
    </row>
    <row r="1350" spans="1:24" s="27" customFormat="1">
      <c r="A1350" s="31"/>
      <c r="B1350" s="24"/>
      <c r="C1350" s="30"/>
      <c r="D1350" s="28"/>
      <c r="E1350" s="31"/>
      <c r="F1350" s="31"/>
      <c r="G1350" s="31"/>
      <c r="I1350" s="28"/>
      <c r="J1350" s="62"/>
      <c r="K1350" s="62"/>
      <c r="L1350" s="33"/>
      <c r="M1350" s="32"/>
      <c r="N1350" s="34"/>
      <c r="O1350" s="36"/>
      <c r="P1350" s="68"/>
      <c r="Q1350" s="24"/>
      <c r="R1350" s="24"/>
      <c r="S1350" s="64"/>
      <c r="T1350" s="58"/>
      <c r="V1350" s="67"/>
      <c r="X1350" s="67"/>
    </row>
    <row r="1351" spans="1:24" s="27" customFormat="1">
      <c r="A1351" s="31"/>
      <c r="B1351" s="24"/>
      <c r="C1351" s="30"/>
      <c r="D1351" s="28"/>
      <c r="E1351" s="31"/>
      <c r="F1351" s="31"/>
      <c r="G1351" s="31"/>
      <c r="I1351" s="28"/>
      <c r="J1351" s="62"/>
      <c r="K1351" s="62"/>
      <c r="L1351" s="33"/>
      <c r="M1351" s="32"/>
      <c r="N1351" s="34"/>
      <c r="O1351" s="36"/>
      <c r="P1351" s="68"/>
      <c r="Q1351" s="24"/>
      <c r="R1351" s="24"/>
      <c r="S1351" s="64"/>
      <c r="T1351" s="58"/>
      <c r="V1351" s="67"/>
      <c r="X1351" s="67"/>
    </row>
    <row r="1352" spans="1:24" s="27" customFormat="1">
      <c r="A1352" s="31"/>
      <c r="B1352" s="24"/>
      <c r="C1352" s="30"/>
      <c r="D1352" s="28"/>
      <c r="E1352" s="31"/>
      <c r="F1352" s="31"/>
      <c r="G1352" s="31"/>
      <c r="I1352" s="28"/>
      <c r="J1352" s="62"/>
      <c r="K1352" s="62"/>
      <c r="L1352" s="33"/>
      <c r="M1352" s="32"/>
      <c r="N1352" s="34"/>
      <c r="O1352" s="36"/>
      <c r="P1352" s="68"/>
      <c r="Q1352" s="24"/>
      <c r="R1352" s="24"/>
      <c r="S1352" s="64"/>
      <c r="T1352" s="58"/>
      <c r="V1352" s="67"/>
      <c r="X1352" s="67"/>
    </row>
    <row r="1353" spans="1:24" s="27" customFormat="1">
      <c r="A1353" s="31"/>
      <c r="B1353" s="24"/>
      <c r="C1353" s="30"/>
      <c r="D1353" s="28"/>
      <c r="E1353" s="31"/>
      <c r="F1353" s="31"/>
      <c r="G1353" s="31"/>
      <c r="I1353" s="28"/>
      <c r="J1353" s="62"/>
      <c r="K1353" s="62"/>
      <c r="L1353" s="33"/>
      <c r="M1353" s="32"/>
      <c r="N1353" s="34"/>
      <c r="O1353" s="36"/>
      <c r="P1353" s="68"/>
      <c r="Q1353" s="24"/>
      <c r="R1353" s="24"/>
      <c r="S1353" s="64"/>
      <c r="T1353" s="58"/>
      <c r="V1353" s="67"/>
      <c r="X1353" s="67"/>
    </row>
    <row r="1354" spans="1:24" s="27" customFormat="1">
      <c r="A1354" s="31"/>
      <c r="B1354" s="24"/>
      <c r="C1354" s="30"/>
      <c r="D1354" s="28"/>
      <c r="E1354" s="31"/>
      <c r="F1354" s="31"/>
      <c r="G1354" s="31"/>
      <c r="I1354" s="28"/>
      <c r="J1354" s="62"/>
      <c r="K1354" s="62"/>
      <c r="L1354" s="33"/>
      <c r="M1354" s="32"/>
      <c r="N1354" s="34"/>
      <c r="O1354" s="36"/>
      <c r="P1354" s="68"/>
      <c r="Q1354" s="24"/>
      <c r="R1354" s="24"/>
      <c r="S1354" s="64"/>
      <c r="T1354" s="58"/>
      <c r="V1354" s="67"/>
      <c r="X1354" s="67"/>
    </row>
    <row r="1355" spans="1:24" s="27" customFormat="1">
      <c r="A1355" s="31"/>
      <c r="B1355" s="24"/>
      <c r="C1355" s="30"/>
      <c r="D1355" s="28"/>
      <c r="E1355" s="31"/>
      <c r="F1355" s="31"/>
      <c r="G1355" s="31"/>
      <c r="I1355" s="28"/>
      <c r="J1355" s="62"/>
      <c r="K1355" s="62"/>
      <c r="L1355" s="33"/>
      <c r="M1355" s="32"/>
      <c r="N1355" s="34"/>
      <c r="O1355" s="36"/>
      <c r="P1355" s="68"/>
      <c r="Q1355" s="24"/>
      <c r="R1355" s="24"/>
      <c r="S1355" s="64"/>
      <c r="T1355" s="58"/>
      <c r="V1355" s="67"/>
      <c r="X1355" s="67"/>
    </row>
    <row r="1356" spans="1:24" s="27" customFormat="1">
      <c r="A1356" s="31"/>
      <c r="B1356" s="24"/>
      <c r="C1356" s="30"/>
      <c r="D1356" s="28"/>
      <c r="E1356" s="31"/>
      <c r="F1356" s="31"/>
      <c r="G1356" s="31"/>
      <c r="I1356" s="28"/>
      <c r="J1356" s="62"/>
      <c r="K1356" s="62"/>
      <c r="L1356" s="33"/>
      <c r="M1356" s="32"/>
      <c r="N1356" s="34"/>
      <c r="O1356" s="36"/>
      <c r="P1356" s="68"/>
      <c r="Q1356" s="24"/>
      <c r="R1356" s="24"/>
      <c r="S1356" s="64"/>
      <c r="T1356" s="58"/>
      <c r="V1356" s="67"/>
      <c r="X1356" s="67"/>
    </row>
    <row r="1357" spans="1:24" s="27" customFormat="1">
      <c r="A1357" s="31"/>
      <c r="B1357" s="24"/>
      <c r="C1357" s="30"/>
      <c r="D1357" s="28"/>
      <c r="E1357" s="31"/>
      <c r="F1357" s="31"/>
      <c r="G1357" s="31"/>
      <c r="I1357" s="28"/>
      <c r="J1357" s="62"/>
      <c r="K1357" s="62"/>
      <c r="L1357" s="33"/>
      <c r="M1357" s="32"/>
      <c r="N1357" s="34"/>
      <c r="O1357" s="36"/>
      <c r="P1357" s="68"/>
      <c r="Q1357" s="24"/>
      <c r="R1357" s="24"/>
      <c r="S1357" s="64"/>
      <c r="T1357" s="58"/>
      <c r="V1357" s="67"/>
      <c r="X1357" s="67"/>
    </row>
    <row r="1358" spans="1:24" s="27" customFormat="1">
      <c r="A1358" s="31"/>
      <c r="B1358" s="24"/>
      <c r="C1358" s="30"/>
      <c r="D1358" s="28"/>
      <c r="E1358" s="31"/>
      <c r="F1358" s="31"/>
      <c r="G1358" s="31"/>
      <c r="I1358" s="28"/>
      <c r="J1358" s="62"/>
      <c r="K1358" s="62"/>
      <c r="L1358" s="33"/>
      <c r="M1358" s="32"/>
      <c r="N1358" s="34"/>
      <c r="O1358" s="36"/>
      <c r="P1358" s="68"/>
      <c r="Q1358" s="24"/>
      <c r="R1358" s="24"/>
      <c r="S1358" s="64"/>
      <c r="T1358" s="58"/>
      <c r="V1358" s="67"/>
      <c r="X1358" s="67"/>
    </row>
    <row r="1359" spans="1:24" s="27" customFormat="1">
      <c r="A1359" s="31"/>
      <c r="B1359" s="24"/>
      <c r="C1359" s="30"/>
      <c r="D1359" s="28"/>
      <c r="E1359" s="31"/>
      <c r="F1359" s="31"/>
      <c r="G1359" s="31"/>
      <c r="I1359" s="28"/>
      <c r="J1359" s="62"/>
      <c r="K1359" s="62"/>
      <c r="L1359" s="33"/>
      <c r="M1359" s="32"/>
      <c r="N1359" s="34"/>
      <c r="O1359" s="36"/>
      <c r="P1359" s="68"/>
      <c r="Q1359" s="24"/>
      <c r="R1359" s="24"/>
      <c r="S1359" s="64"/>
      <c r="T1359" s="58"/>
      <c r="V1359" s="67"/>
      <c r="X1359" s="67"/>
    </row>
    <row r="1360" spans="1:24" s="27" customFormat="1">
      <c r="A1360" s="31"/>
      <c r="B1360" s="24"/>
      <c r="C1360" s="30"/>
      <c r="D1360" s="28"/>
      <c r="E1360" s="31"/>
      <c r="F1360" s="31"/>
      <c r="G1360" s="31"/>
      <c r="I1360" s="28"/>
      <c r="J1360" s="62"/>
      <c r="K1360" s="62"/>
      <c r="L1360" s="33"/>
      <c r="M1360" s="32"/>
      <c r="N1360" s="34"/>
      <c r="O1360" s="36"/>
      <c r="P1360" s="68"/>
      <c r="Q1360" s="24"/>
      <c r="R1360" s="24"/>
      <c r="S1360" s="64"/>
      <c r="T1360" s="58"/>
      <c r="V1360" s="67"/>
      <c r="X1360" s="67"/>
    </row>
    <row r="1361" spans="1:24" s="27" customFormat="1">
      <c r="A1361" s="31"/>
      <c r="B1361" s="24"/>
      <c r="C1361" s="30"/>
      <c r="D1361" s="28"/>
      <c r="E1361" s="31"/>
      <c r="F1361" s="31"/>
      <c r="G1361" s="31"/>
      <c r="I1361" s="28"/>
      <c r="J1361" s="62"/>
      <c r="K1361" s="62"/>
      <c r="L1361" s="33"/>
      <c r="M1361" s="32"/>
      <c r="N1361" s="34"/>
      <c r="O1361" s="36"/>
      <c r="P1361" s="68"/>
      <c r="Q1361" s="24"/>
      <c r="R1361" s="24"/>
      <c r="S1361" s="64"/>
      <c r="T1361" s="58"/>
      <c r="V1361" s="67"/>
      <c r="X1361" s="67"/>
    </row>
    <row r="1362" spans="1:24" s="27" customFormat="1">
      <c r="A1362" s="31"/>
      <c r="B1362" s="24"/>
      <c r="C1362" s="30"/>
      <c r="D1362" s="28"/>
      <c r="E1362" s="31"/>
      <c r="F1362" s="31"/>
      <c r="G1362" s="31"/>
      <c r="I1362" s="28"/>
      <c r="J1362" s="62"/>
      <c r="K1362" s="62"/>
      <c r="L1362" s="33"/>
      <c r="M1362" s="32"/>
      <c r="N1362" s="34"/>
      <c r="O1362" s="36"/>
      <c r="P1362" s="68"/>
      <c r="Q1362" s="24"/>
      <c r="R1362" s="24"/>
      <c r="S1362" s="64"/>
      <c r="T1362" s="58"/>
      <c r="V1362" s="67"/>
      <c r="X1362" s="67"/>
    </row>
    <row r="1363" spans="1:24" s="27" customFormat="1">
      <c r="A1363" s="31"/>
      <c r="B1363" s="24"/>
      <c r="C1363" s="30"/>
      <c r="D1363" s="28"/>
      <c r="E1363" s="31"/>
      <c r="F1363" s="31"/>
      <c r="G1363" s="31"/>
      <c r="I1363" s="28"/>
      <c r="J1363" s="62"/>
      <c r="K1363" s="62"/>
      <c r="L1363" s="33"/>
      <c r="M1363" s="32"/>
      <c r="N1363" s="34"/>
      <c r="O1363" s="36"/>
      <c r="P1363" s="68"/>
      <c r="Q1363" s="24"/>
      <c r="R1363" s="24"/>
      <c r="S1363" s="64"/>
      <c r="T1363" s="58"/>
      <c r="V1363" s="67"/>
      <c r="X1363" s="67"/>
    </row>
    <row r="1364" spans="1:24" s="27" customFormat="1">
      <c r="A1364" s="31"/>
      <c r="B1364" s="24"/>
      <c r="C1364" s="30"/>
      <c r="D1364" s="28"/>
      <c r="E1364" s="31"/>
      <c r="F1364" s="31"/>
      <c r="G1364" s="31"/>
      <c r="I1364" s="28"/>
      <c r="J1364" s="62"/>
      <c r="K1364" s="62"/>
      <c r="L1364" s="33"/>
      <c r="M1364" s="32"/>
      <c r="N1364" s="34"/>
      <c r="O1364" s="36"/>
      <c r="P1364" s="68"/>
      <c r="Q1364" s="24"/>
      <c r="R1364" s="24"/>
      <c r="S1364" s="64"/>
      <c r="T1364" s="58"/>
      <c r="V1364" s="67"/>
      <c r="X1364" s="67"/>
    </row>
    <row r="1365" spans="1:24" s="27" customFormat="1">
      <c r="A1365" s="31"/>
      <c r="B1365" s="24"/>
      <c r="C1365" s="30"/>
      <c r="D1365" s="28"/>
      <c r="E1365" s="31"/>
      <c r="F1365" s="31"/>
      <c r="G1365" s="31"/>
      <c r="I1365" s="28"/>
      <c r="J1365" s="62"/>
      <c r="K1365" s="62"/>
      <c r="L1365" s="33"/>
      <c r="M1365" s="32"/>
      <c r="N1365" s="34"/>
      <c r="O1365" s="36"/>
      <c r="P1365" s="68"/>
      <c r="Q1365" s="24"/>
      <c r="R1365" s="24"/>
      <c r="S1365" s="64"/>
      <c r="T1365" s="58"/>
      <c r="V1365" s="67"/>
      <c r="X1365" s="67"/>
    </row>
    <row r="1366" spans="1:24" s="27" customFormat="1">
      <c r="A1366" s="31"/>
      <c r="B1366" s="24"/>
      <c r="C1366" s="30"/>
      <c r="D1366" s="28"/>
      <c r="E1366" s="31"/>
      <c r="F1366" s="31"/>
      <c r="G1366" s="31"/>
      <c r="I1366" s="28"/>
      <c r="J1366" s="62"/>
      <c r="K1366" s="62"/>
      <c r="L1366" s="33"/>
      <c r="M1366" s="32"/>
      <c r="N1366" s="34"/>
      <c r="O1366" s="36"/>
      <c r="P1366" s="68"/>
      <c r="Q1366" s="24"/>
      <c r="R1366" s="24"/>
      <c r="S1366" s="64"/>
      <c r="T1366" s="58"/>
      <c r="V1366" s="67"/>
      <c r="X1366" s="67"/>
    </row>
    <row r="1367" spans="1:24" s="27" customFormat="1">
      <c r="A1367" s="31"/>
      <c r="B1367" s="24"/>
      <c r="C1367" s="30"/>
      <c r="D1367" s="28"/>
      <c r="E1367" s="31"/>
      <c r="F1367" s="31"/>
      <c r="G1367" s="31"/>
      <c r="I1367" s="28"/>
      <c r="J1367" s="62"/>
      <c r="K1367" s="62"/>
      <c r="L1367" s="33"/>
      <c r="M1367" s="32"/>
      <c r="N1367" s="34"/>
      <c r="O1367" s="36"/>
      <c r="P1367" s="68"/>
      <c r="Q1367" s="24"/>
      <c r="R1367" s="24"/>
      <c r="S1367" s="64"/>
      <c r="T1367" s="58"/>
      <c r="V1367" s="67"/>
      <c r="X1367" s="67"/>
    </row>
    <row r="1368" spans="1:24" s="27" customFormat="1">
      <c r="A1368" s="31"/>
      <c r="B1368" s="24"/>
      <c r="C1368" s="30"/>
      <c r="D1368" s="28"/>
      <c r="E1368" s="31"/>
      <c r="F1368" s="31"/>
      <c r="G1368" s="31"/>
      <c r="I1368" s="28"/>
      <c r="J1368" s="62"/>
      <c r="K1368" s="62"/>
      <c r="L1368" s="33"/>
      <c r="M1368" s="32"/>
      <c r="N1368" s="34"/>
      <c r="O1368" s="36"/>
      <c r="P1368" s="68"/>
      <c r="Q1368" s="24"/>
      <c r="R1368" s="24"/>
      <c r="S1368" s="64"/>
      <c r="T1368" s="58"/>
      <c r="V1368" s="67"/>
      <c r="X1368" s="67"/>
    </row>
    <row r="1369" spans="1:24" s="27" customFormat="1">
      <c r="A1369" s="31"/>
      <c r="B1369" s="24"/>
      <c r="C1369" s="30"/>
      <c r="D1369" s="28"/>
      <c r="E1369" s="31"/>
      <c r="F1369" s="31"/>
      <c r="G1369" s="31"/>
      <c r="I1369" s="28"/>
      <c r="J1369" s="62"/>
      <c r="K1369" s="62"/>
      <c r="L1369" s="33"/>
      <c r="M1369" s="32"/>
      <c r="N1369" s="34"/>
      <c r="O1369" s="36"/>
      <c r="P1369" s="68"/>
      <c r="Q1369" s="24"/>
      <c r="R1369" s="24"/>
      <c r="S1369" s="64"/>
      <c r="T1369" s="58"/>
      <c r="V1369" s="67"/>
      <c r="X1369" s="67"/>
    </row>
    <row r="1370" spans="1:24" s="27" customFormat="1">
      <c r="A1370" s="31"/>
      <c r="B1370" s="24"/>
      <c r="C1370" s="30"/>
      <c r="D1370" s="28"/>
      <c r="E1370" s="31"/>
      <c r="F1370" s="31"/>
      <c r="G1370" s="31"/>
      <c r="I1370" s="28"/>
      <c r="J1370" s="62"/>
      <c r="K1370" s="62"/>
      <c r="L1370" s="33"/>
      <c r="M1370" s="32"/>
      <c r="N1370" s="34"/>
      <c r="O1370" s="36"/>
      <c r="P1370" s="68"/>
      <c r="Q1370" s="24"/>
      <c r="R1370" s="24"/>
      <c r="S1370" s="64"/>
      <c r="T1370" s="58"/>
      <c r="V1370" s="67"/>
      <c r="X1370" s="67"/>
    </row>
    <row r="1371" spans="1:24" s="27" customFormat="1">
      <c r="A1371" s="31"/>
      <c r="B1371" s="24"/>
      <c r="C1371" s="30"/>
      <c r="D1371" s="28"/>
      <c r="E1371" s="31"/>
      <c r="F1371" s="31"/>
      <c r="G1371" s="31"/>
      <c r="I1371" s="28"/>
      <c r="J1371" s="62"/>
      <c r="K1371" s="62"/>
      <c r="L1371" s="33"/>
      <c r="M1371" s="32"/>
      <c r="N1371" s="34"/>
      <c r="O1371" s="36"/>
      <c r="P1371" s="68"/>
      <c r="Q1371" s="24"/>
      <c r="R1371" s="24"/>
      <c r="S1371" s="64"/>
      <c r="T1371" s="58"/>
      <c r="V1371" s="67"/>
      <c r="X1371" s="67"/>
    </row>
    <row r="1372" spans="1:24" s="27" customFormat="1">
      <c r="A1372" s="31"/>
      <c r="B1372" s="24"/>
      <c r="C1372" s="30"/>
      <c r="D1372" s="28"/>
      <c r="E1372" s="31"/>
      <c r="F1372" s="31"/>
      <c r="G1372" s="31"/>
      <c r="I1372" s="28"/>
      <c r="J1372" s="62"/>
      <c r="K1372" s="62"/>
      <c r="L1372" s="33"/>
      <c r="M1372" s="32"/>
      <c r="N1372" s="34"/>
      <c r="O1372" s="36"/>
      <c r="P1372" s="68"/>
      <c r="Q1372" s="24"/>
      <c r="R1372" s="24"/>
      <c r="S1372" s="64"/>
      <c r="T1372" s="58"/>
      <c r="V1372" s="67"/>
      <c r="X1372" s="67"/>
    </row>
    <row r="1373" spans="1:24" s="27" customFormat="1">
      <c r="A1373" s="31"/>
      <c r="B1373" s="24"/>
      <c r="C1373" s="30"/>
      <c r="D1373" s="28"/>
      <c r="E1373" s="31"/>
      <c r="F1373" s="31"/>
      <c r="G1373" s="31"/>
      <c r="I1373" s="28"/>
      <c r="J1373" s="62"/>
      <c r="K1373" s="62"/>
      <c r="L1373" s="33"/>
      <c r="M1373" s="32"/>
      <c r="N1373" s="34"/>
      <c r="O1373" s="36"/>
      <c r="P1373" s="68"/>
      <c r="Q1373" s="24"/>
      <c r="R1373" s="24"/>
      <c r="S1373" s="64"/>
      <c r="T1373" s="58"/>
      <c r="V1373" s="67"/>
      <c r="X1373" s="67"/>
    </row>
    <row r="1374" spans="1:24" s="27" customFormat="1">
      <c r="A1374" s="31"/>
      <c r="B1374" s="24"/>
      <c r="C1374" s="30"/>
      <c r="D1374" s="28"/>
      <c r="E1374" s="31"/>
      <c r="F1374" s="31"/>
      <c r="G1374" s="31"/>
      <c r="I1374" s="28"/>
      <c r="J1374" s="62"/>
      <c r="K1374" s="62"/>
      <c r="L1374" s="33"/>
      <c r="M1374" s="32"/>
      <c r="N1374" s="34"/>
      <c r="O1374" s="36"/>
      <c r="P1374" s="68"/>
      <c r="Q1374" s="24"/>
      <c r="R1374" s="24"/>
      <c r="S1374" s="64"/>
      <c r="T1374" s="58"/>
      <c r="V1374" s="67"/>
      <c r="X1374" s="67"/>
    </row>
    <row r="1375" spans="1:24" s="27" customFormat="1">
      <c r="A1375" s="31"/>
      <c r="B1375" s="24"/>
      <c r="C1375" s="30"/>
      <c r="D1375" s="28"/>
      <c r="E1375" s="31"/>
      <c r="F1375" s="31"/>
      <c r="G1375" s="31"/>
      <c r="I1375" s="28"/>
      <c r="J1375" s="62"/>
      <c r="K1375" s="62"/>
      <c r="L1375" s="33"/>
      <c r="M1375" s="32"/>
      <c r="N1375" s="34"/>
      <c r="O1375" s="36"/>
      <c r="P1375" s="68"/>
      <c r="Q1375" s="24"/>
      <c r="R1375" s="24"/>
      <c r="S1375" s="64"/>
      <c r="T1375" s="58"/>
      <c r="V1375" s="67"/>
      <c r="X1375" s="67"/>
    </row>
    <row r="1376" spans="1:24" s="27" customFormat="1">
      <c r="A1376" s="31"/>
      <c r="B1376" s="24"/>
      <c r="C1376" s="30"/>
      <c r="D1376" s="28"/>
      <c r="E1376" s="31"/>
      <c r="F1376" s="31"/>
      <c r="G1376" s="31"/>
      <c r="I1376" s="28"/>
      <c r="J1376" s="62"/>
      <c r="K1376" s="62"/>
      <c r="L1376" s="33"/>
      <c r="M1376" s="32"/>
      <c r="N1376" s="34"/>
      <c r="O1376" s="36"/>
      <c r="P1376" s="68"/>
      <c r="Q1376" s="24"/>
      <c r="R1376" s="24"/>
      <c r="S1376" s="64"/>
      <c r="T1376" s="58"/>
      <c r="V1376" s="67"/>
      <c r="X1376" s="67"/>
    </row>
    <row r="1377" spans="1:24" s="27" customFormat="1">
      <c r="A1377" s="31"/>
      <c r="B1377" s="24"/>
      <c r="C1377" s="30"/>
      <c r="D1377" s="28"/>
      <c r="E1377" s="31"/>
      <c r="F1377" s="31"/>
      <c r="G1377" s="31"/>
      <c r="I1377" s="28"/>
      <c r="J1377" s="62"/>
      <c r="K1377" s="62"/>
      <c r="L1377" s="33"/>
      <c r="M1377" s="32"/>
      <c r="N1377" s="34"/>
      <c r="O1377" s="36"/>
      <c r="P1377" s="68"/>
      <c r="Q1377" s="24"/>
      <c r="R1377" s="24"/>
      <c r="S1377" s="64"/>
      <c r="T1377" s="58"/>
      <c r="V1377" s="67"/>
      <c r="X1377" s="67"/>
    </row>
    <row r="1378" spans="1:24" s="27" customFormat="1">
      <c r="A1378" s="31"/>
      <c r="B1378" s="24"/>
      <c r="C1378" s="30"/>
      <c r="D1378" s="28"/>
      <c r="E1378" s="31"/>
      <c r="F1378" s="31"/>
      <c r="G1378" s="31"/>
      <c r="I1378" s="28"/>
      <c r="J1378" s="62"/>
      <c r="K1378" s="62"/>
      <c r="L1378" s="33"/>
      <c r="M1378" s="32"/>
      <c r="N1378" s="34"/>
      <c r="O1378" s="36"/>
      <c r="P1378" s="68"/>
      <c r="Q1378" s="24"/>
      <c r="R1378" s="24"/>
      <c r="S1378" s="64"/>
      <c r="T1378" s="58"/>
      <c r="V1378" s="67"/>
      <c r="X1378" s="67"/>
    </row>
    <row r="1379" spans="1:24" s="27" customFormat="1">
      <c r="A1379" s="31"/>
      <c r="B1379" s="24"/>
      <c r="C1379" s="30"/>
      <c r="D1379" s="28"/>
      <c r="E1379" s="31"/>
      <c r="F1379" s="31"/>
      <c r="G1379" s="31"/>
      <c r="I1379" s="28"/>
      <c r="J1379" s="62"/>
      <c r="K1379" s="62"/>
      <c r="L1379" s="33"/>
      <c r="M1379" s="32"/>
      <c r="N1379" s="34"/>
      <c r="O1379" s="36"/>
      <c r="P1379" s="68"/>
      <c r="Q1379" s="24"/>
      <c r="R1379" s="24"/>
      <c r="S1379" s="64"/>
      <c r="T1379" s="58"/>
      <c r="V1379" s="67"/>
      <c r="X1379" s="67"/>
    </row>
    <row r="1380" spans="1:24" s="27" customFormat="1">
      <c r="A1380" s="31"/>
      <c r="B1380" s="24"/>
      <c r="C1380" s="30"/>
      <c r="D1380" s="28"/>
      <c r="E1380" s="31"/>
      <c r="F1380" s="31"/>
      <c r="G1380" s="31"/>
      <c r="I1380" s="28"/>
      <c r="J1380" s="62"/>
      <c r="K1380" s="62"/>
      <c r="L1380" s="33"/>
      <c r="M1380" s="32"/>
      <c r="N1380" s="34"/>
      <c r="O1380" s="36"/>
      <c r="P1380" s="68"/>
      <c r="Q1380" s="24"/>
      <c r="R1380" s="24"/>
      <c r="S1380" s="64"/>
      <c r="T1380" s="58"/>
      <c r="V1380" s="67"/>
      <c r="X1380" s="67"/>
    </row>
    <row r="1381" spans="1:24" s="27" customFormat="1">
      <c r="A1381" s="31"/>
      <c r="B1381" s="24"/>
      <c r="C1381" s="30"/>
      <c r="D1381" s="28"/>
      <c r="E1381" s="31"/>
      <c r="F1381" s="31"/>
      <c r="G1381" s="31"/>
      <c r="I1381" s="28"/>
      <c r="J1381" s="62"/>
      <c r="K1381" s="62"/>
      <c r="L1381" s="33"/>
      <c r="M1381" s="32"/>
      <c r="N1381" s="34"/>
      <c r="O1381" s="36"/>
      <c r="P1381" s="68"/>
      <c r="Q1381" s="24"/>
      <c r="R1381" s="24"/>
      <c r="S1381" s="64"/>
      <c r="T1381" s="58"/>
      <c r="V1381" s="67"/>
      <c r="X1381" s="67"/>
    </row>
    <row r="1382" spans="1:24" s="27" customFormat="1">
      <c r="A1382" s="31"/>
      <c r="B1382" s="24"/>
      <c r="C1382" s="30"/>
      <c r="D1382" s="28"/>
      <c r="E1382" s="31"/>
      <c r="F1382" s="31"/>
      <c r="G1382" s="31"/>
      <c r="I1382" s="28"/>
      <c r="J1382" s="62"/>
      <c r="K1382" s="62"/>
      <c r="L1382" s="33"/>
      <c r="M1382" s="32"/>
      <c r="N1382" s="34"/>
      <c r="O1382" s="36"/>
      <c r="P1382" s="68"/>
      <c r="Q1382" s="24"/>
      <c r="R1382" s="24"/>
      <c r="S1382" s="64"/>
      <c r="T1382" s="58"/>
      <c r="V1382" s="67"/>
      <c r="X1382" s="67"/>
    </row>
    <row r="1383" spans="1:24" s="27" customFormat="1">
      <c r="A1383" s="31"/>
      <c r="B1383" s="24"/>
      <c r="C1383" s="30"/>
      <c r="D1383" s="28"/>
      <c r="E1383" s="31"/>
      <c r="F1383" s="31"/>
      <c r="G1383" s="31"/>
      <c r="I1383" s="28"/>
      <c r="J1383" s="62"/>
      <c r="K1383" s="62"/>
      <c r="L1383" s="33"/>
      <c r="M1383" s="32"/>
      <c r="N1383" s="34"/>
      <c r="O1383" s="36"/>
      <c r="P1383" s="68"/>
      <c r="Q1383" s="24"/>
      <c r="R1383" s="24"/>
      <c r="S1383" s="64"/>
      <c r="T1383" s="58"/>
      <c r="V1383" s="67"/>
      <c r="X1383" s="67"/>
    </row>
    <row r="1384" spans="1:24" s="27" customFormat="1">
      <c r="A1384" s="31"/>
      <c r="B1384" s="24"/>
      <c r="C1384" s="30"/>
      <c r="D1384" s="28"/>
      <c r="E1384" s="31"/>
      <c r="F1384" s="31"/>
      <c r="G1384" s="31"/>
      <c r="I1384" s="28"/>
      <c r="J1384" s="62"/>
      <c r="K1384" s="62"/>
      <c r="L1384" s="33"/>
      <c r="M1384" s="32"/>
      <c r="N1384" s="34"/>
      <c r="O1384" s="36"/>
      <c r="P1384" s="68"/>
      <c r="Q1384" s="24"/>
      <c r="R1384" s="24"/>
      <c r="S1384" s="64"/>
      <c r="T1384" s="58"/>
      <c r="V1384" s="67"/>
      <c r="X1384" s="67"/>
    </row>
    <row r="1385" spans="1:24" s="27" customFormat="1">
      <c r="A1385" s="31"/>
      <c r="B1385" s="24"/>
      <c r="C1385" s="30"/>
      <c r="D1385" s="28"/>
      <c r="E1385" s="31"/>
      <c r="F1385" s="31"/>
      <c r="G1385" s="31"/>
      <c r="I1385" s="28"/>
      <c r="J1385" s="62"/>
      <c r="K1385" s="62"/>
      <c r="L1385" s="33"/>
      <c r="M1385" s="32"/>
      <c r="N1385" s="34"/>
      <c r="O1385" s="36"/>
      <c r="P1385" s="68"/>
      <c r="Q1385" s="24"/>
      <c r="R1385" s="24"/>
      <c r="S1385" s="64"/>
      <c r="T1385" s="58"/>
      <c r="V1385" s="67"/>
      <c r="X1385" s="67"/>
    </row>
    <row r="1386" spans="1:24" s="27" customFormat="1">
      <c r="A1386" s="31"/>
      <c r="B1386" s="24"/>
      <c r="C1386" s="30"/>
      <c r="D1386" s="28"/>
      <c r="E1386" s="31"/>
      <c r="F1386" s="31"/>
      <c r="G1386" s="31"/>
      <c r="I1386" s="28"/>
      <c r="J1386" s="62"/>
      <c r="K1386" s="62"/>
      <c r="L1386" s="33"/>
      <c r="M1386" s="32"/>
      <c r="N1386" s="34"/>
      <c r="O1386" s="36"/>
      <c r="P1386" s="68"/>
      <c r="Q1386" s="24"/>
      <c r="R1386" s="24"/>
      <c r="S1386" s="64"/>
      <c r="T1386" s="58"/>
      <c r="V1386" s="67"/>
      <c r="X1386" s="67"/>
    </row>
    <row r="1387" spans="1:24" s="27" customFormat="1">
      <c r="A1387" s="31"/>
      <c r="B1387" s="24"/>
      <c r="C1387" s="30"/>
      <c r="D1387" s="28"/>
      <c r="E1387" s="31"/>
      <c r="F1387" s="31"/>
      <c r="G1387" s="31"/>
      <c r="I1387" s="28"/>
      <c r="J1387" s="62"/>
      <c r="K1387" s="62"/>
      <c r="L1387" s="33"/>
      <c r="M1387" s="32"/>
      <c r="N1387" s="34"/>
      <c r="O1387" s="36"/>
      <c r="P1387" s="68"/>
      <c r="Q1387" s="24"/>
      <c r="R1387" s="24"/>
      <c r="S1387" s="64"/>
      <c r="T1387" s="58"/>
      <c r="V1387" s="67"/>
      <c r="X1387" s="67"/>
    </row>
    <row r="1388" spans="1:24" s="27" customFormat="1">
      <c r="A1388" s="31"/>
      <c r="B1388" s="24"/>
      <c r="C1388" s="30"/>
      <c r="D1388" s="28"/>
      <c r="E1388" s="31"/>
      <c r="F1388" s="31"/>
      <c r="G1388" s="31"/>
      <c r="I1388" s="28"/>
      <c r="J1388" s="62"/>
      <c r="K1388" s="62"/>
      <c r="L1388" s="33"/>
      <c r="M1388" s="32"/>
      <c r="N1388" s="34"/>
      <c r="O1388" s="36"/>
      <c r="P1388" s="68"/>
      <c r="Q1388" s="24"/>
      <c r="R1388" s="24"/>
      <c r="S1388" s="64"/>
      <c r="T1388" s="58"/>
      <c r="V1388" s="67"/>
      <c r="X1388" s="67"/>
    </row>
    <row r="1389" spans="1:24" s="27" customFormat="1">
      <c r="A1389" s="31"/>
      <c r="B1389" s="24"/>
      <c r="C1389" s="30"/>
      <c r="D1389" s="28"/>
      <c r="E1389" s="31"/>
      <c r="F1389" s="31"/>
      <c r="G1389" s="31"/>
      <c r="I1389" s="28"/>
      <c r="J1389" s="62"/>
      <c r="K1389" s="62"/>
      <c r="L1389" s="33"/>
      <c r="M1389" s="32"/>
      <c r="N1389" s="34"/>
      <c r="O1389" s="36"/>
      <c r="P1389" s="68"/>
      <c r="Q1389" s="24"/>
      <c r="R1389" s="24"/>
      <c r="S1389" s="64"/>
      <c r="T1389" s="58"/>
      <c r="V1389" s="67"/>
      <c r="X1389" s="67"/>
    </row>
    <row r="1390" spans="1:24" s="27" customFormat="1">
      <c r="A1390" s="31"/>
      <c r="B1390" s="24"/>
      <c r="C1390" s="30"/>
      <c r="D1390" s="28"/>
      <c r="E1390" s="31"/>
      <c r="F1390" s="31"/>
      <c r="G1390" s="31"/>
      <c r="I1390" s="28"/>
      <c r="J1390" s="62"/>
      <c r="K1390" s="62"/>
      <c r="L1390" s="33"/>
      <c r="M1390" s="32"/>
      <c r="N1390" s="34"/>
      <c r="O1390" s="36"/>
      <c r="P1390" s="68"/>
      <c r="Q1390" s="24"/>
      <c r="R1390" s="24"/>
      <c r="S1390" s="64"/>
      <c r="T1390" s="58"/>
      <c r="V1390" s="67"/>
      <c r="X1390" s="67"/>
    </row>
    <row r="1391" spans="1:24" s="27" customFormat="1">
      <c r="A1391" s="31"/>
      <c r="B1391" s="24"/>
      <c r="C1391" s="30"/>
      <c r="D1391" s="28"/>
      <c r="E1391" s="31"/>
      <c r="F1391" s="31"/>
      <c r="G1391" s="31"/>
      <c r="I1391" s="28"/>
      <c r="J1391" s="62"/>
      <c r="K1391" s="62"/>
      <c r="L1391" s="33"/>
      <c r="M1391" s="32"/>
      <c r="N1391" s="34"/>
      <c r="O1391" s="36"/>
      <c r="P1391" s="68"/>
      <c r="Q1391" s="24"/>
      <c r="R1391" s="24"/>
      <c r="S1391" s="64"/>
      <c r="T1391" s="58"/>
      <c r="V1391" s="67"/>
      <c r="X1391" s="67"/>
    </row>
    <row r="1392" spans="1:24" s="27" customFormat="1">
      <c r="A1392" s="31"/>
      <c r="B1392" s="24"/>
      <c r="C1392" s="30"/>
      <c r="D1392" s="28"/>
      <c r="E1392" s="31"/>
      <c r="F1392" s="31"/>
      <c r="G1392" s="31"/>
      <c r="I1392" s="28"/>
      <c r="J1392" s="62"/>
      <c r="K1392" s="62"/>
      <c r="L1392" s="33"/>
      <c r="M1392" s="32"/>
      <c r="N1392" s="34"/>
      <c r="O1392" s="36"/>
      <c r="P1392" s="68"/>
      <c r="Q1392" s="24"/>
      <c r="R1392" s="24"/>
      <c r="S1392" s="64"/>
      <c r="T1392" s="58"/>
      <c r="V1392" s="67"/>
      <c r="X1392" s="67"/>
    </row>
    <row r="1393" spans="1:24" s="27" customFormat="1">
      <c r="A1393" s="31"/>
      <c r="B1393" s="24"/>
      <c r="C1393" s="30"/>
      <c r="D1393" s="28"/>
      <c r="E1393" s="31"/>
      <c r="F1393" s="31"/>
      <c r="G1393" s="31"/>
      <c r="I1393" s="28"/>
      <c r="J1393" s="62"/>
      <c r="K1393" s="62"/>
      <c r="L1393" s="33"/>
      <c r="M1393" s="32"/>
      <c r="N1393" s="34"/>
      <c r="O1393" s="36"/>
      <c r="P1393" s="68"/>
      <c r="Q1393" s="24"/>
      <c r="R1393" s="24"/>
      <c r="S1393" s="64"/>
      <c r="T1393" s="58"/>
      <c r="V1393" s="67"/>
      <c r="X1393" s="67"/>
    </row>
    <row r="1394" spans="1:24" s="27" customFormat="1">
      <c r="A1394" s="31"/>
      <c r="B1394" s="24"/>
      <c r="C1394" s="30"/>
      <c r="D1394" s="28"/>
      <c r="E1394" s="31"/>
      <c r="F1394" s="31"/>
      <c r="G1394" s="31"/>
      <c r="I1394" s="28"/>
      <c r="J1394" s="62"/>
      <c r="K1394" s="62"/>
      <c r="L1394" s="33"/>
      <c r="M1394" s="32"/>
      <c r="N1394" s="34"/>
      <c r="O1394" s="36"/>
      <c r="P1394" s="68"/>
      <c r="Q1394" s="24"/>
      <c r="R1394" s="24"/>
      <c r="S1394" s="64"/>
      <c r="T1394" s="58"/>
      <c r="V1394" s="67"/>
      <c r="X1394" s="67"/>
    </row>
    <row r="1395" spans="1:24" s="27" customFormat="1">
      <c r="A1395" s="31"/>
      <c r="B1395" s="24"/>
      <c r="C1395" s="30"/>
      <c r="D1395" s="28"/>
      <c r="E1395" s="31"/>
      <c r="F1395" s="31"/>
      <c r="G1395" s="31"/>
      <c r="I1395" s="28"/>
      <c r="J1395" s="62"/>
      <c r="K1395" s="62"/>
      <c r="L1395" s="33"/>
      <c r="M1395" s="32"/>
      <c r="N1395" s="34"/>
      <c r="O1395" s="36"/>
      <c r="P1395" s="68"/>
      <c r="Q1395" s="24"/>
      <c r="R1395" s="24"/>
      <c r="S1395" s="64"/>
      <c r="T1395" s="58"/>
      <c r="V1395" s="67"/>
      <c r="X1395" s="67"/>
    </row>
    <row r="1396" spans="1:24" s="27" customFormat="1">
      <c r="A1396" s="31"/>
      <c r="B1396" s="24"/>
      <c r="C1396" s="30"/>
      <c r="D1396" s="28"/>
      <c r="E1396" s="31"/>
      <c r="F1396" s="31"/>
      <c r="G1396" s="31"/>
      <c r="I1396" s="28"/>
      <c r="J1396" s="62"/>
      <c r="K1396" s="62"/>
      <c r="L1396" s="33"/>
      <c r="M1396" s="32"/>
      <c r="N1396" s="34"/>
      <c r="O1396" s="36"/>
      <c r="P1396" s="68"/>
      <c r="Q1396" s="24"/>
      <c r="R1396" s="24"/>
      <c r="S1396" s="64"/>
      <c r="T1396" s="58"/>
      <c r="V1396" s="67"/>
      <c r="X1396" s="67"/>
    </row>
    <row r="1397" spans="1:24" s="27" customFormat="1">
      <c r="A1397" s="31"/>
      <c r="B1397" s="24"/>
      <c r="C1397" s="30"/>
      <c r="D1397" s="28"/>
      <c r="E1397" s="31"/>
      <c r="F1397" s="31"/>
      <c r="G1397" s="31"/>
      <c r="I1397" s="28"/>
      <c r="J1397" s="62"/>
      <c r="K1397" s="62"/>
      <c r="L1397" s="33"/>
      <c r="M1397" s="32"/>
      <c r="N1397" s="34"/>
      <c r="O1397" s="36"/>
      <c r="P1397" s="68"/>
      <c r="Q1397" s="24"/>
      <c r="R1397" s="24"/>
      <c r="S1397" s="64"/>
      <c r="T1397" s="58"/>
      <c r="V1397" s="67"/>
      <c r="X1397" s="67"/>
    </row>
    <row r="1398" spans="1:24" s="27" customFormat="1">
      <c r="A1398" s="31"/>
      <c r="B1398" s="24"/>
      <c r="C1398" s="30"/>
      <c r="D1398" s="28"/>
      <c r="E1398" s="31"/>
      <c r="F1398" s="31"/>
      <c r="G1398" s="31"/>
      <c r="I1398" s="28"/>
      <c r="J1398" s="62"/>
      <c r="K1398" s="62"/>
      <c r="L1398" s="33"/>
      <c r="M1398" s="32"/>
      <c r="N1398" s="34"/>
      <c r="O1398" s="36"/>
      <c r="P1398" s="68"/>
      <c r="Q1398" s="24"/>
      <c r="R1398" s="24"/>
      <c r="S1398" s="64"/>
      <c r="T1398" s="58"/>
      <c r="V1398" s="67"/>
      <c r="X1398" s="67"/>
    </row>
    <row r="1399" spans="1:24" s="27" customFormat="1">
      <c r="A1399" s="31"/>
      <c r="B1399" s="24"/>
      <c r="C1399" s="30"/>
      <c r="D1399" s="28"/>
      <c r="E1399" s="31"/>
      <c r="F1399" s="31"/>
      <c r="G1399" s="31"/>
      <c r="I1399" s="28"/>
      <c r="J1399" s="62"/>
      <c r="K1399" s="62"/>
      <c r="L1399" s="33"/>
      <c r="M1399" s="32"/>
      <c r="N1399" s="34"/>
      <c r="O1399" s="36"/>
      <c r="P1399" s="68"/>
      <c r="Q1399" s="24"/>
      <c r="R1399" s="24"/>
      <c r="S1399" s="64"/>
      <c r="T1399" s="58"/>
      <c r="V1399" s="67"/>
      <c r="X1399" s="67"/>
    </row>
    <row r="1400" spans="1:24" s="27" customFormat="1">
      <c r="A1400" s="31"/>
      <c r="B1400" s="24"/>
      <c r="C1400" s="30"/>
      <c r="D1400" s="28"/>
      <c r="E1400" s="31"/>
      <c r="F1400" s="31"/>
      <c r="G1400" s="31"/>
      <c r="I1400" s="28"/>
      <c r="J1400" s="62"/>
      <c r="K1400" s="62"/>
      <c r="L1400" s="33"/>
      <c r="M1400" s="32"/>
      <c r="N1400" s="34"/>
      <c r="O1400" s="36"/>
      <c r="P1400" s="68"/>
      <c r="Q1400" s="24"/>
      <c r="R1400" s="24"/>
      <c r="S1400" s="64"/>
      <c r="T1400" s="58"/>
      <c r="V1400" s="67"/>
      <c r="X1400" s="67"/>
    </row>
    <row r="1401" spans="1:24" s="27" customFormat="1">
      <c r="A1401" s="31"/>
      <c r="B1401" s="24"/>
      <c r="C1401" s="30"/>
      <c r="D1401" s="28"/>
      <c r="E1401" s="31"/>
      <c r="F1401" s="31"/>
      <c r="G1401" s="31"/>
      <c r="I1401" s="28"/>
      <c r="J1401" s="62"/>
      <c r="K1401" s="62"/>
      <c r="L1401" s="33"/>
      <c r="M1401" s="32"/>
      <c r="N1401" s="34"/>
      <c r="O1401" s="36"/>
      <c r="P1401" s="68"/>
      <c r="Q1401" s="24"/>
      <c r="R1401" s="24"/>
      <c r="S1401" s="64"/>
      <c r="T1401" s="58"/>
      <c r="V1401" s="67"/>
      <c r="X1401" s="67"/>
    </row>
    <row r="1402" spans="1:24" s="27" customFormat="1">
      <c r="A1402" s="31"/>
      <c r="B1402" s="24"/>
      <c r="C1402" s="30"/>
      <c r="D1402" s="28"/>
      <c r="E1402" s="31"/>
      <c r="F1402" s="31"/>
      <c r="G1402" s="31"/>
      <c r="I1402" s="28"/>
      <c r="J1402" s="62"/>
      <c r="K1402" s="62"/>
      <c r="L1402" s="33"/>
      <c r="M1402" s="32"/>
      <c r="N1402" s="34"/>
      <c r="O1402" s="36"/>
      <c r="P1402" s="68"/>
      <c r="Q1402" s="24"/>
      <c r="R1402" s="24"/>
      <c r="S1402" s="64"/>
      <c r="T1402" s="58"/>
      <c r="V1402" s="67"/>
      <c r="X1402" s="67"/>
    </row>
    <row r="1403" spans="1:24" s="27" customFormat="1">
      <c r="A1403" s="31"/>
      <c r="B1403" s="24"/>
      <c r="C1403" s="30"/>
      <c r="D1403" s="28"/>
      <c r="E1403" s="31"/>
      <c r="F1403" s="31"/>
      <c r="G1403" s="31"/>
      <c r="I1403" s="28"/>
      <c r="J1403" s="62"/>
      <c r="K1403" s="62"/>
      <c r="L1403" s="33"/>
      <c r="M1403" s="32"/>
      <c r="N1403" s="34"/>
      <c r="O1403" s="36"/>
      <c r="P1403" s="68"/>
      <c r="Q1403" s="24"/>
      <c r="R1403" s="24"/>
      <c r="S1403" s="64"/>
      <c r="T1403" s="58"/>
      <c r="V1403" s="67"/>
      <c r="X1403" s="67"/>
    </row>
    <row r="1404" spans="1:24" s="27" customFormat="1">
      <c r="A1404" s="31"/>
      <c r="B1404" s="24"/>
      <c r="C1404" s="30"/>
      <c r="D1404" s="28"/>
      <c r="E1404" s="31"/>
      <c r="F1404" s="31"/>
      <c r="G1404" s="31"/>
      <c r="I1404" s="28"/>
      <c r="J1404" s="62"/>
      <c r="K1404" s="62"/>
      <c r="L1404" s="33"/>
      <c r="M1404" s="32"/>
      <c r="N1404" s="34"/>
      <c r="O1404" s="36"/>
      <c r="P1404" s="68"/>
      <c r="Q1404" s="24"/>
      <c r="R1404" s="24"/>
      <c r="S1404" s="64"/>
      <c r="T1404" s="58"/>
      <c r="V1404" s="67"/>
      <c r="X1404" s="67"/>
    </row>
    <row r="1405" spans="1:24" s="27" customFormat="1">
      <c r="A1405" s="31"/>
      <c r="B1405" s="24"/>
      <c r="C1405" s="30"/>
      <c r="D1405" s="28"/>
      <c r="E1405" s="31"/>
      <c r="F1405" s="31"/>
      <c r="G1405" s="31"/>
      <c r="I1405" s="28"/>
      <c r="J1405" s="62"/>
      <c r="K1405" s="62"/>
      <c r="L1405" s="33"/>
      <c r="M1405" s="32"/>
      <c r="N1405" s="34"/>
      <c r="O1405" s="36"/>
      <c r="P1405" s="68"/>
      <c r="Q1405" s="24"/>
      <c r="R1405" s="24"/>
      <c r="S1405" s="64"/>
      <c r="T1405" s="58"/>
      <c r="V1405" s="67"/>
      <c r="X1405" s="67"/>
    </row>
    <row r="1406" spans="1:24" s="27" customFormat="1">
      <c r="A1406" s="31"/>
      <c r="B1406" s="24"/>
      <c r="C1406" s="30"/>
      <c r="D1406" s="28"/>
      <c r="E1406" s="31"/>
      <c r="F1406" s="31"/>
      <c r="G1406" s="31"/>
      <c r="I1406" s="28"/>
      <c r="J1406" s="62"/>
      <c r="K1406" s="62"/>
      <c r="L1406" s="33"/>
      <c r="M1406" s="32"/>
      <c r="N1406" s="34"/>
      <c r="O1406" s="36"/>
      <c r="P1406" s="68"/>
      <c r="Q1406" s="24"/>
      <c r="R1406" s="24"/>
      <c r="S1406" s="64"/>
      <c r="T1406" s="58"/>
      <c r="V1406" s="67"/>
      <c r="X1406" s="67"/>
    </row>
    <row r="1407" spans="1:24" s="27" customFormat="1">
      <c r="A1407" s="31"/>
      <c r="B1407" s="24"/>
      <c r="C1407" s="30"/>
      <c r="D1407" s="28"/>
      <c r="E1407" s="31"/>
      <c r="F1407" s="31"/>
      <c r="G1407" s="31"/>
      <c r="I1407" s="28"/>
      <c r="J1407" s="62"/>
      <c r="K1407" s="62"/>
      <c r="L1407" s="33"/>
      <c r="M1407" s="32"/>
      <c r="N1407" s="34"/>
      <c r="O1407" s="36"/>
      <c r="P1407" s="68"/>
      <c r="Q1407" s="24"/>
      <c r="R1407" s="24"/>
      <c r="S1407" s="64"/>
      <c r="T1407" s="58"/>
      <c r="V1407" s="67"/>
      <c r="X1407" s="67"/>
    </row>
    <row r="1408" spans="1:24" s="27" customFormat="1">
      <c r="A1408" s="31"/>
      <c r="B1408" s="24"/>
      <c r="C1408" s="30"/>
      <c r="D1408" s="28"/>
      <c r="E1408" s="31"/>
      <c r="F1408" s="31"/>
      <c r="G1408" s="31"/>
      <c r="I1408" s="28"/>
      <c r="J1408" s="62"/>
      <c r="K1408" s="62"/>
      <c r="L1408" s="33"/>
      <c r="M1408" s="32"/>
      <c r="N1408" s="34"/>
      <c r="O1408" s="36"/>
      <c r="P1408" s="68"/>
      <c r="Q1408" s="24"/>
      <c r="R1408" s="24"/>
      <c r="S1408" s="64"/>
      <c r="T1408" s="58"/>
      <c r="V1408" s="67"/>
      <c r="X1408" s="67"/>
    </row>
    <row r="1409" spans="1:24" s="27" customFormat="1">
      <c r="A1409" s="31"/>
      <c r="B1409" s="24"/>
      <c r="C1409" s="30"/>
      <c r="D1409" s="28"/>
      <c r="E1409" s="31"/>
      <c r="F1409" s="31"/>
      <c r="G1409" s="31"/>
      <c r="I1409" s="28"/>
      <c r="J1409" s="62"/>
      <c r="K1409" s="62"/>
      <c r="L1409" s="33"/>
      <c r="M1409" s="32"/>
      <c r="N1409" s="34"/>
      <c r="O1409" s="36"/>
      <c r="P1409" s="68"/>
      <c r="Q1409" s="24"/>
      <c r="R1409" s="24"/>
      <c r="S1409" s="64"/>
      <c r="T1409" s="58"/>
      <c r="V1409" s="67"/>
      <c r="X1409" s="67"/>
    </row>
    <row r="1410" spans="1:24" s="27" customFormat="1">
      <c r="A1410" s="31"/>
      <c r="B1410" s="24"/>
      <c r="C1410" s="30"/>
      <c r="D1410" s="28"/>
      <c r="E1410" s="31"/>
      <c r="F1410" s="31"/>
      <c r="G1410" s="31"/>
      <c r="I1410" s="28"/>
      <c r="J1410" s="62"/>
      <c r="K1410" s="62"/>
      <c r="L1410" s="33"/>
      <c r="M1410" s="32"/>
      <c r="N1410" s="34"/>
      <c r="O1410" s="36"/>
      <c r="P1410" s="68"/>
      <c r="Q1410" s="24"/>
      <c r="R1410" s="24"/>
      <c r="S1410" s="64"/>
      <c r="T1410" s="58"/>
      <c r="V1410" s="67"/>
      <c r="X1410" s="67"/>
    </row>
    <row r="1411" spans="1:24" s="27" customFormat="1">
      <c r="A1411" s="31"/>
      <c r="B1411" s="24"/>
      <c r="C1411" s="30"/>
      <c r="D1411" s="28"/>
      <c r="E1411" s="31"/>
      <c r="F1411" s="31"/>
      <c r="G1411" s="31"/>
      <c r="I1411" s="28"/>
      <c r="J1411" s="62"/>
      <c r="K1411" s="62"/>
      <c r="L1411" s="33"/>
      <c r="M1411" s="32"/>
      <c r="N1411" s="34"/>
      <c r="O1411" s="36"/>
      <c r="P1411" s="68"/>
      <c r="Q1411" s="24"/>
      <c r="R1411" s="24"/>
      <c r="S1411" s="64"/>
      <c r="T1411" s="58"/>
      <c r="V1411" s="67"/>
      <c r="X1411" s="67"/>
    </row>
    <row r="1412" spans="1:24" s="27" customFormat="1">
      <c r="A1412" s="31"/>
      <c r="B1412" s="24"/>
      <c r="C1412" s="30"/>
      <c r="D1412" s="28"/>
      <c r="E1412" s="31"/>
      <c r="F1412" s="31"/>
      <c r="G1412" s="31"/>
      <c r="I1412" s="28"/>
      <c r="J1412" s="62"/>
      <c r="K1412" s="62"/>
      <c r="L1412" s="33"/>
      <c r="M1412" s="32"/>
      <c r="N1412" s="34"/>
      <c r="O1412" s="36"/>
      <c r="P1412" s="68"/>
      <c r="Q1412" s="24"/>
      <c r="R1412" s="24"/>
      <c r="S1412" s="64"/>
      <c r="T1412" s="58"/>
      <c r="V1412" s="67"/>
      <c r="X1412" s="67"/>
    </row>
    <row r="1413" spans="1:24" s="27" customFormat="1">
      <c r="A1413" s="31"/>
      <c r="B1413" s="24"/>
      <c r="C1413" s="30"/>
      <c r="D1413" s="28"/>
      <c r="E1413" s="31"/>
      <c r="F1413" s="31"/>
      <c r="G1413" s="31"/>
      <c r="I1413" s="28"/>
      <c r="J1413" s="62"/>
      <c r="K1413" s="62"/>
      <c r="L1413" s="33"/>
      <c r="M1413" s="32"/>
      <c r="N1413" s="34"/>
      <c r="O1413" s="36"/>
      <c r="P1413" s="68"/>
      <c r="Q1413" s="24"/>
      <c r="R1413" s="24"/>
      <c r="S1413" s="64"/>
      <c r="T1413" s="58"/>
      <c r="V1413" s="67"/>
      <c r="X1413" s="67"/>
    </row>
    <row r="1414" spans="1:24" s="27" customFormat="1">
      <c r="A1414" s="31"/>
      <c r="B1414" s="24"/>
      <c r="C1414" s="30"/>
      <c r="D1414" s="28"/>
      <c r="E1414" s="31"/>
      <c r="F1414" s="31"/>
      <c r="G1414" s="31"/>
      <c r="I1414" s="28"/>
      <c r="J1414" s="62"/>
      <c r="K1414" s="62"/>
      <c r="L1414" s="33"/>
      <c r="M1414" s="32"/>
      <c r="N1414" s="34"/>
      <c r="O1414" s="36"/>
      <c r="P1414" s="68"/>
      <c r="Q1414" s="24"/>
      <c r="R1414" s="24"/>
      <c r="S1414" s="64"/>
      <c r="T1414" s="58"/>
      <c r="V1414" s="67"/>
      <c r="X1414" s="67"/>
    </row>
    <row r="1415" spans="1:24" s="27" customFormat="1">
      <c r="A1415" s="31"/>
      <c r="B1415" s="24"/>
      <c r="C1415" s="30"/>
      <c r="D1415" s="28"/>
      <c r="E1415" s="31"/>
      <c r="F1415" s="31"/>
      <c r="G1415" s="31"/>
      <c r="I1415" s="28"/>
      <c r="J1415" s="62"/>
      <c r="K1415" s="62"/>
      <c r="L1415" s="33"/>
      <c r="M1415" s="32"/>
      <c r="N1415" s="34"/>
      <c r="O1415" s="36"/>
      <c r="P1415" s="68"/>
      <c r="Q1415" s="24"/>
      <c r="R1415" s="24"/>
      <c r="S1415" s="64"/>
      <c r="T1415" s="58"/>
      <c r="V1415" s="67"/>
      <c r="X1415" s="67"/>
    </row>
    <row r="1416" spans="1:24" s="27" customFormat="1">
      <c r="A1416" s="31"/>
      <c r="B1416" s="24"/>
      <c r="C1416" s="30"/>
      <c r="D1416" s="28"/>
      <c r="E1416" s="31"/>
      <c r="F1416" s="31"/>
      <c r="G1416" s="31"/>
      <c r="I1416" s="28"/>
      <c r="J1416" s="62"/>
      <c r="K1416" s="62"/>
      <c r="L1416" s="33"/>
      <c r="M1416" s="32"/>
      <c r="N1416" s="34"/>
      <c r="O1416" s="36"/>
      <c r="P1416" s="68"/>
      <c r="Q1416" s="24"/>
      <c r="R1416" s="24"/>
      <c r="S1416" s="64"/>
      <c r="T1416" s="58"/>
      <c r="V1416" s="67"/>
      <c r="X1416" s="67"/>
    </row>
    <row r="1417" spans="1:24" s="27" customFormat="1">
      <c r="A1417" s="31"/>
      <c r="B1417" s="24"/>
      <c r="C1417" s="30"/>
      <c r="D1417" s="28"/>
      <c r="E1417" s="31"/>
      <c r="F1417" s="31"/>
      <c r="G1417" s="31"/>
      <c r="I1417" s="28"/>
      <c r="J1417" s="62"/>
      <c r="K1417" s="62"/>
      <c r="L1417" s="33"/>
      <c r="M1417" s="32"/>
      <c r="N1417" s="34"/>
      <c r="O1417" s="36"/>
      <c r="P1417" s="68"/>
      <c r="Q1417" s="24"/>
      <c r="R1417" s="24"/>
      <c r="S1417" s="64"/>
      <c r="T1417" s="58"/>
      <c r="V1417" s="67"/>
      <c r="X1417" s="67"/>
    </row>
    <row r="1418" spans="1:24" s="27" customFormat="1">
      <c r="A1418" s="31"/>
      <c r="B1418" s="24"/>
      <c r="C1418" s="30"/>
      <c r="D1418" s="28"/>
      <c r="E1418" s="31"/>
      <c r="F1418" s="31"/>
      <c r="G1418" s="31"/>
      <c r="I1418" s="28"/>
      <c r="J1418" s="62"/>
      <c r="K1418" s="62"/>
      <c r="L1418" s="33"/>
      <c r="M1418" s="32"/>
      <c r="N1418" s="34"/>
      <c r="O1418" s="36"/>
      <c r="P1418" s="68"/>
      <c r="Q1418" s="24"/>
      <c r="R1418" s="24"/>
      <c r="S1418" s="64"/>
      <c r="T1418" s="58"/>
      <c r="V1418" s="67"/>
      <c r="X1418" s="67"/>
    </row>
    <row r="1419" spans="1:24" s="27" customFormat="1">
      <c r="A1419" s="31"/>
      <c r="B1419" s="24"/>
      <c r="C1419" s="30"/>
      <c r="D1419" s="28"/>
      <c r="E1419" s="31"/>
      <c r="F1419" s="31"/>
      <c r="G1419" s="31"/>
      <c r="I1419" s="28"/>
      <c r="J1419" s="62"/>
      <c r="K1419" s="62"/>
      <c r="L1419" s="33"/>
      <c r="M1419" s="32"/>
      <c r="N1419" s="34"/>
      <c r="O1419" s="36"/>
      <c r="P1419" s="68"/>
      <c r="Q1419" s="24"/>
      <c r="R1419" s="24"/>
      <c r="S1419" s="64"/>
      <c r="T1419" s="58"/>
      <c r="V1419" s="67"/>
      <c r="X1419" s="67"/>
    </row>
    <row r="1420" spans="1:24" s="27" customFormat="1">
      <c r="A1420" s="31"/>
      <c r="B1420" s="24"/>
      <c r="C1420" s="30"/>
      <c r="D1420" s="28"/>
      <c r="E1420" s="31"/>
      <c r="F1420" s="31"/>
      <c r="G1420" s="31"/>
      <c r="I1420" s="28"/>
      <c r="J1420" s="62"/>
      <c r="K1420" s="62"/>
      <c r="L1420" s="33"/>
      <c r="M1420" s="32"/>
      <c r="N1420" s="34"/>
      <c r="O1420" s="36"/>
      <c r="P1420" s="68"/>
      <c r="Q1420" s="24"/>
      <c r="R1420" s="24"/>
      <c r="S1420" s="64"/>
      <c r="T1420" s="58"/>
      <c r="V1420" s="67"/>
      <c r="X1420" s="67"/>
    </row>
    <row r="1421" spans="1:24" s="27" customFormat="1">
      <c r="A1421" s="31"/>
      <c r="B1421" s="24"/>
      <c r="C1421" s="30"/>
      <c r="D1421" s="28"/>
      <c r="E1421" s="31"/>
      <c r="F1421" s="31"/>
      <c r="G1421" s="31"/>
      <c r="I1421" s="28"/>
      <c r="J1421" s="62"/>
      <c r="K1421" s="62"/>
      <c r="L1421" s="33"/>
      <c r="M1421" s="32"/>
      <c r="N1421" s="34"/>
      <c r="O1421" s="36"/>
      <c r="P1421" s="68"/>
      <c r="Q1421" s="24"/>
      <c r="R1421" s="24"/>
      <c r="S1421" s="64"/>
      <c r="T1421" s="58"/>
      <c r="V1421" s="67"/>
      <c r="X1421" s="67"/>
    </row>
    <row r="1422" spans="1:24" s="27" customFormat="1">
      <c r="A1422" s="31"/>
      <c r="B1422" s="24"/>
      <c r="C1422" s="30"/>
      <c r="D1422" s="28"/>
      <c r="E1422" s="31"/>
      <c r="F1422" s="31"/>
      <c r="G1422" s="31"/>
      <c r="I1422" s="28"/>
      <c r="J1422" s="62"/>
      <c r="K1422" s="62"/>
      <c r="L1422" s="33"/>
      <c r="M1422" s="32"/>
      <c r="N1422" s="34"/>
      <c r="O1422" s="36"/>
      <c r="P1422" s="68"/>
      <c r="Q1422" s="24"/>
      <c r="R1422" s="24"/>
      <c r="S1422" s="64"/>
      <c r="T1422" s="58"/>
      <c r="V1422" s="67"/>
      <c r="X1422" s="67"/>
    </row>
    <row r="1423" spans="1:24" s="27" customFormat="1">
      <c r="A1423" s="31"/>
      <c r="B1423" s="24"/>
      <c r="C1423" s="30"/>
      <c r="D1423" s="28"/>
      <c r="E1423" s="31"/>
      <c r="F1423" s="31"/>
      <c r="G1423" s="31"/>
      <c r="I1423" s="28"/>
      <c r="J1423" s="62"/>
      <c r="K1423" s="62"/>
      <c r="L1423" s="33"/>
      <c r="M1423" s="32"/>
      <c r="N1423" s="34"/>
      <c r="O1423" s="36"/>
      <c r="P1423" s="68"/>
      <c r="Q1423" s="24"/>
      <c r="R1423" s="24"/>
      <c r="S1423" s="64"/>
      <c r="T1423" s="58"/>
      <c r="V1423" s="67"/>
      <c r="X1423" s="67"/>
    </row>
    <row r="1424" spans="1:24" s="27" customFormat="1">
      <c r="A1424" s="31"/>
      <c r="B1424" s="24"/>
      <c r="C1424" s="30"/>
      <c r="D1424" s="28"/>
      <c r="E1424" s="31"/>
      <c r="F1424" s="31"/>
      <c r="G1424" s="31"/>
      <c r="I1424" s="28"/>
      <c r="J1424" s="62"/>
      <c r="K1424" s="62"/>
      <c r="L1424" s="33"/>
      <c r="M1424" s="32"/>
      <c r="N1424" s="34"/>
      <c r="O1424" s="36"/>
      <c r="P1424" s="68"/>
      <c r="Q1424" s="24"/>
      <c r="R1424" s="24"/>
      <c r="S1424" s="64"/>
      <c r="T1424" s="58"/>
      <c r="V1424" s="67"/>
      <c r="X1424" s="67"/>
    </row>
    <row r="1425" spans="1:24" s="27" customFormat="1">
      <c r="A1425" s="31"/>
      <c r="B1425" s="24"/>
      <c r="C1425" s="30"/>
      <c r="D1425" s="28"/>
      <c r="E1425" s="31"/>
      <c r="F1425" s="31"/>
      <c r="G1425" s="31"/>
      <c r="I1425" s="28"/>
      <c r="J1425" s="62"/>
      <c r="K1425" s="62"/>
      <c r="L1425" s="33"/>
      <c r="M1425" s="32"/>
      <c r="N1425" s="34"/>
      <c r="O1425" s="36"/>
      <c r="P1425" s="68"/>
      <c r="Q1425" s="24"/>
      <c r="R1425" s="24"/>
      <c r="S1425" s="64"/>
      <c r="T1425" s="58"/>
      <c r="V1425" s="67"/>
      <c r="X1425" s="67"/>
    </row>
    <row r="1426" spans="1:24" s="27" customFormat="1">
      <c r="A1426" s="31"/>
      <c r="B1426" s="24"/>
      <c r="C1426" s="30"/>
      <c r="D1426" s="28"/>
      <c r="E1426" s="31"/>
      <c r="F1426" s="31"/>
      <c r="G1426" s="31"/>
      <c r="I1426" s="28"/>
      <c r="J1426" s="62"/>
      <c r="K1426" s="62"/>
      <c r="L1426" s="33"/>
      <c r="M1426" s="32"/>
      <c r="N1426" s="34"/>
      <c r="O1426" s="36"/>
      <c r="P1426" s="68"/>
      <c r="Q1426" s="24"/>
      <c r="R1426" s="24"/>
      <c r="S1426" s="64"/>
      <c r="T1426" s="58"/>
      <c r="V1426" s="67"/>
      <c r="X1426" s="67"/>
    </row>
    <row r="1427" spans="1:24" s="27" customFormat="1">
      <c r="A1427" s="31"/>
      <c r="B1427" s="24"/>
      <c r="C1427" s="30"/>
      <c r="D1427" s="28"/>
      <c r="E1427" s="31"/>
      <c r="F1427" s="31"/>
      <c r="G1427" s="31"/>
      <c r="I1427" s="28"/>
      <c r="J1427" s="62"/>
      <c r="K1427" s="62"/>
      <c r="L1427" s="33"/>
      <c r="M1427" s="32"/>
      <c r="N1427" s="34"/>
      <c r="O1427" s="36"/>
      <c r="P1427" s="68"/>
      <c r="Q1427" s="24"/>
      <c r="R1427" s="24"/>
      <c r="S1427" s="64"/>
      <c r="T1427" s="58"/>
      <c r="V1427" s="67"/>
      <c r="X1427" s="67"/>
    </row>
    <row r="1428" spans="1:24" s="27" customFormat="1">
      <c r="A1428" s="31"/>
      <c r="B1428" s="24"/>
      <c r="C1428" s="30"/>
      <c r="D1428" s="28"/>
      <c r="E1428" s="31"/>
      <c r="F1428" s="31"/>
      <c r="G1428" s="31"/>
      <c r="I1428" s="28"/>
      <c r="J1428" s="62"/>
      <c r="K1428" s="62"/>
      <c r="L1428" s="33"/>
      <c r="M1428" s="32"/>
      <c r="N1428" s="34"/>
      <c r="O1428" s="36"/>
      <c r="P1428" s="68"/>
      <c r="Q1428" s="24"/>
      <c r="R1428" s="24"/>
      <c r="S1428" s="64"/>
      <c r="T1428" s="58"/>
      <c r="V1428" s="67"/>
      <c r="X1428" s="67"/>
    </row>
    <row r="1429" spans="1:24" s="27" customFormat="1">
      <c r="A1429" s="31"/>
      <c r="B1429" s="24"/>
      <c r="C1429" s="30"/>
      <c r="D1429" s="28"/>
      <c r="E1429" s="31"/>
      <c r="F1429" s="31"/>
      <c r="G1429" s="31"/>
      <c r="I1429" s="28"/>
      <c r="J1429" s="62"/>
      <c r="K1429" s="62"/>
      <c r="L1429" s="33"/>
      <c r="M1429" s="32"/>
      <c r="N1429" s="34"/>
      <c r="O1429" s="36"/>
      <c r="P1429" s="68"/>
      <c r="Q1429" s="24"/>
      <c r="R1429" s="24"/>
      <c r="S1429" s="64"/>
      <c r="T1429" s="58"/>
      <c r="V1429" s="67"/>
      <c r="X1429" s="67"/>
    </row>
    <row r="1430" spans="1:24" s="27" customFormat="1">
      <c r="A1430" s="31"/>
      <c r="B1430" s="24"/>
      <c r="C1430" s="30"/>
      <c r="D1430" s="28"/>
      <c r="E1430" s="31"/>
      <c r="F1430" s="31"/>
      <c r="G1430" s="31"/>
      <c r="I1430" s="28"/>
      <c r="J1430" s="62"/>
      <c r="K1430" s="62"/>
      <c r="L1430" s="33"/>
      <c r="M1430" s="32"/>
      <c r="N1430" s="34"/>
      <c r="O1430" s="36"/>
      <c r="P1430" s="68"/>
      <c r="Q1430" s="24"/>
      <c r="R1430" s="24"/>
      <c r="S1430" s="64"/>
      <c r="T1430" s="58"/>
      <c r="V1430" s="67"/>
      <c r="X1430" s="67"/>
    </row>
    <row r="1431" spans="1:24" s="27" customFormat="1">
      <c r="A1431" s="31"/>
      <c r="B1431" s="24"/>
      <c r="C1431" s="30"/>
      <c r="D1431" s="28"/>
      <c r="E1431" s="31"/>
      <c r="F1431" s="31"/>
      <c r="G1431" s="31"/>
      <c r="I1431" s="28"/>
      <c r="J1431" s="62"/>
      <c r="K1431" s="62"/>
      <c r="L1431" s="33"/>
      <c r="M1431" s="32"/>
      <c r="N1431" s="34"/>
      <c r="O1431" s="36"/>
      <c r="P1431" s="68"/>
      <c r="Q1431" s="24"/>
      <c r="R1431" s="24"/>
      <c r="S1431" s="64"/>
      <c r="T1431" s="58"/>
      <c r="V1431" s="67"/>
      <c r="X1431" s="67"/>
    </row>
    <row r="1432" spans="1:24" s="27" customFormat="1">
      <c r="A1432" s="31"/>
      <c r="B1432" s="24"/>
      <c r="C1432" s="30"/>
      <c r="D1432" s="28"/>
      <c r="E1432" s="31"/>
      <c r="F1432" s="31"/>
      <c r="G1432" s="31"/>
      <c r="I1432" s="28"/>
      <c r="J1432" s="62"/>
      <c r="K1432" s="62"/>
      <c r="L1432" s="33"/>
      <c r="M1432" s="32"/>
      <c r="N1432" s="34"/>
      <c r="O1432" s="36"/>
      <c r="P1432" s="68"/>
      <c r="Q1432" s="24"/>
      <c r="R1432" s="24"/>
      <c r="S1432" s="64"/>
      <c r="T1432" s="58"/>
      <c r="V1432" s="67"/>
      <c r="X1432" s="67"/>
    </row>
    <row r="1433" spans="1:24" s="27" customFormat="1">
      <c r="A1433" s="31"/>
      <c r="B1433" s="24"/>
      <c r="C1433" s="30"/>
      <c r="D1433" s="28"/>
      <c r="E1433" s="31"/>
      <c r="F1433" s="31"/>
      <c r="G1433" s="31"/>
      <c r="I1433" s="28"/>
      <c r="J1433" s="62"/>
      <c r="K1433" s="62"/>
      <c r="L1433" s="33"/>
      <c r="M1433" s="32"/>
      <c r="N1433" s="34"/>
      <c r="O1433" s="36"/>
      <c r="P1433" s="68"/>
      <c r="Q1433" s="24"/>
      <c r="R1433" s="24"/>
      <c r="S1433" s="64"/>
      <c r="T1433" s="58"/>
      <c r="V1433" s="67"/>
      <c r="X1433" s="67"/>
    </row>
    <row r="1434" spans="1:24" s="27" customFormat="1">
      <c r="A1434" s="31"/>
      <c r="B1434" s="24"/>
      <c r="C1434" s="30"/>
      <c r="D1434" s="28"/>
      <c r="E1434" s="31"/>
      <c r="F1434" s="31"/>
      <c r="G1434" s="31"/>
      <c r="I1434" s="28"/>
      <c r="J1434" s="62"/>
      <c r="K1434" s="62"/>
      <c r="L1434" s="33"/>
      <c r="M1434" s="32"/>
      <c r="N1434" s="34"/>
      <c r="O1434" s="36"/>
      <c r="P1434" s="68"/>
      <c r="Q1434" s="24"/>
      <c r="R1434" s="24"/>
      <c r="S1434" s="64"/>
      <c r="T1434" s="58"/>
      <c r="V1434" s="67"/>
      <c r="X1434" s="67"/>
    </row>
    <row r="1435" spans="1:24" s="27" customFormat="1">
      <c r="A1435" s="31"/>
      <c r="B1435" s="24"/>
      <c r="C1435" s="30"/>
      <c r="D1435" s="28"/>
      <c r="E1435" s="31"/>
      <c r="F1435" s="31"/>
      <c r="G1435" s="31"/>
      <c r="I1435" s="28"/>
      <c r="J1435" s="62"/>
      <c r="K1435" s="62"/>
      <c r="L1435" s="33"/>
      <c r="M1435" s="32"/>
      <c r="N1435" s="34"/>
      <c r="O1435" s="36"/>
      <c r="P1435" s="68"/>
      <c r="Q1435" s="24"/>
      <c r="R1435" s="24"/>
      <c r="S1435" s="64"/>
      <c r="T1435" s="58"/>
      <c r="V1435" s="67"/>
      <c r="X1435" s="67"/>
    </row>
    <row r="1436" spans="1:24" s="27" customFormat="1">
      <c r="A1436" s="31"/>
      <c r="B1436" s="24"/>
      <c r="C1436" s="30"/>
      <c r="D1436" s="28"/>
      <c r="E1436" s="31"/>
      <c r="F1436" s="31"/>
      <c r="G1436" s="31"/>
      <c r="I1436" s="28"/>
      <c r="J1436" s="62"/>
      <c r="K1436" s="62"/>
      <c r="L1436" s="33"/>
      <c r="M1436" s="32"/>
      <c r="N1436" s="34"/>
      <c r="O1436" s="36"/>
      <c r="P1436" s="68"/>
      <c r="Q1436" s="24"/>
      <c r="R1436" s="24"/>
      <c r="S1436" s="64"/>
      <c r="T1436" s="58"/>
      <c r="V1436" s="67"/>
      <c r="X1436" s="67"/>
    </row>
    <row r="1437" spans="1:24" s="27" customFormat="1">
      <c r="A1437" s="31"/>
      <c r="B1437" s="24"/>
      <c r="C1437" s="30"/>
      <c r="D1437" s="28"/>
      <c r="E1437" s="31"/>
      <c r="F1437" s="31"/>
      <c r="G1437" s="31"/>
      <c r="I1437" s="28"/>
      <c r="J1437" s="62"/>
      <c r="K1437" s="62"/>
      <c r="L1437" s="33"/>
      <c r="M1437" s="32"/>
      <c r="N1437" s="34"/>
      <c r="O1437" s="36"/>
      <c r="P1437" s="68"/>
      <c r="Q1437" s="24"/>
      <c r="R1437" s="24"/>
      <c r="S1437" s="64"/>
      <c r="T1437" s="58"/>
      <c r="V1437" s="67"/>
      <c r="X1437" s="67"/>
    </row>
    <row r="1438" spans="1:24" s="27" customFormat="1">
      <c r="A1438" s="31"/>
      <c r="B1438" s="24"/>
      <c r="C1438" s="30"/>
      <c r="D1438" s="28"/>
      <c r="E1438" s="31"/>
      <c r="F1438" s="31"/>
      <c r="G1438" s="31"/>
      <c r="I1438" s="28"/>
      <c r="J1438" s="62"/>
      <c r="K1438" s="62"/>
      <c r="L1438" s="33"/>
      <c r="M1438" s="32"/>
      <c r="N1438" s="34"/>
      <c r="O1438" s="36"/>
      <c r="P1438" s="68"/>
      <c r="Q1438" s="24"/>
      <c r="R1438" s="24"/>
      <c r="S1438" s="64"/>
      <c r="T1438" s="58"/>
      <c r="V1438" s="67"/>
      <c r="X1438" s="67"/>
    </row>
    <row r="1439" spans="1:24" s="27" customFormat="1">
      <c r="A1439" s="31"/>
      <c r="B1439" s="24"/>
      <c r="C1439" s="30"/>
      <c r="D1439" s="28"/>
      <c r="E1439" s="31"/>
      <c r="F1439" s="31"/>
      <c r="G1439" s="31"/>
      <c r="I1439" s="28"/>
      <c r="J1439" s="62"/>
      <c r="K1439" s="62"/>
      <c r="L1439" s="33"/>
      <c r="M1439" s="32"/>
      <c r="N1439" s="34"/>
      <c r="O1439" s="36"/>
      <c r="P1439" s="68"/>
      <c r="Q1439" s="24"/>
      <c r="R1439" s="24"/>
      <c r="S1439" s="64"/>
      <c r="T1439" s="58"/>
      <c r="V1439" s="67"/>
      <c r="X1439" s="67"/>
    </row>
    <row r="1440" spans="1:24" s="27" customFormat="1">
      <c r="A1440" s="31"/>
      <c r="B1440" s="24"/>
      <c r="C1440" s="30"/>
      <c r="D1440" s="28"/>
      <c r="E1440" s="31"/>
      <c r="F1440" s="31"/>
      <c r="G1440" s="31"/>
      <c r="I1440" s="28"/>
      <c r="J1440" s="62"/>
      <c r="K1440" s="62"/>
      <c r="L1440" s="33"/>
      <c r="M1440" s="32"/>
      <c r="N1440" s="34"/>
      <c r="O1440" s="36"/>
      <c r="P1440" s="68"/>
      <c r="Q1440" s="24"/>
      <c r="R1440" s="24"/>
      <c r="S1440" s="64"/>
      <c r="T1440" s="58"/>
      <c r="V1440" s="67"/>
      <c r="X1440" s="67"/>
    </row>
    <row r="1441" spans="1:24" s="27" customFormat="1">
      <c r="A1441" s="31"/>
      <c r="B1441" s="24"/>
      <c r="C1441" s="30"/>
      <c r="D1441" s="28"/>
      <c r="E1441" s="31"/>
      <c r="F1441" s="31"/>
      <c r="G1441" s="31"/>
      <c r="I1441" s="28"/>
      <c r="J1441" s="62"/>
      <c r="K1441" s="62"/>
      <c r="L1441" s="33"/>
      <c r="M1441" s="32"/>
      <c r="N1441" s="34"/>
      <c r="O1441" s="36"/>
      <c r="P1441" s="68"/>
      <c r="Q1441" s="24"/>
      <c r="R1441" s="24"/>
      <c r="S1441" s="64"/>
      <c r="T1441" s="58"/>
      <c r="V1441" s="67"/>
      <c r="X1441" s="67"/>
    </row>
    <row r="1442" spans="1:24" s="27" customFormat="1">
      <c r="A1442" s="31"/>
      <c r="B1442" s="24"/>
      <c r="C1442" s="30"/>
      <c r="D1442" s="28"/>
      <c r="E1442" s="31"/>
      <c r="F1442" s="31"/>
      <c r="G1442" s="31"/>
      <c r="I1442" s="28"/>
      <c r="J1442" s="62"/>
      <c r="K1442" s="62"/>
      <c r="L1442" s="33"/>
      <c r="M1442" s="32"/>
      <c r="N1442" s="34"/>
      <c r="O1442" s="36"/>
      <c r="P1442" s="68"/>
      <c r="Q1442" s="24"/>
      <c r="R1442" s="24"/>
      <c r="S1442" s="64"/>
      <c r="T1442" s="58"/>
      <c r="V1442" s="67"/>
      <c r="X1442" s="67"/>
    </row>
    <row r="1443" spans="1:24" s="27" customFormat="1">
      <c r="A1443" s="31"/>
      <c r="B1443" s="24"/>
      <c r="C1443" s="30"/>
      <c r="D1443" s="28"/>
      <c r="E1443" s="31"/>
      <c r="F1443" s="31"/>
      <c r="G1443" s="31"/>
      <c r="I1443" s="28"/>
      <c r="J1443" s="62"/>
      <c r="K1443" s="62"/>
      <c r="L1443" s="33"/>
      <c r="M1443" s="32"/>
      <c r="N1443" s="34"/>
      <c r="O1443" s="36"/>
      <c r="P1443" s="68"/>
      <c r="Q1443" s="24"/>
      <c r="R1443" s="24"/>
      <c r="S1443" s="64"/>
      <c r="T1443" s="58"/>
      <c r="V1443" s="67"/>
      <c r="X1443" s="67"/>
    </row>
    <row r="1444" spans="1:24" s="27" customFormat="1">
      <c r="A1444" s="31"/>
      <c r="B1444" s="24"/>
      <c r="C1444" s="30"/>
      <c r="D1444" s="28"/>
      <c r="E1444" s="31"/>
      <c r="F1444" s="31"/>
      <c r="G1444" s="31"/>
      <c r="I1444" s="28"/>
      <c r="J1444" s="62"/>
      <c r="K1444" s="62"/>
      <c r="L1444" s="33"/>
      <c r="M1444" s="32"/>
      <c r="N1444" s="34"/>
      <c r="O1444" s="36"/>
      <c r="P1444" s="68"/>
      <c r="Q1444" s="24"/>
      <c r="R1444" s="24"/>
      <c r="S1444" s="64"/>
      <c r="T1444" s="58"/>
      <c r="V1444" s="67"/>
      <c r="X1444" s="67"/>
    </row>
    <row r="1445" spans="1:24" s="27" customFormat="1">
      <c r="A1445" s="31"/>
      <c r="B1445" s="24"/>
      <c r="C1445" s="30"/>
      <c r="D1445" s="28"/>
      <c r="E1445" s="31"/>
      <c r="F1445" s="31"/>
      <c r="G1445" s="31"/>
      <c r="I1445" s="28"/>
      <c r="J1445" s="62"/>
      <c r="K1445" s="62"/>
      <c r="L1445" s="33"/>
      <c r="M1445" s="32"/>
      <c r="N1445" s="34"/>
      <c r="O1445" s="36"/>
      <c r="P1445" s="68"/>
      <c r="Q1445" s="24"/>
      <c r="R1445" s="24"/>
      <c r="S1445" s="64"/>
      <c r="T1445" s="58"/>
      <c r="V1445" s="67"/>
      <c r="X1445" s="67"/>
    </row>
    <row r="1446" spans="1:24" s="27" customFormat="1">
      <c r="A1446" s="31"/>
      <c r="B1446" s="24"/>
      <c r="C1446" s="30"/>
      <c r="D1446" s="28"/>
      <c r="E1446" s="31"/>
      <c r="F1446" s="31"/>
      <c r="G1446" s="31"/>
      <c r="I1446" s="28"/>
      <c r="J1446" s="62"/>
      <c r="K1446" s="62"/>
      <c r="L1446" s="33"/>
      <c r="M1446" s="32"/>
      <c r="N1446" s="34"/>
      <c r="O1446" s="36"/>
      <c r="P1446" s="68"/>
      <c r="Q1446" s="24"/>
      <c r="R1446" s="24"/>
      <c r="S1446" s="64"/>
      <c r="T1446" s="58"/>
      <c r="V1446" s="67"/>
      <c r="X1446" s="67"/>
    </row>
    <row r="1447" spans="1:24" s="27" customFormat="1">
      <c r="A1447" s="31"/>
      <c r="B1447" s="24"/>
      <c r="C1447" s="30"/>
      <c r="D1447" s="28"/>
      <c r="E1447" s="31"/>
      <c r="F1447" s="31"/>
      <c r="G1447" s="31"/>
      <c r="I1447" s="28"/>
      <c r="J1447" s="62"/>
      <c r="K1447" s="62"/>
      <c r="L1447" s="33"/>
      <c r="M1447" s="32"/>
      <c r="N1447" s="34"/>
      <c r="O1447" s="36"/>
      <c r="P1447" s="68"/>
      <c r="Q1447" s="24"/>
      <c r="R1447" s="24"/>
      <c r="S1447" s="64"/>
      <c r="T1447" s="58"/>
      <c r="V1447" s="67"/>
      <c r="X1447" s="67"/>
    </row>
    <row r="1448" spans="1:24" s="27" customFormat="1">
      <c r="A1448" s="31"/>
      <c r="B1448" s="24"/>
      <c r="C1448" s="30"/>
      <c r="D1448" s="28"/>
      <c r="E1448" s="31"/>
      <c r="F1448" s="31"/>
      <c r="G1448" s="31"/>
      <c r="I1448" s="28"/>
      <c r="J1448" s="62"/>
      <c r="K1448" s="62"/>
      <c r="L1448" s="33"/>
      <c r="M1448" s="32"/>
      <c r="N1448" s="34"/>
      <c r="O1448" s="36"/>
      <c r="P1448" s="68"/>
      <c r="Q1448" s="24"/>
      <c r="R1448" s="24"/>
      <c r="S1448" s="64"/>
      <c r="T1448" s="58"/>
      <c r="V1448" s="67"/>
      <c r="X1448" s="67"/>
    </row>
    <row r="1449" spans="1:24" s="27" customFormat="1">
      <c r="A1449" s="31"/>
      <c r="B1449" s="24"/>
      <c r="C1449" s="30"/>
      <c r="D1449" s="28"/>
      <c r="E1449" s="31"/>
      <c r="F1449" s="31"/>
      <c r="G1449" s="31"/>
      <c r="I1449" s="28"/>
      <c r="J1449" s="62"/>
      <c r="K1449" s="62"/>
      <c r="L1449" s="33"/>
      <c r="M1449" s="32"/>
      <c r="N1449" s="34"/>
      <c r="O1449" s="36"/>
      <c r="P1449" s="68"/>
      <c r="Q1449" s="24"/>
      <c r="R1449" s="24"/>
      <c r="S1449" s="64"/>
      <c r="T1449" s="58"/>
      <c r="V1449" s="67"/>
      <c r="X1449" s="67"/>
    </row>
    <row r="1450" spans="1:24" s="27" customFormat="1">
      <c r="A1450" s="31"/>
      <c r="B1450" s="24"/>
      <c r="C1450" s="30"/>
      <c r="D1450" s="28"/>
      <c r="E1450" s="31"/>
      <c r="F1450" s="31"/>
      <c r="G1450" s="31"/>
      <c r="I1450" s="28"/>
      <c r="J1450" s="62"/>
      <c r="K1450" s="62"/>
      <c r="L1450" s="33"/>
      <c r="M1450" s="32"/>
      <c r="N1450" s="34"/>
      <c r="O1450" s="36"/>
      <c r="P1450" s="68"/>
      <c r="Q1450" s="24"/>
      <c r="R1450" s="24"/>
      <c r="S1450" s="64"/>
      <c r="T1450" s="58"/>
      <c r="V1450" s="67"/>
      <c r="X1450" s="67"/>
    </row>
    <row r="1451" spans="1:24" s="27" customFormat="1">
      <c r="A1451" s="31"/>
      <c r="B1451" s="24"/>
      <c r="C1451" s="30"/>
      <c r="D1451" s="28"/>
      <c r="E1451" s="31"/>
      <c r="F1451" s="31"/>
      <c r="G1451" s="31"/>
      <c r="I1451" s="28"/>
      <c r="J1451" s="62"/>
      <c r="K1451" s="62"/>
      <c r="L1451" s="33"/>
      <c r="M1451" s="32"/>
      <c r="N1451" s="34"/>
      <c r="O1451" s="36"/>
      <c r="P1451" s="68"/>
      <c r="Q1451" s="24"/>
      <c r="R1451" s="24"/>
      <c r="S1451" s="64"/>
      <c r="T1451" s="58"/>
      <c r="V1451" s="67"/>
      <c r="X1451" s="67"/>
    </row>
    <row r="1452" spans="1:24" s="27" customFormat="1">
      <c r="A1452" s="31"/>
      <c r="B1452" s="24"/>
      <c r="C1452" s="30"/>
      <c r="D1452" s="28"/>
      <c r="E1452" s="31"/>
      <c r="F1452" s="31"/>
      <c r="G1452" s="31"/>
      <c r="I1452" s="28"/>
      <c r="J1452" s="62"/>
      <c r="K1452" s="62"/>
      <c r="L1452" s="33"/>
      <c r="M1452" s="32"/>
      <c r="N1452" s="34"/>
      <c r="O1452" s="36"/>
      <c r="P1452" s="68"/>
      <c r="Q1452" s="24"/>
      <c r="R1452" s="24"/>
      <c r="S1452" s="64"/>
      <c r="T1452" s="58"/>
      <c r="V1452" s="67"/>
      <c r="X1452" s="67"/>
    </row>
    <row r="1453" spans="1:24" s="27" customFormat="1">
      <c r="A1453" s="31"/>
      <c r="B1453" s="24"/>
      <c r="C1453" s="30"/>
      <c r="D1453" s="28"/>
      <c r="E1453" s="31"/>
      <c r="F1453" s="31"/>
      <c r="G1453" s="31"/>
      <c r="I1453" s="28"/>
      <c r="J1453" s="62"/>
      <c r="K1453" s="62"/>
      <c r="L1453" s="33"/>
      <c r="M1453" s="32"/>
      <c r="N1453" s="34"/>
      <c r="O1453" s="36"/>
      <c r="P1453" s="68"/>
      <c r="Q1453" s="24"/>
      <c r="R1453" s="24"/>
      <c r="S1453" s="64"/>
      <c r="T1453" s="58"/>
      <c r="V1453" s="67"/>
      <c r="X1453" s="67"/>
    </row>
    <row r="1454" spans="1:24" s="27" customFormat="1">
      <c r="A1454" s="31"/>
      <c r="B1454" s="24"/>
      <c r="C1454" s="30"/>
      <c r="D1454" s="28"/>
      <c r="E1454" s="31"/>
      <c r="F1454" s="31"/>
      <c r="G1454" s="31"/>
      <c r="I1454" s="28"/>
      <c r="J1454" s="62"/>
      <c r="K1454" s="62"/>
      <c r="L1454" s="33"/>
      <c r="M1454" s="32"/>
      <c r="N1454" s="34"/>
      <c r="O1454" s="36"/>
      <c r="P1454" s="68"/>
      <c r="Q1454" s="24"/>
      <c r="R1454" s="24"/>
      <c r="S1454" s="64"/>
      <c r="T1454" s="58"/>
      <c r="V1454" s="67"/>
      <c r="X1454" s="67"/>
    </row>
    <row r="1455" spans="1:24" s="27" customFormat="1">
      <c r="A1455" s="31"/>
      <c r="B1455" s="24"/>
      <c r="C1455" s="30"/>
      <c r="D1455" s="28"/>
      <c r="E1455" s="31"/>
      <c r="F1455" s="31"/>
      <c r="G1455" s="31"/>
      <c r="I1455" s="28"/>
      <c r="J1455" s="62"/>
      <c r="K1455" s="62"/>
      <c r="L1455" s="33"/>
      <c r="M1455" s="32"/>
      <c r="N1455" s="34"/>
      <c r="O1455" s="36"/>
      <c r="P1455" s="68"/>
      <c r="Q1455" s="24"/>
      <c r="R1455" s="24"/>
      <c r="S1455" s="64"/>
      <c r="T1455" s="58"/>
      <c r="V1455" s="67"/>
      <c r="X1455" s="67"/>
    </row>
    <row r="1456" spans="1:24" s="27" customFormat="1">
      <c r="A1456" s="31"/>
      <c r="B1456" s="24"/>
      <c r="C1456" s="30"/>
      <c r="D1456" s="28"/>
      <c r="E1456" s="31"/>
      <c r="F1456" s="31"/>
      <c r="G1456" s="31"/>
      <c r="I1456" s="28"/>
      <c r="J1456" s="62"/>
      <c r="K1456" s="62"/>
      <c r="L1456" s="33"/>
      <c r="M1456" s="32"/>
      <c r="N1456" s="34"/>
      <c r="O1456" s="36"/>
      <c r="P1456" s="68"/>
      <c r="Q1456" s="24"/>
      <c r="R1456" s="24"/>
      <c r="S1456" s="64"/>
      <c r="T1456" s="58"/>
      <c r="V1456" s="67"/>
      <c r="X1456" s="67"/>
    </row>
    <row r="1457" spans="1:24" s="27" customFormat="1">
      <c r="A1457" s="31"/>
      <c r="B1457" s="24"/>
      <c r="C1457" s="30"/>
      <c r="D1457" s="28"/>
      <c r="E1457" s="31"/>
      <c r="F1457" s="31"/>
      <c r="G1457" s="31"/>
      <c r="I1457" s="28"/>
      <c r="J1457" s="62"/>
      <c r="K1457" s="62"/>
      <c r="L1457" s="33"/>
      <c r="M1457" s="32"/>
      <c r="N1457" s="34"/>
      <c r="O1457" s="36"/>
      <c r="P1457" s="68"/>
      <c r="Q1457" s="24"/>
      <c r="R1457" s="24"/>
      <c r="S1457" s="64"/>
      <c r="T1457" s="58"/>
      <c r="V1457" s="67"/>
      <c r="X1457" s="67"/>
    </row>
    <row r="1458" spans="1:24" s="27" customFormat="1">
      <c r="A1458" s="31"/>
      <c r="B1458" s="24"/>
      <c r="C1458" s="30"/>
      <c r="D1458" s="28"/>
      <c r="E1458" s="31"/>
      <c r="F1458" s="31"/>
      <c r="G1458" s="31"/>
      <c r="I1458" s="28"/>
      <c r="J1458" s="62"/>
      <c r="K1458" s="62"/>
      <c r="L1458" s="33"/>
      <c r="M1458" s="32"/>
      <c r="N1458" s="34"/>
      <c r="O1458" s="36"/>
      <c r="P1458" s="68"/>
      <c r="Q1458" s="24"/>
      <c r="R1458" s="24"/>
      <c r="S1458" s="64"/>
      <c r="T1458" s="58"/>
      <c r="V1458" s="67"/>
      <c r="X1458" s="67"/>
    </row>
    <row r="1459" spans="1:24" s="27" customFormat="1">
      <c r="A1459" s="31"/>
      <c r="B1459" s="24"/>
      <c r="C1459" s="30"/>
      <c r="D1459" s="28"/>
      <c r="E1459" s="31"/>
      <c r="F1459" s="31"/>
      <c r="G1459" s="31"/>
      <c r="I1459" s="28"/>
      <c r="J1459" s="62"/>
      <c r="K1459" s="62"/>
      <c r="L1459" s="33"/>
      <c r="M1459" s="32"/>
      <c r="N1459" s="34"/>
      <c r="O1459" s="36"/>
      <c r="P1459" s="68"/>
      <c r="Q1459" s="24"/>
      <c r="R1459" s="24"/>
      <c r="S1459" s="64"/>
      <c r="T1459" s="58"/>
      <c r="V1459" s="67"/>
      <c r="X1459" s="67"/>
    </row>
    <row r="1460" spans="1:24" s="27" customFormat="1">
      <c r="A1460" s="31"/>
      <c r="B1460" s="24"/>
      <c r="C1460" s="30"/>
      <c r="D1460" s="28"/>
      <c r="E1460" s="31"/>
      <c r="F1460" s="31"/>
      <c r="G1460" s="31"/>
      <c r="I1460" s="28"/>
      <c r="J1460" s="62"/>
      <c r="K1460" s="62"/>
      <c r="L1460" s="33"/>
      <c r="M1460" s="32"/>
      <c r="N1460" s="34"/>
      <c r="O1460" s="36"/>
      <c r="P1460" s="68"/>
      <c r="Q1460" s="24"/>
      <c r="R1460" s="24"/>
      <c r="S1460" s="64"/>
      <c r="T1460" s="58"/>
      <c r="V1460" s="67"/>
      <c r="X1460" s="67"/>
    </row>
    <row r="1461" spans="1:24" s="27" customFormat="1">
      <c r="A1461" s="31"/>
      <c r="B1461" s="24"/>
      <c r="C1461" s="30"/>
      <c r="D1461" s="28"/>
      <c r="E1461" s="31"/>
      <c r="F1461" s="31"/>
      <c r="G1461" s="31"/>
      <c r="I1461" s="28"/>
      <c r="J1461" s="62"/>
      <c r="K1461" s="62"/>
      <c r="L1461" s="33"/>
      <c r="M1461" s="32"/>
      <c r="N1461" s="34"/>
      <c r="O1461" s="36"/>
      <c r="P1461" s="68"/>
      <c r="Q1461" s="24"/>
      <c r="R1461" s="24"/>
      <c r="S1461" s="64"/>
      <c r="T1461" s="58"/>
      <c r="V1461" s="67"/>
      <c r="X1461" s="67"/>
    </row>
    <row r="1462" spans="1:24" s="27" customFormat="1">
      <c r="A1462" s="31"/>
      <c r="B1462" s="24"/>
      <c r="C1462" s="30"/>
      <c r="D1462" s="28"/>
      <c r="E1462" s="31"/>
      <c r="F1462" s="31"/>
      <c r="G1462" s="31"/>
      <c r="I1462" s="28"/>
      <c r="J1462" s="62"/>
      <c r="K1462" s="62"/>
      <c r="L1462" s="33"/>
      <c r="M1462" s="32"/>
      <c r="N1462" s="34"/>
      <c r="O1462" s="36"/>
      <c r="P1462" s="68"/>
      <c r="Q1462" s="24"/>
      <c r="R1462" s="24"/>
      <c r="S1462" s="64"/>
      <c r="T1462" s="58"/>
      <c r="V1462" s="67"/>
      <c r="X1462" s="67"/>
    </row>
    <row r="1463" spans="1:24" s="27" customFormat="1">
      <c r="A1463" s="31"/>
      <c r="B1463" s="24"/>
      <c r="C1463" s="30"/>
      <c r="D1463" s="28"/>
      <c r="E1463" s="31"/>
      <c r="F1463" s="31"/>
      <c r="G1463" s="31"/>
      <c r="I1463" s="28"/>
      <c r="J1463" s="62"/>
      <c r="K1463" s="62"/>
      <c r="L1463" s="33"/>
      <c r="M1463" s="32"/>
      <c r="N1463" s="34"/>
      <c r="O1463" s="36"/>
      <c r="P1463" s="68"/>
      <c r="Q1463" s="24"/>
      <c r="R1463" s="24"/>
      <c r="S1463" s="64"/>
      <c r="T1463" s="58"/>
      <c r="V1463" s="67"/>
      <c r="X1463" s="67"/>
    </row>
    <row r="1464" spans="1:24" s="27" customFormat="1">
      <c r="A1464" s="31"/>
      <c r="B1464" s="24"/>
      <c r="C1464" s="30"/>
      <c r="D1464" s="28"/>
      <c r="E1464" s="31"/>
      <c r="F1464" s="31"/>
      <c r="G1464" s="31"/>
      <c r="I1464" s="28"/>
      <c r="J1464" s="62"/>
      <c r="K1464" s="62"/>
      <c r="L1464" s="33"/>
      <c r="M1464" s="32"/>
      <c r="N1464" s="34"/>
      <c r="O1464" s="36"/>
      <c r="P1464" s="68"/>
      <c r="Q1464" s="24"/>
      <c r="R1464" s="24"/>
      <c r="S1464" s="64"/>
      <c r="T1464" s="58"/>
      <c r="V1464" s="67"/>
      <c r="X1464" s="67"/>
    </row>
    <row r="1465" spans="1:24" s="27" customFormat="1">
      <c r="A1465" s="31"/>
      <c r="B1465" s="24"/>
      <c r="C1465" s="30"/>
      <c r="D1465" s="28"/>
      <c r="E1465" s="31"/>
      <c r="F1465" s="31"/>
      <c r="G1465" s="31"/>
      <c r="I1465" s="28"/>
      <c r="J1465" s="62"/>
      <c r="K1465" s="62"/>
      <c r="L1465" s="33"/>
      <c r="M1465" s="32"/>
      <c r="N1465" s="34"/>
      <c r="O1465" s="36"/>
      <c r="P1465" s="68"/>
      <c r="Q1465" s="24"/>
      <c r="R1465" s="24"/>
      <c r="S1465" s="64"/>
      <c r="T1465" s="58"/>
      <c r="V1465" s="67"/>
      <c r="X1465" s="67"/>
    </row>
    <row r="1466" spans="1:24" s="27" customFormat="1">
      <c r="A1466" s="31"/>
      <c r="B1466" s="24"/>
      <c r="C1466" s="30"/>
      <c r="D1466" s="28"/>
      <c r="E1466" s="31"/>
      <c r="F1466" s="31"/>
      <c r="G1466" s="31"/>
      <c r="I1466" s="28"/>
      <c r="J1466" s="62"/>
      <c r="K1466" s="62"/>
      <c r="L1466" s="33"/>
      <c r="M1466" s="32"/>
      <c r="N1466" s="34"/>
      <c r="O1466" s="36"/>
      <c r="P1466" s="68"/>
      <c r="Q1466" s="24"/>
      <c r="R1466" s="24"/>
      <c r="S1466" s="64"/>
      <c r="T1466" s="58"/>
      <c r="V1466" s="67"/>
      <c r="X1466" s="67"/>
    </row>
    <row r="1467" spans="1:24" s="27" customFormat="1">
      <c r="A1467" s="31"/>
      <c r="B1467" s="24"/>
      <c r="C1467" s="30"/>
      <c r="D1467" s="28"/>
      <c r="E1467" s="31"/>
      <c r="F1467" s="31"/>
      <c r="G1467" s="31"/>
      <c r="I1467" s="28"/>
      <c r="J1467" s="62"/>
      <c r="K1467" s="62"/>
      <c r="L1467" s="33"/>
      <c r="M1467" s="32"/>
      <c r="N1467" s="34"/>
      <c r="O1467" s="36"/>
      <c r="P1467" s="68"/>
      <c r="Q1467" s="24"/>
      <c r="R1467" s="24"/>
      <c r="S1467" s="64"/>
      <c r="T1467" s="58"/>
      <c r="V1467" s="67"/>
      <c r="X1467" s="67"/>
    </row>
    <row r="1468" spans="1:24" s="27" customFormat="1">
      <c r="A1468" s="31"/>
      <c r="B1468" s="24"/>
      <c r="C1468" s="30"/>
      <c r="D1468" s="28"/>
      <c r="E1468" s="31"/>
      <c r="F1468" s="31"/>
      <c r="G1468" s="31"/>
      <c r="I1468" s="28"/>
      <c r="J1468" s="62"/>
      <c r="K1468" s="62"/>
      <c r="L1468" s="33"/>
      <c r="M1468" s="32"/>
      <c r="N1468" s="34"/>
      <c r="O1468" s="36"/>
      <c r="P1468" s="68"/>
      <c r="Q1468" s="24"/>
      <c r="R1468" s="24"/>
      <c r="S1468" s="64"/>
      <c r="T1468" s="58"/>
      <c r="V1468" s="67"/>
      <c r="X1468" s="67"/>
    </row>
    <row r="1469" spans="1:24" s="27" customFormat="1">
      <c r="A1469" s="31"/>
      <c r="B1469" s="24"/>
      <c r="C1469" s="30"/>
      <c r="D1469" s="28"/>
      <c r="E1469" s="31"/>
      <c r="F1469" s="31"/>
      <c r="G1469" s="31"/>
      <c r="I1469" s="28"/>
      <c r="J1469" s="62"/>
      <c r="K1469" s="62"/>
      <c r="L1469" s="33"/>
      <c r="M1469" s="32"/>
      <c r="N1469" s="34"/>
      <c r="O1469" s="36"/>
      <c r="P1469" s="68"/>
      <c r="Q1469" s="24"/>
      <c r="R1469" s="24"/>
      <c r="S1469" s="64"/>
      <c r="T1469" s="58"/>
      <c r="V1469" s="67"/>
      <c r="X1469" s="67"/>
    </row>
    <row r="1470" spans="1:24" s="27" customFormat="1">
      <c r="A1470" s="31"/>
      <c r="B1470" s="24"/>
      <c r="C1470" s="30"/>
      <c r="D1470" s="28"/>
      <c r="E1470" s="31"/>
      <c r="F1470" s="31"/>
      <c r="G1470" s="31"/>
      <c r="I1470" s="28"/>
      <c r="J1470" s="62"/>
      <c r="K1470" s="62"/>
      <c r="L1470" s="33"/>
      <c r="M1470" s="32"/>
      <c r="N1470" s="34"/>
      <c r="O1470" s="36"/>
      <c r="P1470" s="68"/>
      <c r="Q1470" s="24"/>
      <c r="R1470" s="24"/>
      <c r="S1470" s="64"/>
      <c r="T1470" s="58"/>
      <c r="V1470" s="67"/>
      <c r="X1470" s="67"/>
    </row>
    <row r="1471" spans="1:24" s="27" customFormat="1">
      <c r="A1471" s="31"/>
      <c r="B1471" s="24"/>
      <c r="C1471" s="30"/>
      <c r="D1471" s="28"/>
      <c r="E1471" s="31"/>
      <c r="F1471" s="31"/>
      <c r="G1471" s="31"/>
      <c r="I1471" s="28"/>
      <c r="J1471" s="62"/>
      <c r="K1471" s="62"/>
      <c r="L1471" s="33"/>
      <c r="M1471" s="32"/>
      <c r="N1471" s="34"/>
      <c r="O1471" s="36"/>
      <c r="P1471" s="68"/>
      <c r="Q1471" s="24"/>
      <c r="R1471" s="24"/>
      <c r="S1471" s="64"/>
      <c r="T1471" s="58"/>
      <c r="V1471" s="67"/>
      <c r="X1471" s="67"/>
    </row>
    <row r="1472" spans="1:24" s="27" customFormat="1">
      <c r="A1472" s="31"/>
      <c r="B1472" s="24"/>
      <c r="C1472" s="30"/>
      <c r="D1472" s="28"/>
      <c r="E1472" s="31"/>
      <c r="F1472" s="31"/>
      <c r="G1472" s="31"/>
      <c r="I1472" s="28"/>
      <c r="J1472" s="62"/>
      <c r="K1472" s="62"/>
      <c r="L1472" s="33"/>
      <c r="M1472" s="32"/>
      <c r="N1472" s="34"/>
      <c r="O1472" s="36"/>
      <c r="P1472" s="68"/>
      <c r="Q1472" s="24"/>
      <c r="R1472" s="24"/>
      <c r="S1472" s="64"/>
      <c r="T1472" s="58"/>
      <c r="V1472" s="67"/>
      <c r="X1472" s="67"/>
    </row>
    <row r="1473" spans="1:24" s="27" customFormat="1">
      <c r="A1473" s="31"/>
      <c r="B1473" s="24"/>
      <c r="C1473" s="30"/>
      <c r="D1473" s="28"/>
      <c r="E1473" s="31"/>
      <c r="F1473" s="31"/>
      <c r="G1473" s="31"/>
      <c r="I1473" s="28"/>
      <c r="J1473" s="62"/>
      <c r="K1473" s="62"/>
      <c r="L1473" s="33"/>
      <c r="M1473" s="32"/>
      <c r="N1473" s="34"/>
      <c r="O1473" s="36"/>
      <c r="P1473" s="68"/>
      <c r="Q1473" s="24"/>
      <c r="R1473" s="24"/>
      <c r="S1473" s="64"/>
      <c r="T1473" s="58"/>
      <c r="V1473" s="67"/>
      <c r="X1473" s="67"/>
    </row>
    <row r="1474" spans="1:24" s="27" customFormat="1">
      <c r="A1474" s="31"/>
      <c r="B1474" s="24"/>
      <c r="C1474" s="30"/>
      <c r="D1474" s="28"/>
      <c r="E1474" s="31"/>
      <c r="F1474" s="31"/>
      <c r="G1474" s="31"/>
      <c r="I1474" s="28"/>
      <c r="J1474" s="62"/>
      <c r="K1474" s="62"/>
      <c r="L1474" s="33"/>
      <c r="M1474" s="32"/>
      <c r="N1474" s="34"/>
      <c r="O1474" s="36"/>
      <c r="P1474" s="68"/>
      <c r="Q1474" s="24"/>
      <c r="R1474" s="24"/>
      <c r="S1474" s="64"/>
      <c r="T1474" s="58"/>
      <c r="V1474" s="67"/>
      <c r="X1474" s="67"/>
    </row>
    <row r="1475" spans="1:24" s="27" customFormat="1">
      <c r="A1475" s="31"/>
      <c r="B1475" s="24"/>
      <c r="C1475" s="30"/>
      <c r="D1475" s="28"/>
      <c r="E1475" s="31"/>
      <c r="F1475" s="31"/>
      <c r="G1475" s="31"/>
      <c r="I1475" s="28"/>
      <c r="J1475" s="62"/>
      <c r="K1475" s="62"/>
      <c r="L1475" s="33"/>
      <c r="M1475" s="32"/>
      <c r="N1475" s="34"/>
      <c r="O1475" s="36"/>
      <c r="P1475" s="68"/>
      <c r="Q1475" s="24"/>
      <c r="R1475" s="24"/>
      <c r="S1475" s="64"/>
      <c r="T1475" s="58"/>
      <c r="V1475" s="67"/>
      <c r="X1475" s="67"/>
    </row>
    <row r="1476" spans="1:24" s="27" customFormat="1">
      <c r="A1476" s="31"/>
      <c r="B1476" s="24"/>
      <c r="C1476" s="30"/>
      <c r="D1476" s="28"/>
      <c r="E1476" s="31"/>
      <c r="F1476" s="31"/>
      <c r="G1476" s="31"/>
      <c r="I1476" s="28"/>
      <c r="J1476" s="62"/>
      <c r="K1476" s="62"/>
      <c r="L1476" s="33"/>
      <c r="M1476" s="32"/>
      <c r="N1476" s="34"/>
      <c r="O1476" s="36"/>
      <c r="P1476" s="68"/>
      <c r="Q1476" s="24"/>
      <c r="R1476" s="24"/>
      <c r="S1476" s="64"/>
      <c r="T1476" s="58"/>
      <c r="V1476" s="67"/>
      <c r="X1476" s="67"/>
    </row>
    <row r="1477" spans="1:24" s="27" customFormat="1">
      <c r="A1477" s="31"/>
      <c r="B1477" s="24"/>
      <c r="C1477" s="30"/>
      <c r="D1477" s="28"/>
      <c r="E1477" s="31"/>
      <c r="F1477" s="31"/>
      <c r="G1477" s="31"/>
      <c r="I1477" s="28"/>
      <c r="J1477" s="62"/>
      <c r="K1477" s="62"/>
      <c r="L1477" s="33"/>
      <c r="M1477" s="32"/>
      <c r="N1477" s="34"/>
      <c r="O1477" s="36"/>
      <c r="P1477" s="68"/>
      <c r="Q1477" s="24"/>
      <c r="R1477" s="24"/>
      <c r="S1477" s="64"/>
      <c r="T1477" s="58"/>
      <c r="V1477" s="67"/>
      <c r="X1477" s="67"/>
    </row>
    <row r="1478" spans="1:24" s="27" customFormat="1">
      <c r="A1478" s="31"/>
      <c r="B1478" s="24"/>
      <c r="C1478" s="30"/>
      <c r="D1478" s="28"/>
      <c r="E1478" s="31"/>
      <c r="F1478" s="31"/>
      <c r="G1478" s="31"/>
      <c r="I1478" s="28"/>
      <c r="J1478" s="62"/>
      <c r="K1478" s="62"/>
      <c r="L1478" s="33"/>
      <c r="M1478" s="32"/>
      <c r="N1478" s="34"/>
      <c r="O1478" s="36"/>
      <c r="P1478" s="68"/>
      <c r="Q1478" s="24"/>
      <c r="R1478" s="24"/>
      <c r="S1478" s="64"/>
      <c r="T1478" s="58"/>
      <c r="V1478" s="67"/>
      <c r="X1478" s="67"/>
    </row>
    <row r="1479" spans="1:24" s="27" customFormat="1">
      <c r="A1479" s="31"/>
      <c r="B1479" s="24"/>
      <c r="C1479" s="30"/>
      <c r="D1479" s="28"/>
      <c r="E1479" s="31"/>
      <c r="F1479" s="31"/>
      <c r="G1479" s="31"/>
      <c r="I1479" s="28"/>
      <c r="J1479" s="62"/>
      <c r="K1479" s="62"/>
      <c r="L1479" s="33"/>
      <c r="M1479" s="32"/>
      <c r="N1479" s="34"/>
      <c r="O1479" s="36"/>
      <c r="P1479" s="68"/>
      <c r="Q1479" s="24"/>
      <c r="R1479" s="24"/>
      <c r="S1479" s="64"/>
      <c r="T1479" s="58"/>
      <c r="V1479" s="67"/>
      <c r="X1479" s="67"/>
    </row>
    <row r="1480" spans="1:24" s="27" customFormat="1">
      <c r="A1480" s="31"/>
      <c r="B1480" s="24"/>
      <c r="C1480" s="30"/>
      <c r="D1480" s="28"/>
      <c r="E1480" s="31"/>
      <c r="F1480" s="31"/>
      <c r="G1480" s="31"/>
      <c r="I1480" s="28"/>
      <c r="J1480" s="62"/>
      <c r="K1480" s="62"/>
      <c r="L1480" s="33"/>
      <c r="M1480" s="32"/>
      <c r="N1480" s="34"/>
      <c r="O1480" s="36"/>
      <c r="P1480" s="68"/>
      <c r="Q1480" s="24"/>
      <c r="R1480" s="24"/>
      <c r="S1480" s="64"/>
      <c r="T1480" s="58"/>
      <c r="V1480" s="67"/>
      <c r="X1480" s="67"/>
    </row>
    <row r="1481" spans="1:24" s="27" customFormat="1">
      <c r="A1481" s="31"/>
      <c r="B1481" s="24"/>
      <c r="C1481" s="30"/>
      <c r="D1481" s="28"/>
      <c r="E1481" s="31"/>
      <c r="F1481" s="31"/>
      <c r="G1481" s="31"/>
      <c r="I1481" s="28"/>
      <c r="J1481" s="62"/>
      <c r="K1481" s="62"/>
      <c r="L1481" s="33"/>
      <c r="M1481" s="32"/>
      <c r="N1481" s="34"/>
      <c r="O1481" s="36"/>
      <c r="P1481" s="68"/>
      <c r="Q1481" s="24"/>
      <c r="R1481" s="24"/>
      <c r="S1481" s="64"/>
      <c r="T1481" s="58"/>
      <c r="V1481" s="67"/>
      <c r="X1481" s="67"/>
    </row>
    <row r="1482" spans="1:24" s="27" customFormat="1">
      <c r="A1482" s="31"/>
      <c r="B1482" s="24"/>
      <c r="C1482" s="30"/>
      <c r="D1482" s="28"/>
      <c r="E1482" s="31"/>
      <c r="F1482" s="31"/>
      <c r="G1482" s="31"/>
      <c r="I1482" s="28"/>
      <c r="J1482" s="62"/>
      <c r="K1482" s="62"/>
      <c r="L1482" s="33"/>
      <c r="M1482" s="32"/>
      <c r="N1482" s="34"/>
      <c r="O1482" s="36"/>
      <c r="P1482" s="68"/>
      <c r="Q1482" s="24"/>
      <c r="R1482" s="24"/>
      <c r="S1482" s="64"/>
      <c r="T1482" s="58"/>
      <c r="V1482" s="67"/>
      <c r="X1482" s="67"/>
    </row>
    <row r="1483" spans="1:24" s="27" customFormat="1">
      <c r="A1483" s="31"/>
      <c r="B1483" s="24"/>
      <c r="C1483" s="30"/>
      <c r="D1483" s="28"/>
      <c r="E1483" s="31"/>
      <c r="F1483" s="31"/>
      <c r="G1483" s="31"/>
      <c r="I1483" s="28"/>
      <c r="J1483" s="62"/>
      <c r="K1483" s="62"/>
      <c r="L1483" s="33"/>
      <c r="M1483" s="32"/>
      <c r="N1483" s="34"/>
      <c r="O1483" s="36"/>
      <c r="P1483" s="68"/>
      <c r="Q1483" s="24"/>
      <c r="R1483" s="24"/>
      <c r="S1483" s="64"/>
      <c r="T1483" s="58"/>
      <c r="V1483" s="67"/>
      <c r="X1483" s="67"/>
    </row>
    <row r="1484" spans="1:24" s="27" customFormat="1">
      <c r="A1484" s="31"/>
      <c r="B1484" s="24"/>
      <c r="C1484" s="30"/>
      <c r="D1484" s="28"/>
      <c r="E1484" s="31"/>
      <c r="F1484" s="31"/>
      <c r="G1484" s="31"/>
      <c r="I1484" s="28"/>
      <c r="J1484" s="62"/>
      <c r="K1484" s="62"/>
      <c r="L1484" s="33"/>
      <c r="M1484" s="32"/>
      <c r="N1484" s="34"/>
      <c r="O1484" s="36"/>
      <c r="P1484" s="68"/>
      <c r="Q1484" s="24"/>
      <c r="R1484" s="24"/>
      <c r="S1484" s="64"/>
      <c r="T1484" s="58"/>
      <c r="V1484" s="67"/>
      <c r="X1484" s="67"/>
    </row>
    <row r="1485" spans="1:24" s="27" customFormat="1">
      <c r="A1485" s="31"/>
      <c r="B1485" s="24"/>
      <c r="C1485" s="30"/>
      <c r="D1485" s="28"/>
      <c r="E1485" s="31"/>
      <c r="F1485" s="31"/>
      <c r="G1485" s="31"/>
      <c r="I1485" s="28"/>
      <c r="J1485" s="62"/>
      <c r="K1485" s="62"/>
      <c r="L1485" s="33"/>
      <c r="M1485" s="32"/>
      <c r="N1485" s="34"/>
      <c r="O1485" s="36"/>
      <c r="P1485" s="68"/>
      <c r="Q1485" s="24"/>
      <c r="R1485" s="24"/>
      <c r="S1485" s="64"/>
      <c r="T1485" s="58"/>
      <c r="V1485" s="67"/>
      <c r="X1485" s="67"/>
    </row>
    <row r="1486" spans="1:24" s="27" customFormat="1">
      <c r="A1486" s="31"/>
      <c r="B1486" s="24"/>
      <c r="C1486" s="30"/>
      <c r="D1486" s="28"/>
      <c r="E1486" s="31"/>
      <c r="F1486" s="31"/>
      <c r="G1486" s="31"/>
      <c r="I1486" s="28"/>
      <c r="J1486" s="62"/>
      <c r="K1486" s="62"/>
      <c r="L1486" s="33"/>
      <c r="M1486" s="32"/>
      <c r="N1486" s="34"/>
      <c r="O1486" s="36"/>
      <c r="P1486" s="68"/>
      <c r="Q1486" s="24"/>
      <c r="R1486" s="24"/>
      <c r="S1486" s="64"/>
      <c r="T1486" s="58"/>
      <c r="V1486" s="67"/>
      <c r="X1486" s="67"/>
    </row>
    <row r="1487" spans="1:24" s="27" customFormat="1">
      <c r="A1487" s="31"/>
      <c r="B1487" s="24"/>
      <c r="C1487" s="30"/>
      <c r="D1487" s="28"/>
      <c r="E1487" s="31"/>
      <c r="F1487" s="31"/>
      <c r="G1487" s="31"/>
      <c r="I1487" s="28"/>
      <c r="J1487" s="62"/>
      <c r="K1487" s="62"/>
      <c r="L1487" s="33"/>
      <c r="M1487" s="32"/>
      <c r="N1487" s="34"/>
      <c r="O1487" s="36"/>
      <c r="P1487" s="68"/>
      <c r="Q1487" s="24"/>
      <c r="R1487" s="24"/>
      <c r="S1487" s="64"/>
      <c r="T1487" s="58"/>
      <c r="V1487" s="67"/>
      <c r="X1487" s="67"/>
    </row>
    <row r="1488" spans="1:24" s="27" customFormat="1">
      <c r="A1488" s="31"/>
      <c r="B1488" s="24"/>
      <c r="C1488" s="30"/>
      <c r="D1488" s="28"/>
      <c r="E1488" s="31"/>
      <c r="F1488" s="31"/>
      <c r="G1488" s="31"/>
      <c r="I1488" s="28"/>
      <c r="J1488" s="62"/>
      <c r="K1488" s="62"/>
      <c r="L1488" s="33"/>
      <c r="M1488" s="32"/>
      <c r="N1488" s="34"/>
      <c r="O1488" s="36"/>
      <c r="P1488" s="68"/>
      <c r="Q1488" s="24"/>
      <c r="R1488" s="24"/>
      <c r="S1488" s="64"/>
      <c r="T1488" s="58"/>
      <c r="V1488" s="67"/>
      <c r="X1488" s="67"/>
    </row>
    <row r="1489" spans="1:24" s="27" customFormat="1">
      <c r="A1489" s="31"/>
      <c r="B1489" s="24"/>
      <c r="C1489" s="30"/>
      <c r="D1489" s="28"/>
      <c r="E1489" s="31"/>
      <c r="F1489" s="31"/>
      <c r="G1489" s="31"/>
      <c r="I1489" s="28"/>
      <c r="J1489" s="62"/>
      <c r="K1489" s="62"/>
      <c r="L1489" s="33"/>
      <c r="M1489" s="32"/>
      <c r="N1489" s="34"/>
      <c r="O1489" s="36"/>
      <c r="P1489" s="68"/>
      <c r="Q1489" s="24"/>
      <c r="R1489" s="24"/>
      <c r="S1489" s="64"/>
      <c r="T1489" s="58"/>
      <c r="V1489" s="67"/>
      <c r="X1489" s="67"/>
    </row>
    <row r="1490" spans="1:24" s="27" customFormat="1">
      <c r="A1490" s="31"/>
      <c r="B1490" s="24"/>
      <c r="C1490" s="30"/>
      <c r="D1490" s="28"/>
      <c r="E1490" s="31"/>
      <c r="F1490" s="31"/>
      <c r="G1490" s="31"/>
      <c r="I1490" s="28"/>
      <c r="J1490" s="62"/>
      <c r="K1490" s="62"/>
      <c r="L1490" s="33"/>
      <c r="M1490" s="32"/>
      <c r="N1490" s="34"/>
      <c r="O1490" s="36"/>
      <c r="P1490" s="68"/>
      <c r="Q1490" s="24"/>
      <c r="R1490" s="24"/>
      <c r="S1490" s="64"/>
      <c r="T1490" s="58"/>
      <c r="V1490" s="67"/>
      <c r="X1490" s="67"/>
    </row>
    <row r="1491" spans="1:24" s="27" customFormat="1">
      <c r="A1491" s="31"/>
      <c r="B1491" s="24"/>
      <c r="C1491" s="30"/>
      <c r="D1491" s="28"/>
      <c r="E1491" s="31"/>
      <c r="F1491" s="31"/>
      <c r="G1491" s="31"/>
      <c r="I1491" s="28"/>
      <c r="J1491" s="62"/>
      <c r="K1491" s="62"/>
      <c r="L1491" s="33"/>
      <c r="M1491" s="32"/>
      <c r="N1491" s="34"/>
      <c r="O1491" s="36"/>
      <c r="P1491" s="68"/>
      <c r="Q1491" s="24"/>
      <c r="R1491" s="24"/>
      <c r="S1491" s="64"/>
      <c r="T1491" s="58"/>
      <c r="V1491" s="67"/>
      <c r="X1491" s="67"/>
    </row>
    <row r="1492" spans="1:24" s="27" customFormat="1">
      <c r="A1492" s="31"/>
      <c r="B1492" s="24"/>
      <c r="C1492" s="30"/>
      <c r="D1492" s="28"/>
      <c r="E1492" s="31"/>
      <c r="F1492" s="31"/>
      <c r="G1492" s="31"/>
      <c r="I1492" s="28"/>
      <c r="J1492" s="62"/>
      <c r="K1492" s="62"/>
      <c r="L1492" s="33"/>
      <c r="M1492" s="32"/>
      <c r="N1492" s="34"/>
      <c r="O1492" s="36"/>
      <c r="P1492" s="68"/>
      <c r="Q1492" s="24"/>
      <c r="R1492" s="24"/>
      <c r="S1492" s="64"/>
      <c r="T1492" s="58"/>
      <c r="V1492" s="67"/>
      <c r="X1492" s="67"/>
    </row>
    <row r="1493" spans="1:24" s="27" customFormat="1">
      <c r="A1493" s="31"/>
      <c r="B1493" s="24"/>
      <c r="C1493" s="30"/>
      <c r="D1493" s="28"/>
      <c r="E1493" s="31"/>
      <c r="F1493" s="31"/>
      <c r="G1493" s="31"/>
      <c r="I1493" s="28"/>
      <c r="J1493" s="62"/>
      <c r="K1493" s="62"/>
      <c r="L1493" s="33"/>
      <c r="M1493" s="32"/>
      <c r="N1493" s="34"/>
      <c r="O1493" s="36"/>
      <c r="P1493" s="68"/>
      <c r="Q1493" s="24"/>
      <c r="R1493" s="24"/>
      <c r="S1493" s="64"/>
      <c r="T1493" s="58"/>
      <c r="V1493" s="67"/>
      <c r="X1493" s="67"/>
    </row>
    <row r="1494" spans="1:24" s="27" customFormat="1">
      <c r="A1494" s="31"/>
      <c r="B1494" s="24"/>
      <c r="C1494" s="30"/>
      <c r="D1494" s="28"/>
      <c r="E1494" s="31"/>
      <c r="F1494" s="31"/>
      <c r="G1494" s="31"/>
      <c r="I1494" s="28"/>
      <c r="J1494" s="62"/>
      <c r="K1494" s="62"/>
      <c r="L1494" s="33"/>
      <c r="M1494" s="32"/>
      <c r="N1494" s="34"/>
      <c r="O1494" s="36"/>
      <c r="P1494" s="68"/>
      <c r="Q1494" s="24"/>
      <c r="R1494" s="24"/>
      <c r="S1494" s="64"/>
      <c r="T1494" s="58"/>
      <c r="V1494" s="67"/>
      <c r="X1494" s="67"/>
    </row>
    <row r="1495" spans="1:24" s="27" customFormat="1">
      <c r="A1495" s="31"/>
      <c r="B1495" s="24"/>
      <c r="C1495" s="30"/>
      <c r="D1495" s="28"/>
      <c r="E1495" s="31"/>
      <c r="F1495" s="31"/>
      <c r="G1495" s="31"/>
      <c r="I1495" s="28"/>
      <c r="J1495" s="62"/>
      <c r="K1495" s="62"/>
      <c r="L1495" s="33"/>
      <c r="M1495" s="32"/>
      <c r="N1495" s="34"/>
      <c r="O1495" s="36"/>
      <c r="P1495" s="68"/>
      <c r="Q1495" s="24"/>
      <c r="R1495" s="24"/>
      <c r="S1495" s="64"/>
      <c r="T1495" s="58"/>
      <c r="V1495" s="67"/>
      <c r="X1495" s="67"/>
    </row>
    <row r="1496" spans="1:24" s="27" customFormat="1">
      <c r="A1496" s="31"/>
      <c r="B1496" s="24"/>
      <c r="C1496" s="30"/>
      <c r="D1496" s="28"/>
      <c r="E1496" s="31"/>
      <c r="F1496" s="31"/>
      <c r="G1496" s="31"/>
      <c r="I1496" s="28"/>
      <c r="J1496" s="62"/>
      <c r="K1496" s="62"/>
      <c r="L1496" s="33"/>
      <c r="M1496" s="32"/>
      <c r="N1496" s="34"/>
      <c r="O1496" s="36"/>
      <c r="P1496" s="68"/>
      <c r="Q1496" s="24"/>
      <c r="R1496" s="24"/>
      <c r="S1496" s="64"/>
      <c r="T1496" s="58"/>
      <c r="V1496" s="67"/>
      <c r="X1496" s="67"/>
    </row>
    <row r="1497" spans="1:24" s="27" customFormat="1">
      <c r="A1497" s="31"/>
      <c r="B1497" s="24"/>
      <c r="C1497" s="30"/>
      <c r="D1497" s="28"/>
      <c r="E1497" s="31"/>
      <c r="F1497" s="31"/>
      <c r="G1497" s="31"/>
      <c r="I1497" s="28"/>
      <c r="J1497" s="62"/>
      <c r="K1497" s="62"/>
      <c r="L1497" s="33"/>
      <c r="M1497" s="32"/>
      <c r="N1497" s="34"/>
      <c r="O1497" s="36"/>
      <c r="P1497" s="68"/>
      <c r="Q1497" s="24"/>
      <c r="R1497" s="24"/>
      <c r="S1497" s="64"/>
      <c r="T1497" s="58"/>
      <c r="V1497" s="67"/>
      <c r="X1497" s="67"/>
    </row>
    <row r="1498" spans="1:24" s="27" customFormat="1">
      <c r="A1498" s="31"/>
      <c r="B1498" s="24"/>
      <c r="C1498" s="30"/>
      <c r="D1498" s="28"/>
      <c r="E1498" s="31"/>
      <c r="F1498" s="31"/>
      <c r="G1498" s="31"/>
      <c r="I1498" s="28"/>
      <c r="J1498" s="62"/>
      <c r="K1498" s="62"/>
      <c r="L1498" s="33"/>
      <c r="M1498" s="32"/>
      <c r="N1498" s="34"/>
      <c r="O1498" s="36"/>
      <c r="P1498" s="68"/>
      <c r="Q1498" s="24"/>
      <c r="R1498" s="24"/>
      <c r="S1498" s="64"/>
      <c r="T1498" s="58"/>
      <c r="V1498" s="67"/>
      <c r="X1498" s="67"/>
    </row>
    <row r="1499" spans="1:24" s="27" customFormat="1">
      <c r="A1499" s="31"/>
      <c r="B1499" s="24"/>
      <c r="C1499" s="30"/>
      <c r="D1499" s="28"/>
      <c r="E1499" s="31"/>
      <c r="F1499" s="31"/>
      <c r="G1499" s="31"/>
      <c r="I1499" s="28"/>
      <c r="J1499" s="62"/>
      <c r="K1499" s="62"/>
      <c r="L1499" s="33"/>
      <c r="M1499" s="32"/>
      <c r="N1499" s="34"/>
      <c r="O1499" s="36"/>
      <c r="P1499" s="68"/>
      <c r="Q1499" s="24"/>
      <c r="R1499" s="24"/>
      <c r="S1499" s="64"/>
      <c r="T1499" s="58"/>
      <c r="V1499" s="67"/>
      <c r="X1499" s="67"/>
    </row>
    <row r="1500" spans="1:24" s="27" customFormat="1">
      <c r="A1500" s="31"/>
      <c r="B1500" s="24"/>
      <c r="C1500" s="30"/>
      <c r="D1500" s="28"/>
      <c r="E1500" s="31"/>
      <c r="F1500" s="31"/>
      <c r="G1500" s="31"/>
      <c r="I1500" s="28"/>
      <c r="J1500" s="62"/>
      <c r="K1500" s="62"/>
      <c r="L1500" s="33"/>
      <c r="M1500" s="32"/>
      <c r="N1500" s="34"/>
      <c r="O1500" s="36"/>
      <c r="P1500" s="68"/>
      <c r="Q1500" s="24"/>
      <c r="R1500" s="24"/>
      <c r="S1500" s="64"/>
      <c r="T1500" s="58"/>
      <c r="V1500" s="67"/>
      <c r="X1500" s="67"/>
    </row>
    <row r="1501" spans="1:24" s="27" customFormat="1">
      <c r="A1501" s="31"/>
      <c r="B1501" s="24"/>
      <c r="C1501" s="30"/>
      <c r="D1501" s="28"/>
      <c r="E1501" s="31"/>
      <c r="F1501" s="31"/>
      <c r="G1501" s="31"/>
      <c r="I1501" s="28"/>
      <c r="J1501" s="62"/>
      <c r="K1501" s="62"/>
      <c r="L1501" s="33"/>
      <c r="M1501" s="32"/>
      <c r="N1501" s="34"/>
      <c r="O1501" s="36"/>
      <c r="P1501" s="68"/>
      <c r="Q1501" s="24"/>
      <c r="R1501" s="24"/>
      <c r="S1501" s="64"/>
      <c r="T1501" s="58"/>
      <c r="V1501" s="67"/>
      <c r="X1501" s="67"/>
    </row>
    <row r="1502" spans="1:24" s="27" customFormat="1">
      <c r="A1502" s="31"/>
      <c r="B1502" s="24"/>
      <c r="C1502" s="30"/>
      <c r="D1502" s="28"/>
      <c r="E1502" s="31"/>
      <c r="F1502" s="31"/>
      <c r="G1502" s="31"/>
      <c r="I1502" s="28"/>
      <c r="J1502" s="62"/>
      <c r="K1502" s="62"/>
      <c r="L1502" s="33"/>
      <c r="M1502" s="32"/>
      <c r="N1502" s="34"/>
      <c r="O1502" s="36"/>
      <c r="P1502" s="68"/>
      <c r="Q1502" s="24"/>
      <c r="R1502" s="24"/>
      <c r="S1502" s="64"/>
      <c r="T1502" s="58"/>
      <c r="V1502" s="67"/>
      <c r="X1502" s="67"/>
    </row>
    <row r="1503" spans="1:24" s="27" customFormat="1">
      <c r="A1503" s="31"/>
      <c r="B1503" s="24"/>
      <c r="C1503" s="30"/>
      <c r="D1503" s="28"/>
      <c r="E1503" s="31"/>
      <c r="F1503" s="31"/>
      <c r="G1503" s="31"/>
      <c r="I1503" s="28"/>
      <c r="J1503" s="62"/>
      <c r="K1503" s="62"/>
      <c r="L1503" s="33"/>
      <c r="M1503" s="32"/>
      <c r="N1503" s="34"/>
      <c r="O1503" s="36"/>
      <c r="P1503" s="68"/>
      <c r="Q1503" s="24"/>
      <c r="R1503" s="24"/>
      <c r="S1503" s="64"/>
      <c r="T1503" s="58"/>
      <c r="V1503" s="67"/>
      <c r="X1503" s="67"/>
    </row>
    <row r="1504" spans="1:24" s="27" customFormat="1">
      <c r="A1504" s="31"/>
      <c r="B1504" s="24"/>
      <c r="C1504" s="30"/>
      <c r="D1504" s="28"/>
      <c r="E1504" s="31"/>
      <c r="F1504" s="31"/>
      <c r="G1504" s="31"/>
      <c r="I1504" s="28"/>
      <c r="J1504" s="62"/>
      <c r="K1504" s="62"/>
      <c r="L1504" s="33"/>
      <c r="M1504" s="32"/>
      <c r="N1504" s="34"/>
      <c r="O1504" s="36"/>
      <c r="P1504" s="68"/>
      <c r="Q1504" s="24"/>
      <c r="R1504" s="24"/>
      <c r="S1504" s="64"/>
      <c r="T1504" s="58"/>
      <c r="V1504" s="67"/>
      <c r="X1504" s="67"/>
    </row>
    <row r="1505" spans="1:24" s="27" customFormat="1">
      <c r="A1505" s="31"/>
      <c r="B1505" s="24"/>
      <c r="C1505" s="30"/>
      <c r="D1505" s="28"/>
      <c r="E1505" s="31"/>
      <c r="F1505" s="31"/>
      <c r="G1505" s="31"/>
      <c r="I1505" s="28"/>
      <c r="J1505" s="62"/>
      <c r="K1505" s="62"/>
      <c r="L1505" s="33"/>
      <c r="M1505" s="32"/>
      <c r="N1505" s="34"/>
      <c r="O1505" s="36"/>
      <c r="P1505" s="68"/>
      <c r="Q1505" s="24"/>
      <c r="R1505" s="24"/>
      <c r="S1505" s="64"/>
      <c r="T1505" s="58"/>
      <c r="V1505" s="67"/>
      <c r="X1505" s="67"/>
    </row>
    <row r="1506" spans="1:24" s="27" customFormat="1">
      <c r="A1506" s="31"/>
      <c r="B1506" s="24"/>
      <c r="C1506" s="30"/>
      <c r="D1506" s="28"/>
      <c r="E1506" s="31"/>
      <c r="F1506" s="31"/>
      <c r="G1506" s="31"/>
      <c r="I1506" s="28"/>
      <c r="J1506" s="62"/>
      <c r="K1506" s="62"/>
      <c r="L1506" s="33"/>
      <c r="M1506" s="32"/>
      <c r="N1506" s="34"/>
      <c r="O1506" s="36"/>
      <c r="P1506" s="68"/>
      <c r="Q1506" s="24"/>
      <c r="R1506" s="24"/>
      <c r="S1506" s="64"/>
      <c r="T1506" s="58"/>
      <c r="V1506" s="67"/>
      <c r="X1506" s="67"/>
    </row>
    <row r="1507" spans="1:24" s="27" customFormat="1">
      <c r="A1507" s="31"/>
      <c r="B1507" s="24"/>
      <c r="C1507" s="30"/>
      <c r="D1507" s="28"/>
      <c r="E1507" s="31"/>
      <c r="F1507" s="31"/>
      <c r="G1507" s="31"/>
      <c r="I1507" s="28"/>
      <c r="J1507" s="62"/>
      <c r="K1507" s="62"/>
      <c r="L1507" s="33"/>
      <c r="M1507" s="32"/>
      <c r="N1507" s="34"/>
      <c r="O1507" s="36"/>
      <c r="P1507" s="68"/>
      <c r="Q1507" s="24"/>
      <c r="R1507" s="24"/>
      <c r="S1507" s="64"/>
      <c r="T1507" s="58"/>
      <c r="V1507" s="67"/>
      <c r="X1507" s="67"/>
    </row>
    <row r="1508" spans="1:24" s="27" customFormat="1">
      <c r="A1508" s="31"/>
      <c r="B1508" s="24"/>
      <c r="C1508" s="30"/>
      <c r="D1508" s="28"/>
      <c r="E1508" s="31"/>
      <c r="F1508" s="31"/>
      <c r="G1508" s="31"/>
      <c r="I1508" s="28"/>
      <c r="J1508" s="62"/>
      <c r="K1508" s="62"/>
      <c r="L1508" s="33"/>
      <c r="M1508" s="32"/>
      <c r="N1508" s="34"/>
      <c r="O1508" s="36"/>
      <c r="P1508" s="68"/>
      <c r="Q1508" s="24"/>
      <c r="R1508" s="24"/>
      <c r="S1508" s="64"/>
      <c r="T1508" s="58"/>
      <c r="V1508" s="67"/>
      <c r="X1508" s="67"/>
    </row>
    <row r="1509" spans="1:24" s="27" customFormat="1">
      <c r="A1509" s="31"/>
      <c r="B1509" s="24"/>
      <c r="C1509" s="30"/>
      <c r="D1509" s="28"/>
      <c r="E1509" s="31"/>
      <c r="F1509" s="31"/>
      <c r="G1509" s="31"/>
      <c r="I1509" s="28"/>
      <c r="J1509" s="62"/>
      <c r="K1509" s="62"/>
      <c r="L1509" s="33"/>
      <c r="M1509" s="32"/>
      <c r="N1509" s="34"/>
      <c r="O1509" s="36"/>
      <c r="P1509" s="68"/>
      <c r="Q1509" s="24"/>
      <c r="R1509" s="24"/>
      <c r="S1509" s="64"/>
      <c r="T1509" s="58"/>
      <c r="V1509" s="67"/>
      <c r="X1509" s="67"/>
    </row>
    <row r="1510" spans="1:24" s="27" customFormat="1">
      <c r="A1510" s="31"/>
      <c r="B1510" s="24"/>
      <c r="C1510" s="30"/>
      <c r="D1510" s="28"/>
      <c r="E1510" s="31"/>
      <c r="F1510" s="31"/>
      <c r="G1510" s="31"/>
      <c r="I1510" s="28"/>
      <c r="J1510" s="62"/>
      <c r="K1510" s="62"/>
      <c r="L1510" s="33"/>
      <c r="M1510" s="32"/>
      <c r="N1510" s="34"/>
      <c r="O1510" s="36"/>
      <c r="P1510" s="68"/>
      <c r="Q1510" s="24"/>
      <c r="R1510" s="24"/>
      <c r="S1510" s="64"/>
      <c r="T1510" s="58"/>
      <c r="V1510" s="67"/>
      <c r="X1510" s="67"/>
    </row>
    <row r="1511" spans="1:24" s="27" customFormat="1">
      <c r="A1511" s="31"/>
      <c r="B1511" s="24"/>
      <c r="C1511" s="30"/>
      <c r="D1511" s="28"/>
      <c r="E1511" s="31"/>
      <c r="F1511" s="31"/>
      <c r="G1511" s="31"/>
      <c r="I1511" s="28"/>
      <c r="J1511" s="62"/>
      <c r="K1511" s="62"/>
      <c r="L1511" s="33"/>
      <c r="M1511" s="32"/>
      <c r="N1511" s="34"/>
      <c r="O1511" s="36"/>
      <c r="P1511" s="68"/>
      <c r="Q1511" s="24"/>
      <c r="R1511" s="24"/>
      <c r="S1511" s="64"/>
      <c r="T1511" s="58"/>
      <c r="V1511" s="67"/>
      <c r="X1511" s="67"/>
    </row>
    <row r="1512" spans="1:24" s="27" customFormat="1">
      <c r="A1512" s="31"/>
      <c r="B1512" s="24"/>
      <c r="C1512" s="30"/>
      <c r="D1512" s="28"/>
      <c r="E1512" s="31"/>
      <c r="F1512" s="31"/>
      <c r="G1512" s="31"/>
      <c r="I1512" s="28"/>
      <c r="J1512" s="62"/>
      <c r="K1512" s="62"/>
      <c r="L1512" s="33"/>
      <c r="M1512" s="32"/>
      <c r="N1512" s="34"/>
      <c r="O1512" s="36"/>
      <c r="P1512" s="68"/>
      <c r="Q1512" s="24"/>
      <c r="R1512" s="24"/>
      <c r="S1512" s="64"/>
      <c r="T1512" s="58"/>
      <c r="V1512" s="67"/>
      <c r="X1512" s="67"/>
    </row>
    <row r="1513" spans="1:24" s="27" customFormat="1">
      <c r="A1513" s="31"/>
      <c r="B1513" s="24"/>
      <c r="C1513" s="30"/>
      <c r="D1513" s="28"/>
      <c r="E1513" s="31"/>
      <c r="F1513" s="31"/>
      <c r="G1513" s="31"/>
      <c r="I1513" s="28"/>
      <c r="J1513" s="62"/>
      <c r="K1513" s="62"/>
      <c r="L1513" s="33"/>
      <c r="M1513" s="32"/>
      <c r="N1513" s="34"/>
      <c r="O1513" s="36"/>
      <c r="P1513" s="68"/>
      <c r="Q1513" s="24"/>
      <c r="R1513" s="24"/>
      <c r="S1513" s="64"/>
      <c r="T1513" s="58"/>
      <c r="V1513" s="67"/>
      <c r="X1513" s="67"/>
    </row>
    <row r="1514" spans="1:24" s="27" customFormat="1">
      <c r="A1514" s="31"/>
      <c r="B1514" s="24"/>
      <c r="C1514" s="30"/>
      <c r="D1514" s="28"/>
      <c r="E1514" s="31"/>
      <c r="F1514" s="31"/>
      <c r="G1514" s="31"/>
      <c r="I1514" s="28"/>
      <c r="J1514" s="62"/>
      <c r="K1514" s="62"/>
      <c r="L1514" s="33"/>
      <c r="M1514" s="32"/>
      <c r="N1514" s="34"/>
      <c r="O1514" s="36"/>
      <c r="P1514" s="68"/>
      <c r="Q1514" s="24"/>
      <c r="R1514" s="24"/>
      <c r="S1514" s="64"/>
      <c r="T1514" s="58"/>
      <c r="V1514" s="67"/>
      <c r="X1514" s="67"/>
    </row>
    <row r="1515" spans="1:24" s="27" customFormat="1">
      <c r="A1515" s="31"/>
      <c r="B1515" s="24"/>
      <c r="C1515" s="30"/>
      <c r="D1515" s="28"/>
      <c r="E1515" s="31"/>
      <c r="F1515" s="31"/>
      <c r="G1515" s="31"/>
      <c r="I1515" s="28"/>
      <c r="J1515" s="62"/>
      <c r="K1515" s="62"/>
      <c r="L1515" s="33"/>
      <c r="M1515" s="32"/>
      <c r="N1515" s="34"/>
      <c r="O1515" s="36"/>
      <c r="P1515" s="68"/>
      <c r="Q1515" s="24"/>
      <c r="R1515" s="24"/>
      <c r="S1515" s="64"/>
      <c r="T1515" s="58"/>
      <c r="V1515" s="67"/>
      <c r="X1515" s="67"/>
    </row>
    <row r="1516" spans="1:24" s="27" customFormat="1">
      <c r="A1516" s="31"/>
      <c r="B1516" s="24"/>
      <c r="C1516" s="30"/>
      <c r="D1516" s="28"/>
      <c r="E1516" s="31"/>
      <c r="F1516" s="31"/>
      <c r="G1516" s="31"/>
      <c r="I1516" s="28"/>
      <c r="J1516" s="62"/>
      <c r="K1516" s="62"/>
      <c r="L1516" s="33"/>
      <c r="M1516" s="32"/>
      <c r="N1516" s="34"/>
      <c r="O1516" s="36"/>
      <c r="P1516" s="68"/>
      <c r="Q1516" s="24"/>
      <c r="R1516" s="24"/>
      <c r="S1516" s="64"/>
      <c r="T1516" s="58"/>
      <c r="V1516" s="67"/>
      <c r="X1516" s="67"/>
    </row>
    <row r="1517" spans="1:24" s="27" customFormat="1">
      <c r="A1517" s="31"/>
      <c r="B1517" s="24"/>
      <c r="C1517" s="30"/>
      <c r="D1517" s="28"/>
      <c r="E1517" s="31"/>
      <c r="F1517" s="31"/>
      <c r="G1517" s="31"/>
      <c r="I1517" s="28"/>
      <c r="J1517" s="62"/>
      <c r="K1517" s="62"/>
      <c r="L1517" s="33"/>
      <c r="M1517" s="32"/>
      <c r="N1517" s="34"/>
      <c r="O1517" s="36"/>
      <c r="P1517" s="68"/>
      <c r="Q1517" s="24"/>
      <c r="R1517" s="24"/>
      <c r="S1517" s="64"/>
      <c r="T1517" s="58"/>
      <c r="V1517" s="67"/>
      <c r="X1517" s="67"/>
    </row>
    <row r="1518" spans="1:24" s="27" customFormat="1">
      <c r="A1518" s="31"/>
      <c r="B1518" s="24"/>
      <c r="C1518" s="30"/>
      <c r="D1518" s="28"/>
      <c r="E1518" s="31"/>
      <c r="F1518" s="31"/>
      <c r="G1518" s="31"/>
      <c r="I1518" s="28"/>
      <c r="J1518" s="62"/>
      <c r="K1518" s="62"/>
      <c r="L1518" s="33"/>
      <c r="M1518" s="32"/>
      <c r="N1518" s="34"/>
      <c r="O1518" s="36"/>
      <c r="P1518" s="68"/>
      <c r="Q1518" s="24"/>
      <c r="R1518" s="24"/>
      <c r="S1518" s="64"/>
      <c r="T1518" s="58"/>
      <c r="V1518" s="67"/>
      <c r="X1518" s="67"/>
    </row>
    <row r="1519" spans="1:24" s="27" customFormat="1">
      <c r="A1519" s="31"/>
      <c r="B1519" s="24"/>
      <c r="C1519" s="30"/>
      <c r="D1519" s="28"/>
      <c r="E1519" s="31"/>
      <c r="F1519" s="31"/>
      <c r="G1519" s="31"/>
      <c r="I1519" s="28"/>
      <c r="J1519" s="62"/>
      <c r="K1519" s="62"/>
      <c r="L1519" s="33"/>
      <c r="M1519" s="32"/>
      <c r="N1519" s="34"/>
      <c r="O1519" s="36"/>
      <c r="P1519" s="68"/>
      <c r="Q1519" s="24"/>
      <c r="R1519" s="24"/>
      <c r="S1519" s="64"/>
      <c r="T1519" s="58"/>
      <c r="V1519" s="67"/>
      <c r="X1519" s="67"/>
    </row>
    <row r="1520" spans="1:24" s="27" customFormat="1">
      <c r="A1520" s="31"/>
      <c r="B1520" s="24"/>
      <c r="C1520" s="30"/>
      <c r="D1520" s="28"/>
      <c r="E1520" s="31"/>
      <c r="F1520" s="31"/>
      <c r="G1520" s="31"/>
      <c r="I1520" s="28"/>
      <c r="J1520" s="62"/>
      <c r="K1520" s="62"/>
      <c r="L1520" s="33"/>
      <c r="M1520" s="32"/>
      <c r="N1520" s="34"/>
      <c r="O1520" s="36"/>
      <c r="P1520" s="68"/>
      <c r="Q1520" s="24"/>
      <c r="R1520" s="24"/>
      <c r="S1520" s="64"/>
      <c r="T1520" s="58"/>
      <c r="V1520" s="67"/>
      <c r="X1520" s="67"/>
    </row>
    <row r="1521" spans="1:24" s="27" customFormat="1">
      <c r="A1521" s="31"/>
      <c r="B1521" s="24"/>
      <c r="C1521" s="30"/>
      <c r="D1521" s="28"/>
      <c r="E1521" s="31"/>
      <c r="F1521" s="31"/>
      <c r="G1521" s="31"/>
      <c r="I1521" s="28"/>
      <c r="J1521" s="62"/>
      <c r="K1521" s="62"/>
      <c r="L1521" s="33"/>
      <c r="M1521" s="32"/>
      <c r="N1521" s="34"/>
      <c r="O1521" s="36"/>
      <c r="P1521" s="68"/>
      <c r="Q1521" s="24"/>
      <c r="R1521" s="24"/>
      <c r="S1521" s="64"/>
      <c r="T1521" s="58"/>
      <c r="V1521" s="67"/>
      <c r="X1521" s="67"/>
    </row>
    <row r="1522" spans="1:24" s="27" customFormat="1">
      <c r="A1522" s="31"/>
      <c r="B1522" s="24"/>
      <c r="C1522" s="30"/>
      <c r="D1522" s="28"/>
      <c r="E1522" s="31"/>
      <c r="F1522" s="31"/>
      <c r="G1522" s="31"/>
      <c r="I1522" s="28"/>
      <c r="J1522" s="62"/>
      <c r="K1522" s="62"/>
      <c r="L1522" s="33"/>
      <c r="M1522" s="32"/>
      <c r="N1522" s="34"/>
      <c r="O1522" s="36"/>
      <c r="P1522" s="68"/>
      <c r="Q1522" s="24"/>
      <c r="R1522" s="24"/>
      <c r="S1522" s="64"/>
      <c r="T1522" s="58"/>
      <c r="V1522" s="67"/>
      <c r="X1522" s="67"/>
    </row>
    <row r="1523" spans="1:24" s="27" customFormat="1">
      <c r="A1523" s="31"/>
      <c r="B1523" s="24"/>
      <c r="C1523" s="30"/>
      <c r="D1523" s="28"/>
      <c r="E1523" s="31"/>
      <c r="F1523" s="31"/>
      <c r="G1523" s="31"/>
      <c r="I1523" s="28"/>
      <c r="J1523" s="62"/>
      <c r="K1523" s="62"/>
      <c r="L1523" s="33"/>
      <c r="M1523" s="32"/>
      <c r="N1523" s="34"/>
      <c r="O1523" s="36"/>
      <c r="P1523" s="68"/>
      <c r="Q1523" s="24"/>
      <c r="R1523" s="24"/>
      <c r="S1523" s="64"/>
      <c r="T1523" s="58"/>
      <c r="V1523" s="67"/>
      <c r="X1523" s="67"/>
    </row>
    <row r="1524" spans="1:24" s="27" customFormat="1">
      <c r="A1524" s="31"/>
      <c r="B1524" s="24"/>
      <c r="C1524" s="30"/>
      <c r="D1524" s="28"/>
      <c r="E1524" s="31"/>
      <c r="F1524" s="31"/>
      <c r="G1524" s="31"/>
      <c r="I1524" s="28"/>
      <c r="J1524" s="62"/>
      <c r="K1524" s="62"/>
      <c r="L1524" s="33"/>
      <c r="M1524" s="32"/>
      <c r="N1524" s="34"/>
      <c r="O1524" s="36"/>
      <c r="P1524" s="68"/>
      <c r="Q1524" s="24"/>
      <c r="R1524" s="24"/>
      <c r="S1524" s="64"/>
      <c r="T1524" s="58"/>
      <c r="V1524" s="67"/>
      <c r="X1524" s="67"/>
    </row>
    <row r="1525" spans="1:24" s="27" customFormat="1">
      <c r="A1525" s="31"/>
      <c r="B1525" s="24"/>
      <c r="C1525" s="30"/>
      <c r="D1525" s="28"/>
      <c r="E1525" s="31"/>
      <c r="F1525" s="31"/>
      <c r="G1525" s="31"/>
      <c r="I1525" s="28"/>
      <c r="J1525" s="62"/>
      <c r="K1525" s="62"/>
      <c r="L1525" s="33"/>
      <c r="M1525" s="32"/>
      <c r="N1525" s="34"/>
      <c r="O1525" s="36"/>
      <c r="P1525" s="68"/>
      <c r="Q1525" s="24"/>
      <c r="R1525" s="24"/>
      <c r="S1525" s="64"/>
      <c r="T1525" s="58"/>
      <c r="V1525" s="67"/>
      <c r="X1525" s="67"/>
    </row>
    <row r="1526" spans="1:24" s="27" customFormat="1">
      <c r="A1526" s="31"/>
      <c r="B1526" s="24"/>
      <c r="C1526" s="30"/>
      <c r="D1526" s="28"/>
      <c r="E1526" s="31"/>
      <c r="F1526" s="31"/>
      <c r="G1526" s="31"/>
      <c r="I1526" s="28"/>
      <c r="J1526" s="62"/>
      <c r="K1526" s="62"/>
      <c r="L1526" s="33"/>
      <c r="M1526" s="32"/>
      <c r="N1526" s="34"/>
      <c r="O1526" s="36"/>
      <c r="P1526" s="68"/>
      <c r="Q1526" s="24"/>
      <c r="R1526" s="24"/>
      <c r="S1526" s="64"/>
      <c r="T1526" s="58"/>
      <c r="V1526" s="67"/>
      <c r="X1526" s="67"/>
    </row>
    <row r="1527" spans="1:24" s="27" customFormat="1">
      <c r="A1527" s="31"/>
      <c r="B1527" s="24"/>
      <c r="C1527" s="30"/>
      <c r="D1527" s="28"/>
      <c r="E1527" s="31"/>
      <c r="F1527" s="31"/>
      <c r="G1527" s="31"/>
      <c r="I1527" s="28"/>
      <c r="J1527" s="62"/>
      <c r="K1527" s="62"/>
      <c r="L1527" s="33"/>
      <c r="M1527" s="32"/>
      <c r="N1527" s="34"/>
      <c r="O1527" s="36"/>
      <c r="P1527" s="68"/>
      <c r="Q1527" s="24"/>
      <c r="R1527" s="24"/>
      <c r="S1527" s="64"/>
      <c r="T1527" s="58"/>
      <c r="V1527" s="67"/>
      <c r="X1527" s="67"/>
    </row>
    <row r="1528" spans="1:24" s="27" customFormat="1">
      <c r="A1528" s="31"/>
      <c r="B1528" s="24"/>
      <c r="C1528" s="30"/>
      <c r="D1528" s="28"/>
      <c r="E1528" s="31"/>
      <c r="F1528" s="31"/>
      <c r="G1528" s="31"/>
      <c r="I1528" s="28"/>
      <c r="J1528" s="62"/>
      <c r="K1528" s="62"/>
      <c r="L1528" s="33"/>
      <c r="M1528" s="32"/>
      <c r="N1528" s="34"/>
      <c r="O1528" s="36"/>
      <c r="P1528" s="68"/>
      <c r="Q1528" s="24"/>
      <c r="R1528" s="24"/>
      <c r="S1528" s="64"/>
      <c r="T1528" s="58"/>
      <c r="V1528" s="67"/>
      <c r="X1528" s="67"/>
    </row>
    <row r="1529" spans="1:24" s="27" customFormat="1">
      <c r="A1529" s="31"/>
      <c r="B1529" s="24"/>
      <c r="C1529" s="30"/>
      <c r="D1529" s="28"/>
      <c r="E1529" s="31"/>
      <c r="F1529" s="31"/>
      <c r="G1529" s="31"/>
      <c r="I1529" s="28"/>
      <c r="J1529" s="62"/>
      <c r="K1529" s="62"/>
      <c r="L1529" s="33"/>
      <c r="M1529" s="32"/>
      <c r="N1529" s="34"/>
      <c r="O1529" s="36"/>
      <c r="P1529" s="68"/>
      <c r="Q1529" s="24"/>
      <c r="R1529" s="24"/>
      <c r="S1529" s="64"/>
      <c r="T1529" s="58"/>
      <c r="V1529" s="67"/>
      <c r="X1529" s="67"/>
    </row>
    <row r="1530" spans="1:24" s="27" customFormat="1">
      <c r="A1530" s="31"/>
      <c r="B1530" s="24"/>
      <c r="C1530" s="30"/>
      <c r="D1530" s="28"/>
      <c r="E1530" s="31"/>
      <c r="F1530" s="31"/>
      <c r="G1530" s="31"/>
      <c r="I1530" s="28"/>
      <c r="J1530" s="62"/>
      <c r="K1530" s="62"/>
      <c r="L1530" s="33"/>
      <c r="M1530" s="32"/>
      <c r="N1530" s="34"/>
      <c r="O1530" s="36"/>
      <c r="P1530" s="68"/>
      <c r="Q1530" s="24"/>
      <c r="R1530" s="24"/>
      <c r="S1530" s="64"/>
      <c r="T1530" s="58"/>
      <c r="V1530" s="67"/>
      <c r="X1530" s="67"/>
    </row>
    <row r="1531" spans="1:24" s="27" customFormat="1">
      <c r="A1531" s="31"/>
      <c r="B1531" s="24"/>
      <c r="C1531" s="30"/>
      <c r="D1531" s="28"/>
      <c r="E1531" s="31"/>
      <c r="F1531" s="31"/>
      <c r="G1531" s="31"/>
      <c r="I1531" s="28"/>
      <c r="J1531" s="62"/>
      <c r="K1531" s="62"/>
      <c r="L1531" s="33"/>
      <c r="M1531" s="32"/>
      <c r="N1531" s="34"/>
      <c r="O1531" s="36"/>
      <c r="P1531" s="68"/>
      <c r="Q1531" s="24"/>
      <c r="R1531" s="24"/>
      <c r="S1531" s="64"/>
      <c r="T1531" s="58"/>
      <c r="V1531" s="67"/>
      <c r="X1531" s="67"/>
    </row>
    <row r="1532" spans="1:24" s="27" customFormat="1">
      <c r="A1532" s="31"/>
      <c r="B1532" s="24"/>
      <c r="C1532" s="30"/>
      <c r="D1532" s="28"/>
      <c r="E1532" s="31"/>
      <c r="F1532" s="31"/>
      <c r="G1532" s="31"/>
      <c r="I1532" s="28"/>
      <c r="J1532" s="62"/>
      <c r="K1532" s="62"/>
      <c r="L1532" s="33"/>
      <c r="M1532" s="32"/>
      <c r="N1532" s="34"/>
      <c r="O1532" s="36"/>
      <c r="P1532" s="68"/>
      <c r="Q1532" s="24"/>
      <c r="R1532" s="24"/>
      <c r="S1532" s="64"/>
      <c r="T1532" s="58"/>
      <c r="V1532" s="67"/>
      <c r="X1532" s="67"/>
    </row>
    <row r="1533" spans="1:24" s="27" customFormat="1">
      <c r="A1533" s="31"/>
      <c r="B1533" s="24"/>
      <c r="C1533" s="30"/>
      <c r="D1533" s="28"/>
      <c r="E1533" s="31"/>
      <c r="F1533" s="31"/>
      <c r="G1533" s="31"/>
      <c r="I1533" s="28"/>
      <c r="J1533" s="62"/>
      <c r="K1533" s="62"/>
      <c r="L1533" s="33"/>
      <c r="M1533" s="32"/>
      <c r="N1533" s="34"/>
      <c r="O1533" s="36"/>
      <c r="P1533" s="68"/>
      <c r="Q1533" s="24"/>
      <c r="R1533" s="24"/>
      <c r="S1533" s="64"/>
      <c r="T1533" s="58"/>
      <c r="V1533" s="67"/>
      <c r="X1533" s="67"/>
    </row>
    <row r="1534" spans="1:24" s="27" customFormat="1">
      <c r="A1534" s="31"/>
      <c r="B1534" s="24"/>
      <c r="C1534" s="30"/>
      <c r="D1534" s="28"/>
      <c r="E1534" s="31"/>
      <c r="F1534" s="31"/>
      <c r="G1534" s="31"/>
      <c r="I1534" s="28"/>
      <c r="J1534" s="62"/>
      <c r="K1534" s="62"/>
      <c r="L1534" s="33"/>
      <c r="M1534" s="32"/>
      <c r="N1534" s="34"/>
      <c r="O1534" s="36"/>
      <c r="P1534" s="68"/>
      <c r="Q1534" s="24"/>
      <c r="R1534" s="24"/>
      <c r="S1534" s="64"/>
      <c r="T1534" s="58"/>
      <c r="V1534" s="67"/>
      <c r="X1534" s="67"/>
    </row>
    <row r="1535" spans="1:24" s="27" customFormat="1">
      <c r="A1535" s="31"/>
      <c r="B1535" s="24"/>
      <c r="C1535" s="30"/>
      <c r="D1535" s="28"/>
      <c r="E1535" s="31"/>
      <c r="F1535" s="31"/>
      <c r="G1535" s="31"/>
      <c r="I1535" s="28"/>
      <c r="J1535" s="62"/>
      <c r="K1535" s="62"/>
      <c r="L1535" s="33"/>
      <c r="M1535" s="32"/>
      <c r="N1535" s="34"/>
      <c r="O1535" s="36"/>
      <c r="P1535" s="68"/>
      <c r="Q1535" s="24"/>
      <c r="R1535" s="24"/>
      <c r="S1535" s="64"/>
      <c r="T1535" s="58"/>
      <c r="V1535" s="67"/>
      <c r="X1535" s="67"/>
    </row>
    <row r="1536" spans="1:24" s="27" customFormat="1">
      <c r="A1536" s="31"/>
      <c r="B1536" s="24"/>
      <c r="C1536" s="30"/>
      <c r="D1536" s="28"/>
      <c r="E1536" s="31"/>
      <c r="F1536" s="31"/>
      <c r="G1536" s="31"/>
      <c r="I1536" s="28"/>
      <c r="J1536" s="62"/>
      <c r="K1536" s="62"/>
      <c r="L1536" s="33"/>
      <c r="M1536" s="32"/>
      <c r="N1536" s="34"/>
      <c r="O1536" s="36"/>
      <c r="P1536" s="68"/>
      <c r="Q1536" s="24"/>
      <c r="R1536" s="24"/>
      <c r="S1536" s="64"/>
      <c r="T1536" s="58"/>
      <c r="V1536" s="67"/>
      <c r="X1536" s="67"/>
    </row>
    <row r="1537" spans="1:24" s="27" customFormat="1">
      <c r="A1537" s="31"/>
      <c r="B1537" s="24"/>
      <c r="C1537" s="30"/>
      <c r="D1537" s="28"/>
      <c r="E1537" s="31"/>
      <c r="F1537" s="31"/>
      <c r="G1537" s="31"/>
      <c r="I1537" s="28"/>
      <c r="J1537" s="62"/>
      <c r="K1537" s="62"/>
      <c r="L1537" s="33"/>
      <c r="M1537" s="32"/>
      <c r="N1537" s="34"/>
      <c r="O1537" s="36"/>
      <c r="P1537" s="68"/>
      <c r="Q1537" s="24"/>
      <c r="R1537" s="24"/>
      <c r="S1537" s="64"/>
      <c r="T1537" s="58"/>
      <c r="V1537" s="67"/>
      <c r="X1537" s="67"/>
    </row>
    <row r="1538" spans="1:24" s="27" customFormat="1">
      <c r="A1538" s="31"/>
      <c r="B1538" s="24"/>
      <c r="C1538" s="30"/>
      <c r="D1538" s="28"/>
      <c r="E1538" s="31"/>
      <c r="F1538" s="31"/>
      <c r="G1538" s="31"/>
      <c r="I1538" s="28"/>
      <c r="J1538" s="62"/>
      <c r="K1538" s="62"/>
      <c r="L1538" s="33"/>
      <c r="M1538" s="32"/>
      <c r="N1538" s="34"/>
      <c r="O1538" s="36"/>
      <c r="P1538" s="68"/>
      <c r="Q1538" s="24"/>
      <c r="R1538" s="24"/>
      <c r="S1538" s="64"/>
      <c r="T1538" s="58"/>
      <c r="V1538" s="67"/>
      <c r="X1538" s="67"/>
    </row>
    <row r="1539" spans="1:24" s="27" customFormat="1">
      <c r="A1539" s="31"/>
      <c r="B1539" s="24"/>
      <c r="C1539" s="30"/>
      <c r="D1539" s="28"/>
      <c r="E1539" s="31"/>
      <c r="F1539" s="31"/>
      <c r="G1539" s="31"/>
      <c r="I1539" s="28"/>
      <c r="J1539" s="62"/>
      <c r="K1539" s="62"/>
      <c r="L1539" s="33"/>
      <c r="M1539" s="32"/>
      <c r="N1539" s="34"/>
      <c r="O1539" s="36"/>
      <c r="P1539" s="68"/>
      <c r="Q1539" s="24"/>
      <c r="R1539" s="24"/>
      <c r="S1539" s="64"/>
      <c r="T1539" s="58"/>
      <c r="V1539" s="67"/>
      <c r="X1539" s="67"/>
    </row>
    <row r="1540" spans="1:24" s="27" customFormat="1">
      <c r="A1540" s="31"/>
      <c r="B1540" s="24"/>
      <c r="C1540" s="30"/>
      <c r="D1540" s="28"/>
      <c r="E1540" s="31"/>
      <c r="F1540" s="31"/>
      <c r="G1540" s="31"/>
      <c r="I1540" s="28"/>
      <c r="J1540" s="62"/>
      <c r="K1540" s="62"/>
      <c r="L1540" s="33"/>
      <c r="M1540" s="32"/>
      <c r="N1540" s="34"/>
      <c r="O1540" s="36"/>
      <c r="P1540" s="68"/>
      <c r="Q1540" s="24"/>
      <c r="R1540" s="24"/>
      <c r="S1540" s="64"/>
      <c r="T1540" s="58"/>
      <c r="V1540" s="67"/>
      <c r="X1540" s="67"/>
    </row>
    <row r="1541" spans="1:24" s="27" customFormat="1">
      <c r="A1541" s="31"/>
      <c r="B1541" s="24"/>
      <c r="C1541" s="30"/>
      <c r="D1541" s="28"/>
      <c r="E1541" s="31"/>
      <c r="F1541" s="31"/>
      <c r="G1541" s="31"/>
      <c r="I1541" s="28"/>
      <c r="J1541" s="62"/>
      <c r="K1541" s="62"/>
      <c r="L1541" s="33"/>
      <c r="M1541" s="32"/>
      <c r="N1541" s="34"/>
      <c r="O1541" s="36"/>
      <c r="P1541" s="68"/>
      <c r="Q1541" s="24"/>
      <c r="R1541" s="24"/>
      <c r="S1541" s="64"/>
      <c r="T1541" s="58"/>
      <c r="V1541" s="67"/>
      <c r="X1541" s="67"/>
    </row>
    <row r="1542" spans="1:24" s="27" customFormat="1">
      <c r="A1542" s="31"/>
      <c r="B1542" s="24"/>
      <c r="C1542" s="30"/>
      <c r="D1542" s="28"/>
      <c r="E1542" s="31"/>
      <c r="F1542" s="31"/>
      <c r="G1542" s="31"/>
      <c r="I1542" s="28"/>
      <c r="J1542" s="62"/>
      <c r="K1542" s="62"/>
      <c r="L1542" s="33"/>
      <c r="M1542" s="32"/>
      <c r="N1542" s="34"/>
      <c r="O1542" s="36"/>
      <c r="P1542" s="68"/>
      <c r="Q1542" s="24"/>
      <c r="R1542" s="24"/>
      <c r="S1542" s="64"/>
      <c r="T1542" s="58"/>
      <c r="V1542" s="67"/>
      <c r="X1542" s="67"/>
    </row>
    <row r="1543" spans="1:24" s="27" customFormat="1">
      <c r="A1543" s="31"/>
      <c r="B1543" s="24"/>
      <c r="C1543" s="30"/>
      <c r="D1543" s="28"/>
      <c r="E1543" s="31"/>
      <c r="F1543" s="31"/>
      <c r="G1543" s="31"/>
      <c r="I1543" s="28"/>
      <c r="J1543" s="62"/>
      <c r="K1543" s="62"/>
      <c r="L1543" s="33"/>
      <c r="M1543" s="32"/>
      <c r="N1543" s="34"/>
      <c r="O1543" s="36"/>
      <c r="P1543" s="68"/>
      <c r="Q1543" s="24"/>
      <c r="R1543" s="24"/>
      <c r="S1543" s="64"/>
      <c r="T1543" s="58"/>
      <c r="V1543" s="67"/>
      <c r="X1543" s="67"/>
    </row>
    <row r="1544" spans="1:24" s="27" customFormat="1">
      <c r="A1544" s="31"/>
      <c r="B1544" s="24"/>
      <c r="C1544" s="30"/>
      <c r="D1544" s="28"/>
      <c r="E1544" s="31"/>
      <c r="F1544" s="31"/>
      <c r="G1544" s="31"/>
      <c r="I1544" s="28"/>
      <c r="J1544" s="62"/>
      <c r="K1544" s="62"/>
      <c r="L1544" s="33"/>
      <c r="M1544" s="32"/>
      <c r="N1544" s="34"/>
      <c r="O1544" s="36"/>
      <c r="P1544" s="68"/>
      <c r="Q1544" s="24"/>
      <c r="R1544" s="24"/>
      <c r="S1544" s="64"/>
      <c r="T1544" s="58"/>
      <c r="V1544" s="67"/>
      <c r="X1544" s="67"/>
    </row>
    <row r="1545" spans="1:24" s="27" customFormat="1">
      <c r="A1545" s="31"/>
      <c r="B1545" s="24"/>
      <c r="C1545" s="30"/>
      <c r="D1545" s="28"/>
      <c r="E1545" s="31"/>
      <c r="F1545" s="31"/>
      <c r="G1545" s="31"/>
      <c r="I1545" s="28"/>
      <c r="J1545" s="62"/>
      <c r="K1545" s="62"/>
      <c r="L1545" s="33"/>
      <c r="M1545" s="32"/>
      <c r="N1545" s="34"/>
      <c r="O1545" s="36"/>
      <c r="P1545" s="68"/>
      <c r="Q1545" s="24"/>
      <c r="R1545" s="24"/>
      <c r="S1545" s="64"/>
      <c r="T1545" s="58"/>
      <c r="V1545" s="67"/>
      <c r="X1545" s="67"/>
    </row>
    <row r="1546" spans="1:24" s="27" customFormat="1">
      <c r="A1546" s="31"/>
      <c r="B1546" s="24"/>
      <c r="C1546" s="30"/>
      <c r="D1546" s="28"/>
      <c r="E1546" s="31"/>
      <c r="F1546" s="31"/>
      <c r="G1546" s="31"/>
      <c r="I1546" s="28"/>
      <c r="J1546" s="62"/>
      <c r="K1546" s="62"/>
      <c r="L1546" s="33"/>
      <c r="M1546" s="32"/>
      <c r="N1546" s="34"/>
      <c r="O1546" s="36"/>
      <c r="P1546" s="68"/>
      <c r="Q1546" s="24"/>
      <c r="R1546" s="24"/>
      <c r="S1546" s="64"/>
      <c r="T1546" s="58"/>
      <c r="V1546" s="67"/>
      <c r="X1546" s="67"/>
    </row>
    <row r="1547" spans="1:24" s="27" customFormat="1">
      <c r="A1547" s="31"/>
      <c r="B1547" s="24"/>
      <c r="C1547" s="30"/>
      <c r="D1547" s="28"/>
      <c r="E1547" s="31"/>
      <c r="F1547" s="31"/>
      <c r="G1547" s="31"/>
      <c r="I1547" s="28"/>
      <c r="J1547" s="62"/>
      <c r="K1547" s="62"/>
      <c r="L1547" s="33"/>
      <c r="M1547" s="32"/>
      <c r="N1547" s="34"/>
      <c r="O1547" s="36"/>
      <c r="P1547" s="68"/>
      <c r="Q1547" s="24"/>
      <c r="R1547" s="24"/>
      <c r="S1547" s="64"/>
      <c r="T1547" s="58"/>
      <c r="V1547" s="67"/>
      <c r="X1547" s="67"/>
    </row>
    <row r="1548" spans="1:24" s="27" customFormat="1">
      <c r="A1548" s="31"/>
      <c r="B1548" s="24"/>
      <c r="C1548" s="30"/>
      <c r="D1548" s="28"/>
      <c r="E1548" s="31"/>
      <c r="F1548" s="31"/>
      <c r="G1548" s="31"/>
      <c r="I1548" s="28"/>
      <c r="J1548" s="62"/>
      <c r="K1548" s="62"/>
      <c r="L1548" s="33"/>
      <c r="M1548" s="32"/>
      <c r="N1548" s="34"/>
      <c r="O1548" s="36"/>
      <c r="P1548" s="68"/>
      <c r="Q1548" s="24"/>
      <c r="R1548" s="24"/>
      <c r="S1548" s="64"/>
      <c r="T1548" s="58"/>
      <c r="V1548" s="67"/>
      <c r="X1548" s="67"/>
    </row>
    <row r="1549" spans="1:24" s="27" customFormat="1">
      <c r="A1549" s="31"/>
      <c r="B1549" s="24"/>
      <c r="C1549" s="30"/>
      <c r="D1549" s="28"/>
      <c r="E1549" s="31"/>
      <c r="F1549" s="31"/>
      <c r="G1549" s="31"/>
      <c r="I1549" s="28"/>
      <c r="J1549" s="62"/>
      <c r="K1549" s="62"/>
      <c r="L1549" s="33"/>
      <c r="M1549" s="32"/>
      <c r="N1549" s="34"/>
      <c r="O1549" s="36"/>
      <c r="P1549" s="68"/>
      <c r="Q1549" s="24"/>
      <c r="R1549" s="24"/>
      <c r="S1549" s="64"/>
      <c r="T1549" s="58"/>
      <c r="V1549" s="67"/>
      <c r="X1549" s="67"/>
    </row>
    <row r="1550" spans="1:24" s="27" customFormat="1">
      <c r="A1550" s="31"/>
      <c r="B1550" s="24"/>
      <c r="C1550" s="30"/>
      <c r="D1550" s="28"/>
      <c r="E1550" s="31"/>
      <c r="F1550" s="31"/>
      <c r="G1550" s="31"/>
      <c r="I1550" s="28"/>
      <c r="J1550" s="62"/>
      <c r="K1550" s="62"/>
      <c r="L1550" s="33"/>
      <c r="M1550" s="32"/>
      <c r="N1550" s="34"/>
      <c r="O1550" s="36"/>
      <c r="P1550" s="68"/>
      <c r="Q1550" s="24"/>
      <c r="R1550" s="24"/>
      <c r="S1550" s="64"/>
      <c r="T1550" s="58"/>
      <c r="V1550" s="67"/>
      <c r="X1550" s="67"/>
    </row>
    <row r="1551" spans="1:24" s="27" customFormat="1">
      <c r="A1551" s="31"/>
      <c r="B1551" s="24"/>
      <c r="C1551" s="30"/>
      <c r="D1551" s="28"/>
      <c r="E1551" s="31"/>
      <c r="F1551" s="31"/>
      <c r="G1551" s="31"/>
      <c r="I1551" s="28"/>
      <c r="J1551" s="62"/>
      <c r="K1551" s="62"/>
      <c r="L1551" s="33"/>
      <c r="M1551" s="32"/>
      <c r="N1551" s="34"/>
      <c r="O1551" s="36"/>
      <c r="P1551" s="68"/>
      <c r="Q1551" s="24"/>
      <c r="R1551" s="24"/>
      <c r="S1551" s="64"/>
      <c r="T1551" s="58"/>
      <c r="V1551" s="67"/>
      <c r="X1551" s="67"/>
    </row>
    <row r="1552" spans="1:24" s="27" customFormat="1">
      <c r="A1552" s="31"/>
      <c r="B1552" s="24"/>
      <c r="C1552" s="30"/>
      <c r="D1552" s="28"/>
      <c r="E1552" s="31"/>
      <c r="F1552" s="31"/>
      <c r="G1552" s="31"/>
      <c r="I1552" s="28"/>
      <c r="J1552" s="62"/>
      <c r="K1552" s="62"/>
      <c r="L1552" s="33"/>
      <c r="M1552" s="32"/>
      <c r="N1552" s="34"/>
      <c r="O1552" s="36"/>
      <c r="P1552" s="68"/>
      <c r="Q1552" s="24"/>
      <c r="R1552" s="24"/>
      <c r="S1552" s="64"/>
      <c r="T1552" s="58"/>
      <c r="V1552" s="67"/>
      <c r="X1552" s="67"/>
    </row>
    <row r="1553" spans="1:24" s="27" customFormat="1">
      <c r="A1553" s="31"/>
      <c r="B1553" s="24"/>
      <c r="C1553" s="30"/>
      <c r="D1553" s="28"/>
      <c r="E1553" s="31"/>
      <c r="F1553" s="31"/>
      <c r="G1553" s="31"/>
      <c r="I1553" s="28"/>
      <c r="J1553" s="62"/>
      <c r="K1553" s="62"/>
      <c r="L1553" s="33"/>
      <c r="M1553" s="32"/>
      <c r="N1553" s="34"/>
      <c r="O1553" s="36"/>
      <c r="P1553" s="68"/>
      <c r="Q1553" s="24"/>
      <c r="R1553" s="24"/>
      <c r="S1553" s="64"/>
      <c r="T1553" s="58"/>
      <c r="V1553" s="67"/>
      <c r="X1553" s="67"/>
    </row>
    <row r="1554" spans="1:24" s="27" customFormat="1">
      <c r="A1554" s="31"/>
      <c r="B1554" s="24"/>
      <c r="C1554" s="30"/>
      <c r="D1554" s="28"/>
      <c r="E1554" s="31"/>
      <c r="F1554" s="31"/>
      <c r="G1554" s="31"/>
      <c r="I1554" s="28"/>
      <c r="J1554" s="62"/>
      <c r="K1554" s="62"/>
      <c r="L1554" s="33"/>
      <c r="M1554" s="32"/>
      <c r="N1554" s="34"/>
      <c r="O1554" s="36"/>
      <c r="P1554" s="68"/>
      <c r="Q1554" s="24"/>
      <c r="R1554" s="24"/>
      <c r="S1554" s="64"/>
      <c r="T1554" s="58"/>
      <c r="V1554" s="67"/>
      <c r="X1554" s="67"/>
    </row>
    <row r="1555" spans="1:24" s="27" customFormat="1">
      <c r="A1555" s="31"/>
      <c r="B1555" s="24"/>
      <c r="C1555" s="30"/>
      <c r="D1555" s="28"/>
      <c r="E1555" s="31"/>
      <c r="F1555" s="31"/>
      <c r="G1555" s="31"/>
      <c r="I1555" s="28"/>
      <c r="J1555" s="62"/>
      <c r="K1555" s="62"/>
      <c r="L1555" s="33"/>
      <c r="M1555" s="32"/>
      <c r="N1555" s="34"/>
      <c r="O1555" s="36"/>
      <c r="P1555" s="68"/>
      <c r="Q1555" s="24"/>
      <c r="R1555" s="24"/>
      <c r="S1555" s="64"/>
      <c r="T1555" s="58"/>
      <c r="V1555" s="67"/>
      <c r="X1555" s="67"/>
    </row>
    <row r="1556" spans="1:24" s="27" customFormat="1">
      <c r="A1556" s="31"/>
      <c r="B1556" s="24"/>
      <c r="C1556" s="30"/>
      <c r="D1556" s="28"/>
      <c r="E1556" s="31"/>
      <c r="F1556" s="31"/>
      <c r="G1556" s="31"/>
      <c r="I1556" s="28"/>
      <c r="J1556" s="62"/>
      <c r="K1556" s="62"/>
      <c r="L1556" s="33"/>
      <c r="M1556" s="32"/>
      <c r="N1556" s="34"/>
      <c r="O1556" s="36"/>
      <c r="P1556" s="68"/>
      <c r="Q1556" s="24"/>
      <c r="R1556" s="24"/>
      <c r="S1556" s="64"/>
      <c r="T1556" s="58"/>
      <c r="V1556" s="67"/>
      <c r="X1556" s="67"/>
    </row>
    <row r="1557" spans="1:24" s="27" customFormat="1">
      <c r="A1557" s="31"/>
      <c r="B1557" s="24"/>
      <c r="C1557" s="30"/>
      <c r="D1557" s="28"/>
      <c r="E1557" s="31"/>
      <c r="F1557" s="31"/>
      <c r="G1557" s="31"/>
      <c r="I1557" s="28"/>
      <c r="J1557" s="62"/>
      <c r="K1557" s="62"/>
      <c r="L1557" s="33"/>
      <c r="M1557" s="32"/>
      <c r="N1557" s="34"/>
      <c r="O1557" s="36"/>
      <c r="P1557" s="68"/>
      <c r="Q1557" s="24"/>
      <c r="R1557" s="24"/>
      <c r="S1557" s="64"/>
      <c r="T1557" s="58"/>
      <c r="V1557" s="67"/>
      <c r="X1557" s="67"/>
    </row>
    <row r="1558" spans="1:24" s="27" customFormat="1">
      <c r="A1558" s="31"/>
      <c r="B1558" s="24"/>
      <c r="C1558" s="30"/>
      <c r="D1558" s="28"/>
      <c r="E1558" s="31"/>
      <c r="F1558" s="31"/>
      <c r="G1558" s="31"/>
      <c r="I1558" s="28"/>
      <c r="J1558" s="62"/>
      <c r="K1558" s="62"/>
      <c r="L1558" s="33"/>
      <c r="M1558" s="32"/>
      <c r="N1558" s="34"/>
      <c r="O1558" s="36"/>
      <c r="P1558" s="68"/>
      <c r="Q1558" s="24"/>
      <c r="R1558" s="24"/>
      <c r="S1558" s="64"/>
      <c r="T1558" s="58"/>
      <c r="V1558" s="67"/>
      <c r="X1558" s="67"/>
    </row>
    <row r="1559" spans="1:24" s="27" customFormat="1">
      <c r="A1559" s="31"/>
      <c r="B1559" s="24"/>
      <c r="C1559" s="30"/>
      <c r="D1559" s="28"/>
      <c r="E1559" s="31"/>
      <c r="F1559" s="31"/>
      <c r="G1559" s="31"/>
      <c r="I1559" s="28"/>
      <c r="J1559" s="62"/>
      <c r="K1559" s="62"/>
      <c r="L1559" s="33"/>
      <c r="M1559" s="32"/>
      <c r="N1559" s="34"/>
      <c r="O1559" s="36"/>
      <c r="P1559" s="68"/>
      <c r="Q1559" s="24"/>
      <c r="R1559" s="24"/>
      <c r="S1559" s="64"/>
      <c r="T1559" s="58"/>
      <c r="V1559" s="67"/>
      <c r="X1559" s="67"/>
    </row>
    <row r="1560" spans="1:24" s="27" customFormat="1">
      <c r="A1560" s="31"/>
      <c r="B1560" s="24"/>
      <c r="C1560" s="30"/>
      <c r="D1560" s="28"/>
      <c r="E1560" s="31"/>
      <c r="F1560" s="31"/>
      <c r="G1560" s="31"/>
      <c r="I1560" s="28"/>
      <c r="J1560" s="62"/>
      <c r="K1560" s="62"/>
      <c r="L1560" s="33"/>
      <c r="M1560" s="32"/>
      <c r="N1560" s="34"/>
      <c r="O1560" s="36"/>
      <c r="P1560" s="68"/>
      <c r="Q1560" s="24"/>
      <c r="R1560" s="24"/>
      <c r="S1560" s="64"/>
      <c r="T1560" s="58"/>
      <c r="V1560" s="67"/>
      <c r="X1560" s="67"/>
    </row>
    <row r="1561" spans="1:24" s="27" customFormat="1">
      <c r="A1561" s="31"/>
      <c r="B1561" s="24"/>
      <c r="C1561" s="30"/>
      <c r="D1561" s="28"/>
      <c r="E1561" s="31"/>
      <c r="F1561" s="31"/>
      <c r="G1561" s="31"/>
      <c r="I1561" s="28"/>
      <c r="J1561" s="62"/>
      <c r="K1561" s="62"/>
      <c r="L1561" s="33"/>
      <c r="M1561" s="32"/>
      <c r="N1561" s="34"/>
      <c r="O1561" s="36"/>
      <c r="P1561" s="68"/>
      <c r="Q1561" s="24"/>
      <c r="R1561" s="24"/>
      <c r="S1561" s="64"/>
      <c r="T1561" s="58"/>
      <c r="V1561" s="67"/>
      <c r="X1561" s="67"/>
    </row>
    <row r="1562" spans="1:24" s="27" customFormat="1">
      <c r="A1562" s="31"/>
      <c r="B1562" s="24"/>
      <c r="C1562" s="30"/>
      <c r="D1562" s="28"/>
      <c r="E1562" s="31"/>
      <c r="F1562" s="31"/>
      <c r="G1562" s="31"/>
      <c r="I1562" s="28"/>
      <c r="J1562" s="62"/>
      <c r="K1562" s="62"/>
      <c r="L1562" s="33"/>
      <c r="M1562" s="32"/>
      <c r="N1562" s="34"/>
      <c r="O1562" s="36"/>
      <c r="P1562" s="68"/>
      <c r="Q1562" s="24"/>
      <c r="R1562" s="24"/>
      <c r="S1562" s="64"/>
      <c r="T1562" s="58"/>
      <c r="V1562" s="67"/>
      <c r="X1562" s="67"/>
    </row>
    <row r="1563" spans="1:24" s="27" customFormat="1">
      <c r="A1563" s="31"/>
      <c r="B1563" s="24"/>
      <c r="C1563" s="30"/>
      <c r="D1563" s="28"/>
      <c r="E1563" s="31"/>
      <c r="F1563" s="31"/>
      <c r="G1563" s="31"/>
      <c r="I1563" s="28"/>
      <c r="J1563" s="62"/>
      <c r="K1563" s="62"/>
      <c r="L1563" s="33"/>
      <c r="M1563" s="32"/>
      <c r="N1563" s="34"/>
      <c r="O1563" s="36"/>
      <c r="P1563" s="68"/>
      <c r="Q1563" s="24"/>
      <c r="R1563" s="24"/>
      <c r="S1563" s="64"/>
      <c r="T1563" s="58"/>
      <c r="V1563" s="67"/>
      <c r="X1563" s="67"/>
    </row>
    <row r="1564" spans="1:24" s="27" customFormat="1">
      <c r="A1564" s="31"/>
      <c r="B1564" s="24"/>
      <c r="C1564" s="30"/>
      <c r="D1564" s="28"/>
      <c r="E1564" s="31"/>
      <c r="F1564" s="31"/>
      <c r="G1564" s="31"/>
      <c r="I1564" s="28"/>
      <c r="J1564" s="62"/>
      <c r="K1564" s="62"/>
      <c r="L1564" s="33"/>
      <c r="M1564" s="32"/>
      <c r="N1564" s="34"/>
      <c r="O1564" s="36"/>
      <c r="P1564" s="68"/>
      <c r="Q1564" s="24"/>
      <c r="R1564" s="24"/>
      <c r="S1564" s="64"/>
      <c r="T1564" s="58"/>
      <c r="V1564" s="67"/>
      <c r="X1564" s="67"/>
    </row>
    <row r="1565" spans="1:24" s="27" customFormat="1">
      <c r="A1565" s="31"/>
      <c r="B1565" s="24"/>
      <c r="C1565" s="30"/>
      <c r="D1565" s="28"/>
      <c r="E1565" s="31"/>
      <c r="F1565" s="31"/>
      <c r="G1565" s="31"/>
      <c r="I1565" s="28"/>
      <c r="J1565" s="62"/>
      <c r="K1565" s="62"/>
      <c r="L1565" s="33"/>
      <c r="M1565" s="32"/>
      <c r="N1565" s="34"/>
      <c r="O1565" s="36"/>
      <c r="P1565" s="68"/>
      <c r="Q1565" s="24"/>
      <c r="R1565" s="24"/>
      <c r="S1565" s="64"/>
      <c r="T1565" s="58"/>
      <c r="V1565" s="67"/>
      <c r="X1565" s="67"/>
    </row>
    <row r="1566" spans="1:24" s="27" customFormat="1">
      <c r="A1566" s="31"/>
      <c r="B1566" s="24"/>
      <c r="C1566" s="30"/>
      <c r="D1566" s="28"/>
      <c r="E1566" s="31"/>
      <c r="F1566" s="31"/>
      <c r="G1566" s="31"/>
      <c r="I1566" s="28"/>
      <c r="J1566" s="62"/>
      <c r="K1566" s="62"/>
      <c r="L1566" s="33"/>
      <c r="M1566" s="32"/>
      <c r="N1566" s="34"/>
      <c r="O1566" s="36"/>
      <c r="P1566" s="68"/>
      <c r="Q1566" s="24"/>
      <c r="R1566" s="24"/>
      <c r="S1566" s="64"/>
      <c r="T1566" s="58"/>
      <c r="V1566" s="67"/>
      <c r="X1566" s="67"/>
    </row>
    <row r="1567" spans="1:24" s="27" customFormat="1">
      <c r="A1567" s="31"/>
      <c r="B1567" s="24"/>
      <c r="C1567" s="30"/>
      <c r="D1567" s="28"/>
      <c r="E1567" s="31"/>
      <c r="F1567" s="31"/>
      <c r="G1567" s="31"/>
      <c r="I1567" s="28"/>
      <c r="J1567" s="62"/>
      <c r="K1567" s="62"/>
      <c r="L1567" s="33"/>
      <c r="M1567" s="32"/>
      <c r="N1567" s="34"/>
      <c r="O1567" s="36"/>
      <c r="P1567" s="68"/>
      <c r="Q1567" s="24"/>
      <c r="R1567" s="24"/>
      <c r="S1567" s="64"/>
      <c r="T1567" s="58"/>
      <c r="V1567" s="67"/>
      <c r="X1567" s="67"/>
    </row>
    <row r="1568" spans="1:24" s="27" customFormat="1">
      <c r="A1568" s="31"/>
      <c r="B1568" s="24"/>
      <c r="C1568" s="30"/>
      <c r="D1568" s="28"/>
      <c r="E1568" s="31"/>
      <c r="F1568" s="31"/>
      <c r="G1568" s="31"/>
      <c r="I1568" s="28"/>
      <c r="J1568" s="62"/>
      <c r="K1568" s="62"/>
      <c r="L1568" s="33"/>
      <c r="M1568" s="32"/>
      <c r="N1568" s="34"/>
      <c r="O1568" s="36"/>
      <c r="P1568" s="68"/>
      <c r="Q1568" s="24"/>
      <c r="R1568" s="24"/>
      <c r="S1568" s="64"/>
      <c r="T1568" s="58"/>
      <c r="V1568" s="67"/>
      <c r="X1568" s="67"/>
    </row>
    <row r="1569" spans="1:24" s="27" customFormat="1">
      <c r="A1569" s="31"/>
      <c r="B1569" s="24"/>
      <c r="C1569" s="30"/>
      <c r="D1569" s="28"/>
      <c r="E1569" s="31"/>
      <c r="F1569" s="31"/>
      <c r="G1569" s="31"/>
      <c r="I1569" s="28"/>
      <c r="J1569" s="62"/>
      <c r="K1569" s="62"/>
      <c r="L1569" s="33"/>
      <c r="M1569" s="32"/>
      <c r="N1569" s="34"/>
      <c r="O1569" s="36"/>
      <c r="P1569" s="68"/>
      <c r="Q1569" s="24"/>
      <c r="R1569" s="24"/>
      <c r="S1569" s="64"/>
      <c r="T1569" s="58"/>
      <c r="V1569" s="67"/>
      <c r="X1569" s="67"/>
    </row>
    <row r="1570" spans="1:24" s="27" customFormat="1">
      <c r="A1570" s="31"/>
      <c r="B1570" s="24"/>
      <c r="C1570" s="30"/>
      <c r="D1570" s="28"/>
      <c r="E1570" s="31"/>
      <c r="F1570" s="31"/>
      <c r="G1570" s="31"/>
      <c r="I1570" s="28"/>
      <c r="J1570" s="62"/>
      <c r="K1570" s="62"/>
      <c r="L1570" s="33"/>
      <c r="M1570" s="32"/>
      <c r="N1570" s="34"/>
      <c r="O1570" s="36"/>
      <c r="P1570" s="68"/>
      <c r="Q1570" s="24"/>
      <c r="R1570" s="24"/>
      <c r="S1570" s="64"/>
      <c r="T1570" s="58"/>
      <c r="V1570" s="67"/>
      <c r="X1570" s="67"/>
    </row>
    <row r="1571" spans="1:24" s="27" customFormat="1">
      <c r="A1571" s="31"/>
      <c r="B1571" s="24"/>
      <c r="C1571" s="30"/>
      <c r="D1571" s="28"/>
      <c r="E1571" s="31"/>
      <c r="F1571" s="31"/>
      <c r="G1571" s="31"/>
      <c r="I1571" s="28"/>
      <c r="J1571" s="62"/>
      <c r="K1571" s="62"/>
      <c r="L1571" s="33"/>
      <c r="M1571" s="32"/>
      <c r="N1571" s="34"/>
      <c r="O1571" s="36"/>
      <c r="P1571" s="68"/>
      <c r="Q1571" s="24"/>
      <c r="R1571" s="24"/>
      <c r="S1571" s="64"/>
      <c r="T1571" s="58"/>
      <c r="V1571" s="67"/>
      <c r="X1571" s="67"/>
    </row>
    <row r="1572" spans="1:24" s="27" customFormat="1">
      <c r="A1572" s="31"/>
      <c r="B1572" s="24"/>
      <c r="C1572" s="30"/>
      <c r="D1572" s="28"/>
      <c r="E1572" s="31"/>
      <c r="F1572" s="31"/>
      <c r="G1572" s="31"/>
      <c r="I1572" s="28"/>
      <c r="J1572" s="62"/>
      <c r="K1572" s="62"/>
      <c r="L1572" s="33"/>
      <c r="M1572" s="32"/>
      <c r="N1572" s="34"/>
      <c r="O1572" s="36"/>
      <c r="P1572" s="68"/>
      <c r="Q1572" s="24"/>
      <c r="R1572" s="24"/>
      <c r="S1572" s="64"/>
      <c r="T1572" s="58"/>
      <c r="V1572" s="67"/>
      <c r="X1572" s="67"/>
    </row>
    <row r="1573" spans="1:24" s="27" customFormat="1">
      <c r="A1573" s="31"/>
      <c r="B1573" s="24"/>
      <c r="C1573" s="30"/>
      <c r="D1573" s="28"/>
      <c r="E1573" s="31"/>
      <c r="F1573" s="31"/>
      <c r="G1573" s="31"/>
      <c r="I1573" s="28"/>
      <c r="J1573" s="62"/>
      <c r="K1573" s="62"/>
      <c r="L1573" s="33"/>
      <c r="M1573" s="32"/>
      <c r="N1573" s="34"/>
      <c r="O1573" s="36"/>
      <c r="P1573" s="68"/>
      <c r="Q1573" s="24"/>
      <c r="R1573" s="24"/>
      <c r="S1573" s="64"/>
      <c r="T1573" s="58"/>
      <c r="V1573" s="67"/>
      <c r="X1573" s="67"/>
    </row>
    <row r="1574" spans="1:24" s="27" customFormat="1">
      <c r="A1574" s="31"/>
      <c r="B1574" s="24"/>
      <c r="C1574" s="30"/>
      <c r="D1574" s="28"/>
      <c r="E1574" s="31"/>
      <c r="F1574" s="31"/>
      <c r="G1574" s="31"/>
      <c r="I1574" s="28"/>
      <c r="J1574" s="62"/>
      <c r="K1574" s="62"/>
      <c r="L1574" s="33"/>
      <c r="M1574" s="32"/>
      <c r="N1574" s="34"/>
      <c r="O1574" s="36"/>
      <c r="P1574" s="68"/>
      <c r="Q1574" s="24"/>
      <c r="R1574" s="24"/>
      <c r="S1574" s="64"/>
      <c r="T1574" s="58"/>
      <c r="V1574" s="67"/>
      <c r="X1574" s="67"/>
    </row>
    <row r="1575" spans="1:24" s="27" customFormat="1">
      <c r="A1575" s="31"/>
      <c r="B1575" s="24"/>
      <c r="C1575" s="30"/>
      <c r="D1575" s="28"/>
      <c r="E1575" s="31"/>
      <c r="F1575" s="31"/>
      <c r="G1575" s="31"/>
      <c r="I1575" s="28"/>
      <c r="J1575" s="62"/>
      <c r="K1575" s="62"/>
      <c r="L1575" s="33"/>
      <c r="M1575" s="32"/>
      <c r="N1575" s="34"/>
      <c r="O1575" s="36"/>
      <c r="P1575" s="68"/>
      <c r="Q1575" s="24"/>
      <c r="R1575" s="24"/>
      <c r="S1575" s="64"/>
      <c r="T1575" s="58"/>
      <c r="V1575" s="67"/>
      <c r="X1575" s="67"/>
    </row>
    <row r="1576" spans="1:24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4"/>
      <c r="U1576" s="27"/>
      <c r="V1576" s="67"/>
      <c r="W1576" s="27"/>
      <c r="X1576" s="67"/>
    </row>
    <row r="1577" spans="1:24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4"/>
      <c r="V1577" s="67"/>
      <c r="X1577" s="67"/>
    </row>
    <row r="1578" spans="1:24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4"/>
      <c r="V1578" s="67"/>
      <c r="X1578" s="67"/>
    </row>
    <row r="1579" spans="1:24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4"/>
      <c r="V1579" s="67"/>
      <c r="X1579" s="67"/>
    </row>
    <row r="1580" spans="1:24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4"/>
      <c r="V1580" s="67"/>
      <c r="X1580" s="67"/>
    </row>
    <row r="1581" spans="1:24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4"/>
      <c r="V1581" s="67"/>
      <c r="X1581" s="67"/>
    </row>
    <row r="1582" spans="1:24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4"/>
      <c r="V1582" s="67"/>
      <c r="X1582" s="67"/>
    </row>
    <row r="1583" spans="1:24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4"/>
      <c r="V1583" s="67"/>
      <c r="X1583" s="67"/>
    </row>
    <row r="1584" spans="1:24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4"/>
      <c r="V1584" s="67"/>
      <c r="X1584" s="67"/>
    </row>
    <row r="1585" spans="1:24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4"/>
      <c r="V1585" s="67"/>
      <c r="X1585" s="67"/>
    </row>
    <row r="1586" spans="1:24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4"/>
      <c r="V1586" s="67"/>
      <c r="X1586" s="67"/>
    </row>
    <row r="1587" spans="1:24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4"/>
      <c r="V1587" s="67"/>
      <c r="X1587" s="67"/>
    </row>
    <row r="1588" spans="1:24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4"/>
      <c r="V1588" s="67"/>
      <c r="X1588" s="67"/>
    </row>
    <row r="1589" spans="1:24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4"/>
      <c r="V1589" s="67"/>
      <c r="X1589" s="67"/>
    </row>
    <row r="1590" spans="1:24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4"/>
      <c r="V1590" s="67"/>
      <c r="X1590" s="67"/>
    </row>
    <row r="1591" spans="1:24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4"/>
      <c r="V1591" s="67"/>
      <c r="X1591" s="67"/>
    </row>
    <row r="1592" spans="1:24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4"/>
      <c r="V1592" s="67"/>
      <c r="X1592" s="67"/>
    </row>
    <row r="1593" spans="1:24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4"/>
      <c r="V1593" s="67"/>
      <c r="X1593" s="67"/>
    </row>
    <row r="1594" spans="1:24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4"/>
      <c r="V1594" s="67"/>
      <c r="X1594" s="67"/>
    </row>
    <row r="1595" spans="1:24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4"/>
      <c r="V1595" s="67"/>
      <c r="X1595" s="67"/>
    </row>
    <row r="1596" spans="1:24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4"/>
      <c r="V1596" s="67"/>
      <c r="X1596" s="67"/>
    </row>
    <row r="1597" spans="1:24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4"/>
      <c r="V1597" s="67"/>
      <c r="X1597" s="67"/>
    </row>
    <row r="1598" spans="1:24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4"/>
      <c r="V1598" s="67"/>
      <c r="X1598" s="67"/>
    </row>
    <row r="1599" spans="1:24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4"/>
      <c r="V1599" s="67"/>
      <c r="X1599" s="67"/>
    </row>
    <row r="1600" spans="1:24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4"/>
      <c r="V1600" s="67"/>
      <c r="X1600" s="67"/>
    </row>
    <row r="1601" spans="1:24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4"/>
      <c r="V1601" s="67"/>
      <c r="X1601" s="67"/>
    </row>
    <row r="1602" spans="1:24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4"/>
      <c r="V1602" s="67"/>
      <c r="X1602" s="67"/>
    </row>
    <row r="1603" spans="1:24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4"/>
      <c r="V1603" s="67"/>
      <c r="X1603" s="67"/>
    </row>
    <row r="1604" spans="1:24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4"/>
      <c r="V1604" s="67"/>
      <c r="X1604" s="67"/>
    </row>
    <row r="1605" spans="1:24">
      <c r="A1605" s="31"/>
      <c r="B1605" s="24"/>
      <c r="C1605" s="30"/>
      <c r="D1605" s="28"/>
      <c r="E1605" s="31"/>
      <c r="F1605" s="31"/>
      <c r="G1605" s="31"/>
      <c r="H1605" s="27"/>
      <c r="I1605" s="28"/>
      <c r="L1605" s="33"/>
      <c r="N1605" s="34"/>
      <c r="O1605" s="36"/>
      <c r="Q1605" s="24"/>
      <c r="R1605" s="24"/>
      <c r="S1605" s="64"/>
      <c r="V1605" s="67"/>
      <c r="X1605" s="67"/>
    </row>
    <row r="1606" spans="1:24">
      <c r="A1606" s="31"/>
      <c r="B1606" s="24"/>
      <c r="C1606" s="30"/>
      <c r="D1606" s="28"/>
      <c r="E1606" s="31"/>
      <c r="F1606" s="31"/>
      <c r="G1606" s="31"/>
      <c r="H1606" s="27"/>
      <c r="I1606" s="28"/>
      <c r="L1606" s="33"/>
      <c r="N1606" s="34"/>
      <c r="O1606" s="36"/>
      <c r="Q1606" s="24"/>
      <c r="R1606" s="24"/>
      <c r="S1606" s="64"/>
    </row>
    <row r="1607" spans="1:24">
      <c r="A1607" s="31"/>
      <c r="B1607" s="24"/>
      <c r="C1607" s="30"/>
      <c r="D1607" s="28"/>
      <c r="E1607" s="31"/>
      <c r="F1607" s="31"/>
      <c r="G1607" s="31"/>
      <c r="H1607" s="27"/>
      <c r="I1607" s="28"/>
      <c r="L1607" s="33"/>
      <c r="N1607" s="34"/>
      <c r="O1607" s="36"/>
      <c r="Q1607" s="24"/>
      <c r="R1607" s="24"/>
      <c r="S1607" s="64"/>
    </row>
    <row r="1608" spans="1:24">
      <c r="A1608" s="31"/>
      <c r="B1608" s="24"/>
      <c r="C1608" s="30"/>
      <c r="D1608" s="28"/>
      <c r="E1608" s="31"/>
      <c r="F1608" s="31"/>
      <c r="G1608" s="31"/>
      <c r="H1608" s="27"/>
      <c r="I1608" s="28"/>
      <c r="L1608" s="33"/>
      <c r="N1608" s="34"/>
      <c r="O1608" s="36"/>
      <c r="Q1608" s="24"/>
      <c r="R1608" s="24"/>
      <c r="S1608" s="64"/>
    </row>
    <row r="1609" spans="1:24">
      <c r="A1609" s="31"/>
      <c r="B1609" s="24"/>
      <c r="C1609" s="30"/>
      <c r="D1609" s="28"/>
      <c r="E1609" s="31"/>
      <c r="F1609" s="31"/>
      <c r="G1609" s="31"/>
      <c r="H1609" s="27"/>
      <c r="I1609" s="28"/>
      <c r="L1609" s="33"/>
      <c r="N1609" s="34"/>
      <c r="O1609" s="36"/>
      <c r="Q1609" s="24"/>
      <c r="R1609" s="24"/>
      <c r="S1609" s="64"/>
    </row>
    <row r="1610" spans="1:24">
      <c r="A1610" s="31"/>
      <c r="B1610" s="24"/>
      <c r="C1610" s="30"/>
      <c r="D1610" s="28"/>
      <c r="E1610" s="31"/>
      <c r="F1610" s="31"/>
      <c r="G1610" s="31"/>
      <c r="H1610" s="27"/>
      <c r="I1610" s="28"/>
      <c r="L1610" s="33"/>
      <c r="N1610" s="34"/>
      <c r="O1610" s="36"/>
      <c r="Q1610" s="24"/>
      <c r="R1610" s="24"/>
      <c r="S1610" s="64"/>
    </row>
    <row r="1611" spans="1:24">
      <c r="A1611" s="31"/>
      <c r="B1611" s="24"/>
      <c r="C1611" s="30"/>
      <c r="D1611" s="28"/>
      <c r="E1611" s="31"/>
      <c r="F1611" s="31"/>
      <c r="G1611" s="31"/>
      <c r="H1611" s="27"/>
      <c r="I1611" s="28"/>
      <c r="L1611" s="33"/>
      <c r="N1611" s="34"/>
      <c r="O1611" s="36"/>
      <c r="Q1611" s="24"/>
      <c r="R1611" s="24"/>
      <c r="S1611" s="64"/>
    </row>
    <row r="1612" spans="1:24">
      <c r="A1612" s="31"/>
      <c r="B1612" s="24"/>
      <c r="C1612" s="30"/>
      <c r="D1612" s="28"/>
      <c r="E1612" s="31"/>
      <c r="F1612" s="31"/>
      <c r="G1612" s="31"/>
      <c r="H1612" s="27"/>
      <c r="I1612" s="28"/>
      <c r="L1612" s="33"/>
      <c r="N1612" s="34"/>
      <c r="O1612" s="36"/>
      <c r="Q1612" s="24"/>
      <c r="R1612" s="24"/>
      <c r="S1612" s="64"/>
    </row>
    <row r="1613" spans="1:24">
      <c r="A1613" s="31"/>
      <c r="B1613" s="24"/>
      <c r="C1613" s="30"/>
      <c r="D1613" s="28"/>
      <c r="E1613" s="31"/>
      <c r="F1613" s="31"/>
      <c r="G1613" s="31"/>
      <c r="H1613" s="27"/>
      <c r="I1613" s="28"/>
      <c r="L1613" s="33"/>
      <c r="N1613" s="34"/>
      <c r="O1613" s="36"/>
      <c r="Q1613" s="24"/>
      <c r="R1613" s="24"/>
      <c r="S1613" s="64"/>
    </row>
    <row r="1614" spans="1:24">
      <c r="A1614" s="31"/>
      <c r="B1614" s="24"/>
      <c r="C1614" s="30"/>
      <c r="D1614" s="28"/>
      <c r="E1614" s="31"/>
      <c r="F1614" s="31"/>
      <c r="G1614" s="31"/>
      <c r="H1614" s="27"/>
      <c r="I1614" s="28"/>
      <c r="L1614" s="33"/>
      <c r="N1614" s="34"/>
      <c r="O1614" s="36"/>
      <c r="Q1614" s="24"/>
      <c r="R1614" s="24"/>
      <c r="S1614" s="64"/>
    </row>
    <row r="1615" spans="1:24">
      <c r="A1615" s="31"/>
      <c r="B1615" s="24"/>
      <c r="C1615" s="30"/>
      <c r="D1615" s="28"/>
      <c r="E1615" s="31"/>
      <c r="F1615" s="31"/>
      <c r="G1615" s="31"/>
      <c r="H1615" s="27"/>
      <c r="I1615" s="28"/>
      <c r="L1615" s="33"/>
      <c r="N1615" s="34"/>
      <c r="O1615" s="36"/>
      <c r="Q1615" s="24"/>
      <c r="R1615" s="24"/>
      <c r="S1615" s="64"/>
    </row>
    <row r="1616" spans="1:24">
      <c r="A1616" s="31"/>
      <c r="B1616" s="24"/>
      <c r="C1616" s="30"/>
      <c r="D1616" s="28"/>
      <c r="E1616" s="31"/>
      <c r="F1616" s="31"/>
      <c r="G1616" s="31"/>
      <c r="H1616" s="27"/>
      <c r="I1616" s="28"/>
      <c r="L1616" s="33"/>
      <c r="N1616" s="34"/>
      <c r="O1616" s="36"/>
      <c r="Q1616" s="24"/>
      <c r="R1616" s="24"/>
      <c r="S1616" s="64"/>
    </row>
    <row r="1617" spans="1:19">
      <c r="A1617" s="31"/>
      <c r="B1617" s="24"/>
      <c r="C1617" s="30"/>
      <c r="D1617" s="28"/>
      <c r="E1617" s="31"/>
      <c r="F1617" s="31"/>
      <c r="G1617" s="31"/>
      <c r="H1617" s="27"/>
      <c r="I1617" s="28"/>
      <c r="L1617" s="33"/>
      <c r="N1617" s="34"/>
      <c r="O1617" s="36"/>
      <c r="Q1617" s="24"/>
      <c r="R1617" s="24"/>
      <c r="S1617" s="64"/>
    </row>
    <row r="1618" spans="1:19">
      <c r="A1618" s="31"/>
      <c r="B1618" s="24"/>
      <c r="C1618" s="30"/>
      <c r="D1618" s="28"/>
      <c r="E1618" s="31"/>
      <c r="F1618" s="31"/>
      <c r="G1618" s="31"/>
      <c r="H1618" s="27"/>
      <c r="I1618" s="28"/>
      <c r="L1618" s="33"/>
      <c r="N1618" s="34"/>
      <c r="O1618" s="36"/>
      <c r="Q1618" s="24"/>
      <c r="R1618" s="24"/>
      <c r="S1618" s="64"/>
    </row>
    <row r="1619" spans="1:19">
      <c r="A1619" s="31"/>
      <c r="B1619" s="24"/>
      <c r="C1619" s="30"/>
      <c r="D1619" s="28"/>
      <c r="E1619" s="31"/>
      <c r="F1619" s="31"/>
      <c r="G1619" s="31"/>
      <c r="H1619" s="27"/>
      <c r="I1619" s="28"/>
      <c r="L1619" s="33"/>
      <c r="N1619" s="34"/>
      <c r="O1619" s="36"/>
      <c r="Q1619" s="24"/>
      <c r="R1619" s="24"/>
      <c r="S1619" s="64"/>
    </row>
    <row r="1620" spans="1:19">
      <c r="A1620" s="31"/>
      <c r="B1620" s="24"/>
      <c r="C1620" s="30"/>
      <c r="D1620" s="28"/>
      <c r="E1620" s="31"/>
      <c r="F1620" s="31"/>
      <c r="G1620" s="31"/>
      <c r="H1620" s="27"/>
      <c r="I1620" s="28"/>
      <c r="L1620" s="33"/>
      <c r="N1620" s="34"/>
      <c r="O1620" s="36"/>
      <c r="Q1620" s="24"/>
      <c r="R1620" s="24"/>
      <c r="S1620" s="64"/>
    </row>
    <row r="1621" spans="1:19">
      <c r="A1621" s="31"/>
      <c r="B1621" s="24"/>
      <c r="C1621" s="30"/>
      <c r="D1621" s="28"/>
      <c r="E1621" s="31"/>
      <c r="F1621" s="31"/>
      <c r="G1621" s="31"/>
      <c r="H1621" s="27"/>
      <c r="I1621" s="28"/>
      <c r="L1621" s="33"/>
      <c r="N1621" s="34"/>
      <c r="O1621" s="36"/>
      <c r="Q1621" s="24"/>
      <c r="R1621" s="24"/>
      <c r="S1621" s="64"/>
    </row>
    <row r="1622" spans="1:19">
      <c r="A1622" s="31"/>
      <c r="B1622" s="24"/>
      <c r="C1622" s="30"/>
      <c r="D1622" s="28"/>
      <c r="E1622" s="31"/>
      <c r="F1622" s="31"/>
      <c r="G1622" s="31"/>
      <c r="H1622" s="27"/>
      <c r="I1622" s="28"/>
      <c r="L1622" s="33"/>
      <c r="N1622" s="34"/>
      <c r="O1622" s="36"/>
      <c r="Q1622" s="24"/>
      <c r="R1622" s="24"/>
      <c r="S1622" s="64"/>
    </row>
    <row r="1623" spans="1:19">
      <c r="A1623" s="31"/>
      <c r="B1623" s="24"/>
      <c r="C1623" s="30"/>
      <c r="D1623" s="28"/>
      <c r="E1623" s="31"/>
      <c r="F1623" s="31"/>
      <c r="G1623" s="31"/>
      <c r="H1623" s="27"/>
      <c r="I1623" s="28"/>
      <c r="L1623" s="33"/>
      <c r="N1623" s="34"/>
      <c r="O1623" s="36"/>
      <c r="Q1623" s="24"/>
      <c r="R1623" s="24"/>
      <c r="S1623" s="64"/>
    </row>
    <row r="1624" spans="1:19">
      <c r="A1624" s="31"/>
      <c r="B1624" s="24"/>
      <c r="C1624" s="30"/>
      <c r="D1624" s="28"/>
      <c r="E1624" s="31"/>
      <c r="F1624" s="31"/>
      <c r="G1624" s="31"/>
      <c r="H1624" s="27"/>
      <c r="I1624" s="28"/>
      <c r="L1624" s="33"/>
      <c r="N1624" s="34"/>
      <c r="O1624" s="36"/>
      <c r="Q1624" s="24"/>
      <c r="R1624" s="24"/>
      <c r="S1624" s="64"/>
    </row>
    <row r="1625" spans="1:19">
      <c r="A1625" s="31"/>
      <c r="B1625" s="24"/>
      <c r="C1625" s="30"/>
      <c r="D1625" s="28"/>
      <c r="E1625" s="31"/>
      <c r="F1625" s="31"/>
      <c r="G1625" s="31"/>
      <c r="H1625" s="27"/>
      <c r="I1625" s="28"/>
      <c r="L1625" s="33"/>
      <c r="N1625" s="34"/>
      <c r="O1625" s="36"/>
      <c r="Q1625" s="24"/>
      <c r="R1625" s="24"/>
      <c r="S1625" s="64"/>
    </row>
    <row r="1626" spans="1:19">
      <c r="A1626" s="31"/>
      <c r="B1626" s="24"/>
      <c r="C1626" s="30"/>
      <c r="D1626" s="28"/>
      <c r="E1626" s="31"/>
      <c r="F1626" s="31"/>
      <c r="G1626" s="31"/>
      <c r="H1626" s="27"/>
      <c r="I1626" s="28"/>
      <c r="L1626" s="33"/>
      <c r="N1626" s="34"/>
      <c r="O1626" s="36"/>
      <c r="Q1626" s="24"/>
      <c r="R1626" s="24"/>
      <c r="S1626" s="64"/>
    </row>
    <row r="1627" spans="1:19">
      <c r="A1627" s="31"/>
      <c r="B1627" s="24"/>
      <c r="C1627" s="30"/>
      <c r="D1627" s="28"/>
      <c r="E1627" s="31"/>
      <c r="F1627" s="31"/>
      <c r="G1627" s="31"/>
      <c r="H1627" s="27"/>
      <c r="I1627" s="28"/>
      <c r="L1627" s="33"/>
      <c r="N1627" s="34"/>
      <c r="O1627" s="36"/>
      <c r="Q1627" s="24"/>
      <c r="R1627" s="24"/>
      <c r="S1627" s="64"/>
    </row>
    <row r="1628" spans="1:19">
      <c r="A1628" s="31"/>
      <c r="B1628" s="24"/>
      <c r="C1628" s="30"/>
      <c r="D1628" s="28"/>
      <c r="E1628" s="31"/>
      <c r="F1628" s="31"/>
      <c r="G1628" s="31"/>
      <c r="H1628" s="27"/>
      <c r="I1628" s="28"/>
      <c r="L1628" s="33"/>
      <c r="N1628" s="34"/>
      <c r="O1628" s="36"/>
      <c r="Q1628" s="24"/>
      <c r="R1628" s="24"/>
      <c r="S1628" s="64"/>
    </row>
    <row r="1629" spans="1:19">
      <c r="A1629" s="31"/>
      <c r="B1629" s="24"/>
      <c r="C1629" s="30"/>
      <c r="D1629" s="28"/>
      <c r="E1629" s="31"/>
      <c r="F1629" s="31"/>
      <c r="G1629" s="31"/>
      <c r="H1629" s="27"/>
      <c r="I1629" s="28"/>
      <c r="L1629" s="33"/>
      <c r="N1629" s="34"/>
      <c r="O1629" s="36"/>
      <c r="Q1629" s="24"/>
      <c r="R1629" s="24"/>
      <c r="S1629" s="64"/>
    </row>
    <row r="1630" spans="1:19">
      <c r="A1630" s="31"/>
      <c r="B1630" s="24"/>
      <c r="C1630" s="30"/>
      <c r="D1630" s="28"/>
      <c r="E1630" s="31"/>
      <c r="F1630" s="31"/>
      <c r="G1630" s="31"/>
      <c r="H1630" s="27"/>
      <c r="I1630" s="28"/>
      <c r="L1630" s="33"/>
      <c r="N1630" s="34"/>
      <c r="O1630" s="36"/>
      <c r="Q1630" s="24"/>
      <c r="R1630" s="24"/>
      <c r="S1630" s="64"/>
    </row>
    <row r="1631" spans="1:19">
      <c r="A1631" s="31"/>
      <c r="B1631" s="24"/>
      <c r="C1631" s="30"/>
      <c r="D1631" s="28"/>
      <c r="E1631" s="31"/>
      <c r="F1631" s="31"/>
      <c r="G1631" s="31"/>
      <c r="H1631" s="27"/>
      <c r="I1631" s="28"/>
      <c r="L1631" s="33"/>
      <c r="N1631" s="34"/>
      <c r="O1631" s="36"/>
      <c r="Q1631" s="24"/>
      <c r="R1631" s="24"/>
      <c r="S1631" s="64"/>
    </row>
    <row r="1632" spans="1:19">
      <c r="A1632" s="31"/>
      <c r="B1632" s="24"/>
      <c r="C1632" s="30"/>
      <c r="D1632" s="28"/>
      <c r="E1632" s="31"/>
      <c r="F1632" s="31"/>
      <c r="G1632" s="31"/>
      <c r="H1632" s="27"/>
      <c r="I1632" s="28"/>
      <c r="L1632" s="33"/>
      <c r="N1632" s="34"/>
      <c r="O1632" s="36"/>
      <c r="Q1632" s="24"/>
      <c r="R1632" s="24"/>
      <c r="S1632" s="64"/>
    </row>
    <row r="1633" spans="1:19">
      <c r="A1633" s="31"/>
      <c r="B1633" s="24"/>
      <c r="C1633" s="30"/>
      <c r="D1633" s="28"/>
      <c r="E1633" s="31"/>
      <c r="F1633" s="31"/>
      <c r="G1633" s="31"/>
      <c r="H1633" s="27"/>
      <c r="I1633" s="28"/>
      <c r="L1633" s="33"/>
      <c r="N1633" s="34"/>
      <c r="O1633" s="36"/>
      <c r="Q1633" s="24"/>
      <c r="R1633" s="24"/>
      <c r="S1633" s="64"/>
    </row>
    <row r="1634" spans="1:19">
      <c r="A1634" s="31"/>
      <c r="B1634" s="24"/>
      <c r="C1634" s="30"/>
      <c r="D1634" s="28"/>
      <c r="E1634" s="31"/>
      <c r="F1634" s="31"/>
      <c r="G1634" s="31"/>
      <c r="H1634" s="27"/>
      <c r="I1634" s="28"/>
      <c r="L1634" s="33"/>
      <c r="N1634" s="34"/>
      <c r="O1634" s="36"/>
      <c r="Q1634" s="24"/>
      <c r="R1634" s="24"/>
      <c r="S1634" s="64"/>
    </row>
    <row r="1635" spans="1:19">
      <c r="A1635" s="31"/>
      <c r="B1635" s="24"/>
      <c r="C1635" s="30"/>
      <c r="D1635" s="28"/>
      <c r="E1635" s="31"/>
      <c r="F1635" s="31"/>
      <c r="G1635" s="31"/>
      <c r="H1635" s="27"/>
      <c r="I1635" s="28"/>
      <c r="L1635" s="33"/>
      <c r="N1635" s="34"/>
      <c r="O1635" s="36"/>
      <c r="Q1635" s="24"/>
      <c r="R1635" s="24"/>
      <c r="S1635" s="64"/>
    </row>
    <row r="1636" spans="1:19">
      <c r="A1636" s="31"/>
      <c r="B1636" s="24"/>
      <c r="C1636" s="30"/>
      <c r="D1636" s="28"/>
      <c r="E1636" s="31"/>
      <c r="F1636" s="31"/>
      <c r="G1636" s="31"/>
      <c r="H1636" s="27"/>
      <c r="I1636" s="28"/>
      <c r="L1636" s="33"/>
      <c r="N1636" s="34"/>
      <c r="O1636" s="36"/>
      <c r="Q1636" s="24"/>
      <c r="R1636" s="24"/>
      <c r="S1636" s="64"/>
    </row>
    <row r="1637" spans="1:19">
      <c r="A1637" s="31"/>
      <c r="B1637" s="24"/>
      <c r="C1637" s="30"/>
      <c r="D1637" s="28"/>
      <c r="E1637" s="31"/>
      <c r="F1637" s="31"/>
      <c r="G1637" s="31"/>
      <c r="H1637" s="27"/>
      <c r="I1637" s="28"/>
      <c r="L1637" s="33"/>
      <c r="N1637" s="34"/>
      <c r="O1637" s="36"/>
      <c r="Q1637" s="24"/>
      <c r="R1637" s="24"/>
      <c r="S1637" s="64"/>
    </row>
    <row r="1638" spans="1:19">
      <c r="A1638" s="31"/>
      <c r="B1638" s="24"/>
      <c r="C1638" s="30"/>
      <c r="D1638" s="28"/>
      <c r="E1638" s="31"/>
      <c r="F1638" s="31"/>
      <c r="G1638" s="31"/>
      <c r="H1638" s="27"/>
      <c r="I1638" s="28"/>
      <c r="L1638" s="33"/>
      <c r="N1638" s="34"/>
      <c r="O1638" s="36"/>
      <c r="Q1638" s="24"/>
      <c r="R1638" s="24"/>
      <c r="S1638" s="64"/>
    </row>
    <row r="1639" spans="1:19">
      <c r="A1639" s="31"/>
      <c r="B1639" s="24"/>
      <c r="C1639" s="30"/>
      <c r="D1639" s="28"/>
      <c r="E1639" s="31"/>
      <c r="F1639" s="31"/>
      <c r="G1639" s="31"/>
      <c r="H1639" s="27"/>
      <c r="I1639" s="28"/>
      <c r="L1639" s="33"/>
      <c r="N1639" s="34"/>
      <c r="O1639" s="36"/>
      <c r="Q1639" s="24"/>
      <c r="R1639" s="24"/>
      <c r="S1639" s="64"/>
    </row>
    <row r="1640" spans="1:19">
      <c r="A1640" s="31"/>
      <c r="B1640" s="24"/>
      <c r="C1640" s="30"/>
      <c r="D1640" s="28"/>
      <c r="E1640" s="31"/>
      <c r="F1640" s="31"/>
      <c r="G1640" s="31"/>
      <c r="H1640" s="27"/>
      <c r="I1640" s="28"/>
      <c r="L1640" s="33"/>
      <c r="N1640" s="34"/>
      <c r="O1640" s="36"/>
      <c r="Q1640" s="24"/>
      <c r="R1640" s="24"/>
      <c r="S1640" s="64"/>
    </row>
    <row r="1641" spans="1:19">
      <c r="A1641" s="31"/>
      <c r="B1641" s="24"/>
      <c r="C1641" s="30"/>
      <c r="D1641" s="28"/>
      <c r="E1641" s="31"/>
      <c r="F1641" s="31"/>
      <c r="G1641" s="31"/>
      <c r="H1641" s="27"/>
      <c r="I1641" s="28"/>
      <c r="L1641" s="33"/>
      <c r="N1641" s="34"/>
      <c r="O1641" s="36"/>
      <c r="Q1641" s="24"/>
      <c r="R1641" s="24"/>
      <c r="S1641" s="64"/>
    </row>
    <row r="1642" spans="1:19">
      <c r="A1642" s="31"/>
      <c r="B1642" s="24"/>
      <c r="C1642" s="30"/>
      <c r="D1642" s="28"/>
      <c r="E1642" s="31"/>
      <c r="F1642" s="31"/>
      <c r="G1642" s="31"/>
      <c r="H1642" s="27"/>
      <c r="I1642" s="28"/>
      <c r="L1642" s="33"/>
      <c r="N1642" s="34"/>
      <c r="O1642" s="36"/>
      <c r="Q1642" s="24"/>
      <c r="R1642" s="24"/>
      <c r="S1642" s="64"/>
    </row>
    <row r="1643" spans="1:19">
      <c r="A1643" s="31"/>
      <c r="B1643" s="24"/>
      <c r="C1643" s="30"/>
      <c r="D1643" s="28"/>
      <c r="E1643" s="31"/>
      <c r="F1643" s="31"/>
      <c r="G1643" s="31"/>
      <c r="H1643" s="27"/>
      <c r="I1643" s="28"/>
      <c r="L1643" s="33"/>
      <c r="N1643" s="34"/>
      <c r="O1643" s="36"/>
      <c r="Q1643" s="24"/>
      <c r="R1643" s="24"/>
      <c r="S1643" s="64"/>
    </row>
    <row r="1644" spans="1:19">
      <c r="A1644" s="31"/>
      <c r="B1644" s="24"/>
      <c r="C1644" s="30"/>
      <c r="D1644" s="28"/>
      <c r="E1644" s="31"/>
      <c r="F1644" s="31"/>
      <c r="G1644" s="31"/>
      <c r="H1644" s="27"/>
      <c r="I1644" s="28"/>
      <c r="L1644" s="33"/>
      <c r="N1644" s="34"/>
      <c r="O1644" s="36"/>
      <c r="Q1644" s="24"/>
      <c r="R1644" s="24"/>
      <c r="S1644" s="64"/>
    </row>
    <row r="1645" spans="1:19">
      <c r="A1645" s="31"/>
      <c r="B1645" s="24"/>
      <c r="C1645" s="30"/>
      <c r="D1645" s="28"/>
      <c r="E1645" s="31"/>
      <c r="F1645" s="31"/>
      <c r="G1645" s="31"/>
      <c r="H1645" s="27"/>
      <c r="I1645" s="28"/>
      <c r="L1645" s="33"/>
      <c r="N1645" s="34"/>
      <c r="O1645" s="36"/>
      <c r="Q1645" s="24"/>
      <c r="R1645" s="24"/>
      <c r="S1645" s="64"/>
    </row>
    <row r="1646" spans="1:19">
      <c r="A1646" s="31"/>
      <c r="B1646" s="24"/>
      <c r="C1646" s="30"/>
      <c r="D1646" s="28"/>
      <c r="E1646" s="31"/>
      <c r="F1646" s="31"/>
      <c r="G1646" s="31"/>
      <c r="H1646" s="27"/>
      <c r="I1646" s="28"/>
      <c r="L1646" s="33"/>
      <c r="N1646" s="34"/>
      <c r="O1646" s="36"/>
      <c r="Q1646" s="24"/>
      <c r="R1646" s="24"/>
      <c r="S1646" s="64"/>
    </row>
    <row r="1647" spans="1:19">
      <c r="A1647" s="31"/>
      <c r="B1647" s="24"/>
      <c r="C1647" s="30"/>
      <c r="D1647" s="28"/>
      <c r="E1647" s="31"/>
      <c r="F1647" s="31"/>
      <c r="G1647" s="31"/>
      <c r="H1647" s="27"/>
      <c r="I1647" s="28"/>
      <c r="L1647" s="33"/>
      <c r="N1647" s="34"/>
      <c r="O1647" s="36"/>
      <c r="Q1647" s="24"/>
      <c r="R1647" s="24"/>
      <c r="S1647" s="64"/>
    </row>
    <row r="1648" spans="1:19">
      <c r="A1648" s="31"/>
      <c r="B1648" s="24"/>
      <c r="C1648" s="30"/>
      <c r="D1648" s="28"/>
      <c r="E1648" s="31"/>
      <c r="F1648" s="31"/>
      <c r="G1648" s="31"/>
      <c r="H1648" s="27"/>
      <c r="I1648" s="28"/>
      <c r="L1648" s="33"/>
      <c r="N1648" s="34"/>
      <c r="O1648" s="36"/>
      <c r="Q1648" s="24"/>
      <c r="R1648" s="24"/>
      <c r="S1648" s="64"/>
    </row>
    <row r="1649" spans="1:19">
      <c r="A1649" s="31"/>
      <c r="B1649" s="24"/>
      <c r="C1649" s="30"/>
      <c r="D1649" s="28"/>
      <c r="E1649" s="31"/>
      <c r="F1649" s="31"/>
      <c r="G1649" s="31"/>
      <c r="H1649" s="27"/>
      <c r="I1649" s="28"/>
      <c r="L1649" s="33"/>
      <c r="N1649" s="34"/>
      <c r="O1649" s="36"/>
      <c r="Q1649" s="24"/>
      <c r="R1649" s="24"/>
      <c r="S1649" s="64"/>
    </row>
    <row r="1650" spans="1:19">
      <c r="A1650" s="31"/>
      <c r="B1650" s="24"/>
      <c r="C1650" s="30"/>
      <c r="D1650" s="28"/>
      <c r="E1650" s="31"/>
      <c r="F1650" s="31"/>
      <c r="G1650" s="31"/>
      <c r="H1650" s="27"/>
      <c r="I1650" s="28"/>
      <c r="L1650" s="33"/>
      <c r="N1650" s="34"/>
      <c r="O1650" s="36"/>
      <c r="Q1650" s="24"/>
      <c r="R1650" s="24"/>
      <c r="S1650" s="64"/>
    </row>
    <row r="1651" spans="1:19">
      <c r="A1651" s="31"/>
      <c r="B1651" s="24"/>
      <c r="C1651" s="30"/>
      <c r="D1651" s="28"/>
      <c r="E1651" s="31"/>
      <c r="F1651" s="31"/>
      <c r="G1651" s="31"/>
      <c r="H1651" s="27"/>
      <c r="I1651" s="28"/>
      <c r="L1651" s="33"/>
      <c r="N1651" s="34"/>
      <c r="O1651" s="36"/>
      <c r="Q1651" s="24"/>
      <c r="R1651" s="24"/>
      <c r="S1651" s="64"/>
    </row>
    <row r="1652" spans="1:19">
      <c r="A1652" s="31"/>
      <c r="B1652" s="24"/>
      <c r="C1652" s="30"/>
      <c r="D1652" s="28"/>
      <c r="E1652" s="31"/>
      <c r="F1652" s="31"/>
      <c r="G1652" s="31"/>
      <c r="H1652" s="27"/>
      <c r="I1652" s="28"/>
      <c r="L1652" s="33"/>
      <c r="N1652" s="34"/>
      <c r="O1652" s="36"/>
      <c r="Q1652" s="24"/>
      <c r="R1652" s="24"/>
      <c r="S1652" s="64"/>
    </row>
    <row r="1653" spans="1:19">
      <c r="A1653" s="31"/>
      <c r="B1653" s="24"/>
      <c r="C1653" s="30"/>
      <c r="D1653" s="28"/>
      <c r="E1653" s="31"/>
      <c r="F1653" s="31"/>
      <c r="G1653" s="31"/>
      <c r="H1653" s="27"/>
      <c r="I1653" s="28"/>
      <c r="L1653" s="33"/>
      <c r="N1653" s="34"/>
      <c r="O1653" s="36"/>
      <c r="Q1653" s="24"/>
      <c r="R1653" s="24"/>
      <c r="S1653" s="64"/>
    </row>
    <row r="1654" spans="1:19">
      <c r="A1654" s="31"/>
      <c r="B1654" s="24"/>
      <c r="C1654" s="30"/>
      <c r="D1654" s="28"/>
      <c r="E1654" s="31"/>
      <c r="F1654" s="31"/>
      <c r="G1654" s="31"/>
      <c r="H1654" s="27"/>
      <c r="I1654" s="28"/>
      <c r="L1654" s="33"/>
      <c r="N1654" s="34"/>
      <c r="O1654" s="36"/>
      <c r="Q1654" s="24"/>
      <c r="R1654" s="24"/>
      <c r="S1654" s="64"/>
    </row>
    <row r="1655" spans="1:19">
      <c r="A1655" s="31"/>
      <c r="B1655" s="24"/>
      <c r="C1655" s="30"/>
      <c r="D1655" s="28"/>
      <c r="E1655" s="31"/>
      <c r="F1655" s="31"/>
      <c r="G1655" s="31"/>
      <c r="L1655" s="33"/>
      <c r="Q1655" s="24"/>
      <c r="R1655" s="24"/>
      <c r="S1655" s="64"/>
    </row>
    <row r="1656" spans="1:19">
      <c r="A1656" s="31"/>
      <c r="B1656" s="24"/>
      <c r="C1656" s="30"/>
      <c r="D1656" s="28"/>
      <c r="E1656" s="31"/>
      <c r="F1656" s="31"/>
      <c r="G1656" s="31"/>
      <c r="L1656" s="33"/>
      <c r="Q1656" s="24"/>
      <c r="R1656" s="24"/>
      <c r="S1656" s="64"/>
    </row>
    <row r="1657" spans="1:19">
      <c r="A1657" s="31"/>
      <c r="B1657" s="24"/>
      <c r="C1657" s="30"/>
      <c r="D1657" s="28"/>
      <c r="E1657" s="31"/>
      <c r="F1657" s="31"/>
      <c r="G1657" s="31"/>
      <c r="L1657" s="33"/>
      <c r="Q1657" s="24"/>
      <c r="R1657" s="24"/>
      <c r="S1657" s="64"/>
    </row>
    <row r="1658" spans="1:19">
      <c r="A1658" s="31"/>
      <c r="B1658" s="24"/>
      <c r="C1658" s="30"/>
      <c r="D1658" s="28"/>
      <c r="E1658" s="31"/>
      <c r="F1658" s="31"/>
      <c r="G1658" s="31"/>
      <c r="L1658" s="33"/>
      <c r="Q1658" s="24"/>
      <c r="R1658" s="24"/>
      <c r="S1658" s="64"/>
    </row>
    <row r="1659" spans="1:19">
      <c r="A1659" s="31"/>
      <c r="B1659" s="24"/>
      <c r="C1659" s="30"/>
      <c r="D1659" s="28"/>
      <c r="E1659" s="31"/>
      <c r="F1659" s="31"/>
      <c r="G1659" s="31"/>
      <c r="L1659" s="33"/>
      <c r="Q1659" s="24"/>
      <c r="R1659" s="24"/>
      <c r="S1659" s="64"/>
    </row>
    <row r="1660" spans="1:19">
      <c r="A1660" s="31"/>
      <c r="B1660" s="24"/>
      <c r="C1660" s="30"/>
      <c r="D1660" s="28"/>
      <c r="E1660" s="31"/>
      <c r="F1660" s="31"/>
      <c r="G1660" s="31"/>
      <c r="L1660" s="33"/>
      <c r="Q1660" s="24"/>
      <c r="R1660" s="24"/>
      <c r="S1660" s="64"/>
    </row>
    <row r="1661" spans="1:19">
      <c r="A1661" s="31"/>
      <c r="B1661" s="24"/>
      <c r="C1661" s="30"/>
      <c r="D1661" s="28"/>
      <c r="E1661" s="31"/>
      <c r="F1661" s="31"/>
      <c r="G1661" s="31"/>
      <c r="L1661" s="33"/>
      <c r="Q1661" s="24"/>
      <c r="R1661" s="24"/>
      <c r="S1661" s="64"/>
    </row>
    <row r="1662" spans="1:19">
      <c r="A1662" s="31"/>
      <c r="B1662" s="24"/>
      <c r="C1662" s="30"/>
      <c r="D1662" s="28"/>
      <c r="E1662" s="31"/>
      <c r="F1662" s="31"/>
      <c r="G1662" s="31"/>
      <c r="L1662" s="33"/>
      <c r="Q1662" s="24"/>
      <c r="R1662" s="24"/>
      <c r="S1662" s="64"/>
    </row>
    <row r="1663" spans="1:19">
      <c r="A1663" s="31"/>
      <c r="B1663" s="24"/>
      <c r="C1663" s="30"/>
      <c r="D1663" s="28"/>
      <c r="E1663" s="31"/>
      <c r="F1663" s="31"/>
      <c r="G1663" s="31"/>
      <c r="L1663" s="33"/>
      <c r="Q1663" s="24"/>
      <c r="R1663" s="24"/>
      <c r="S1663" s="64"/>
    </row>
    <row r="1664" spans="1:19">
      <c r="A1664" s="31"/>
      <c r="B1664" s="24"/>
      <c r="C1664" s="30"/>
      <c r="D1664" s="28"/>
      <c r="E1664" s="31"/>
      <c r="F1664" s="31"/>
      <c r="G1664" s="31"/>
      <c r="L1664" s="33"/>
      <c r="Q1664" s="24"/>
      <c r="R1664" s="24"/>
      <c r="S1664" s="64"/>
    </row>
    <row r="1665" spans="1:19">
      <c r="A1665" s="31"/>
      <c r="B1665" s="24"/>
      <c r="C1665" s="30"/>
      <c r="D1665" s="28"/>
      <c r="E1665" s="31"/>
      <c r="F1665" s="31"/>
      <c r="G1665" s="31"/>
      <c r="L1665" s="33"/>
      <c r="Q1665" s="24"/>
      <c r="R1665" s="24"/>
      <c r="S1665" s="64"/>
    </row>
    <row r="1666" spans="1:19">
      <c r="A1666" s="31"/>
      <c r="B1666" s="24"/>
      <c r="C1666" s="30"/>
      <c r="D1666" s="28"/>
      <c r="E1666" s="31"/>
      <c r="F1666" s="31"/>
      <c r="G1666" s="31"/>
      <c r="L1666" s="33"/>
      <c r="Q1666" s="24"/>
      <c r="R1666" s="24"/>
      <c r="S1666" s="64"/>
    </row>
    <row r="1667" spans="1:19">
      <c r="A1667" s="31"/>
      <c r="B1667" s="24"/>
      <c r="C1667" s="30"/>
      <c r="D1667" s="28"/>
      <c r="E1667" s="31"/>
      <c r="F1667" s="31"/>
      <c r="G1667" s="31"/>
      <c r="L1667" s="33"/>
      <c r="Q1667" s="24"/>
      <c r="R1667" s="24"/>
      <c r="S1667" s="64"/>
    </row>
    <row r="1668" spans="1:19">
      <c r="A1668" s="31"/>
      <c r="B1668" s="24"/>
      <c r="C1668" s="30"/>
      <c r="D1668" s="28"/>
      <c r="E1668" s="31"/>
      <c r="F1668" s="31"/>
      <c r="G1668" s="31"/>
      <c r="L1668" s="33"/>
      <c r="Q1668" s="24"/>
      <c r="R1668" s="24"/>
      <c r="S1668" s="64"/>
    </row>
    <row r="1669" spans="1:19">
      <c r="A1669" s="31"/>
      <c r="B1669" s="24"/>
      <c r="C1669" s="30"/>
      <c r="D1669" s="28"/>
      <c r="E1669" s="31"/>
      <c r="F1669" s="31"/>
      <c r="G1669" s="31"/>
      <c r="L1669" s="33"/>
      <c r="Q1669" s="24"/>
      <c r="R1669" s="24"/>
      <c r="S1669" s="64"/>
    </row>
    <row r="1670" spans="1:19">
      <c r="A1670" s="31"/>
      <c r="B1670" s="24"/>
      <c r="C1670" s="30"/>
      <c r="D1670" s="28"/>
      <c r="E1670" s="31"/>
      <c r="F1670" s="31"/>
      <c r="G1670" s="31"/>
      <c r="L1670" s="33"/>
      <c r="Q1670" s="24"/>
      <c r="R1670" s="24"/>
      <c r="S1670" s="64"/>
    </row>
    <row r="1671" spans="1:19">
      <c r="A1671" s="31"/>
      <c r="B1671" s="24"/>
      <c r="C1671" s="30"/>
      <c r="D1671" s="28"/>
      <c r="E1671" s="31"/>
      <c r="F1671" s="31"/>
      <c r="G1671" s="31"/>
      <c r="L1671" s="33"/>
      <c r="Q1671" s="24"/>
      <c r="R1671" s="24"/>
      <c r="S1671" s="64"/>
    </row>
    <row r="1672" spans="1:19">
      <c r="A1672" s="31"/>
      <c r="B1672" s="24"/>
      <c r="C1672" s="30"/>
      <c r="D1672" s="28"/>
      <c r="E1672" s="31"/>
      <c r="F1672" s="31"/>
      <c r="G1672" s="31"/>
      <c r="L1672" s="33"/>
      <c r="Q1672" s="24"/>
      <c r="R1672" s="24"/>
      <c r="S1672" s="64"/>
    </row>
    <row r="1673" spans="1:19">
      <c r="A1673" s="31"/>
      <c r="B1673" s="24"/>
      <c r="C1673" s="30"/>
      <c r="D1673" s="28"/>
      <c r="E1673" s="31"/>
      <c r="F1673" s="31"/>
      <c r="G1673" s="31"/>
      <c r="L1673" s="33"/>
      <c r="Q1673" s="24"/>
      <c r="R1673" s="24"/>
      <c r="S1673" s="64"/>
    </row>
    <row r="1674" spans="1:19">
      <c r="A1674" s="31"/>
      <c r="B1674" s="24"/>
      <c r="C1674" s="30"/>
      <c r="D1674" s="28"/>
      <c r="E1674" s="31"/>
      <c r="F1674" s="31"/>
      <c r="G1674" s="31"/>
      <c r="L1674" s="33"/>
      <c r="Q1674" s="24"/>
      <c r="R1674" s="24"/>
      <c r="S1674" s="64"/>
    </row>
    <row r="1675" spans="1:19">
      <c r="A1675" s="31"/>
      <c r="B1675" s="24"/>
      <c r="C1675" s="30"/>
      <c r="D1675" s="28"/>
      <c r="E1675" s="31"/>
      <c r="F1675" s="31"/>
      <c r="G1675" s="31"/>
      <c r="L1675" s="33"/>
      <c r="Q1675" s="24"/>
      <c r="R1675" s="24"/>
      <c r="S1675" s="64"/>
    </row>
    <row r="1676" spans="1:19">
      <c r="A1676" s="31"/>
      <c r="B1676" s="24"/>
      <c r="C1676" s="30"/>
      <c r="D1676" s="28"/>
      <c r="E1676" s="31"/>
      <c r="F1676" s="31"/>
      <c r="G1676" s="31"/>
      <c r="L1676" s="33"/>
      <c r="Q1676" s="24"/>
      <c r="R1676" s="24"/>
      <c r="S1676" s="64"/>
    </row>
    <row r="1677" spans="1:19">
      <c r="A1677" s="31"/>
      <c r="B1677" s="24"/>
      <c r="C1677" s="30"/>
      <c r="D1677" s="28"/>
      <c r="E1677" s="31"/>
      <c r="F1677" s="31"/>
      <c r="G1677" s="31"/>
      <c r="L1677" s="33"/>
      <c r="Q1677" s="24"/>
      <c r="R1677" s="24"/>
      <c r="S1677" s="64"/>
    </row>
    <row r="1678" spans="1:19">
      <c r="A1678" s="31"/>
      <c r="B1678" s="24"/>
      <c r="C1678" s="30"/>
      <c r="D1678" s="28"/>
      <c r="E1678" s="31"/>
      <c r="F1678" s="31"/>
      <c r="G1678" s="31"/>
      <c r="L1678" s="33"/>
      <c r="Q1678" s="24"/>
      <c r="R1678" s="24"/>
      <c r="S1678" s="64"/>
    </row>
    <row r="1679" spans="1:19">
      <c r="A1679" s="31"/>
      <c r="B1679" s="24"/>
      <c r="C1679" s="30"/>
      <c r="D1679" s="28"/>
      <c r="E1679" s="31"/>
      <c r="F1679" s="31"/>
      <c r="G1679" s="31"/>
      <c r="L1679" s="33"/>
      <c r="Q1679" s="24"/>
      <c r="R1679" s="24"/>
      <c r="S1679" s="64"/>
    </row>
    <row r="1680" spans="1:19">
      <c r="A1680" s="31"/>
      <c r="B1680" s="24"/>
      <c r="C1680" s="30"/>
      <c r="D1680" s="28"/>
      <c r="E1680" s="31"/>
      <c r="F1680" s="31"/>
      <c r="G1680" s="31"/>
      <c r="L1680" s="33"/>
      <c r="Q1680" s="24"/>
      <c r="R1680" s="24"/>
      <c r="S1680" s="64"/>
    </row>
    <row r="1681" spans="1:19">
      <c r="A1681" s="31"/>
      <c r="B1681" s="24"/>
      <c r="C1681" s="30"/>
      <c r="D1681" s="28"/>
      <c r="E1681" s="31"/>
      <c r="F1681" s="31"/>
      <c r="G1681" s="31"/>
      <c r="L1681" s="33"/>
      <c r="Q1681" s="24"/>
      <c r="R1681" s="24"/>
      <c r="S1681" s="64"/>
    </row>
    <row r="1682" spans="1:19">
      <c r="A1682" s="31"/>
      <c r="B1682" s="24"/>
      <c r="C1682" s="30"/>
      <c r="D1682" s="28"/>
      <c r="E1682" s="31"/>
      <c r="F1682" s="31"/>
      <c r="G1682" s="31"/>
      <c r="L1682" s="33"/>
      <c r="Q1682" s="24"/>
      <c r="R1682" s="24"/>
      <c r="S1682" s="64"/>
    </row>
    <row r="1683" spans="1:19">
      <c r="A1683" s="31"/>
      <c r="B1683" s="24"/>
      <c r="C1683" s="30"/>
      <c r="D1683" s="28"/>
      <c r="E1683" s="31"/>
      <c r="F1683" s="31"/>
      <c r="G1683" s="31"/>
      <c r="L1683" s="33"/>
      <c r="Q1683" s="24"/>
      <c r="R1683" s="24"/>
      <c r="S1683" s="64"/>
    </row>
  </sheetData>
  <sheetProtection selectLockedCells="1"/>
  <dataConsolidate/>
  <phoneticPr fontId="2" type="noConversion"/>
  <conditionalFormatting sqref="J428:K1048576 I1 I312:I421">
    <cfRule type="containsText" dxfId="452" priority="45" operator="containsText" text="VIP">
      <formula>NOT(ISERROR(SEARCH("VIP",I1)))</formula>
    </cfRule>
    <cfRule type="containsText" dxfId="451" priority="46" operator="containsText" text="Normal">
      <formula>NOT(ISERROR(SEARCH("Normal",I1)))</formula>
    </cfRule>
  </conditionalFormatting>
  <conditionalFormatting sqref="S422:S1048576">
    <cfRule type="cellIs" dxfId="450" priority="41" operator="greaterThan">
      <formula>0</formula>
    </cfRule>
    <cfRule type="cellIs" dxfId="449" priority="42" operator="lessThan">
      <formula>0</formula>
    </cfRule>
  </conditionalFormatting>
  <conditionalFormatting sqref="I2:I262">
    <cfRule type="containsText" dxfId="448" priority="39" operator="containsText" text="VIP">
      <formula>NOT(ISERROR(SEARCH("VIP",I2)))</formula>
    </cfRule>
    <cfRule type="containsText" dxfId="447" priority="40" operator="containsText" text="Normal">
      <formula>NOT(ISERROR(SEARCH("Normal",I2)))</formula>
    </cfRule>
  </conditionalFormatting>
  <conditionalFormatting sqref="I263:I264">
    <cfRule type="containsText" dxfId="446" priority="35" operator="containsText" text="VIP">
      <formula>NOT(ISERROR(SEARCH("VIP",I263)))</formula>
    </cfRule>
    <cfRule type="containsText" dxfId="445" priority="36" operator="containsText" text="Normal">
      <formula>NOT(ISERROR(SEARCH("Normal",I263)))</formula>
    </cfRule>
  </conditionalFormatting>
  <conditionalFormatting sqref="I265:I266">
    <cfRule type="containsText" dxfId="444" priority="31" operator="containsText" text="VIP">
      <formula>NOT(ISERROR(SEARCH("VIP",I265)))</formula>
    </cfRule>
    <cfRule type="containsText" dxfId="443" priority="32" operator="containsText" text="Normal">
      <formula>NOT(ISERROR(SEARCH("Normal",I265)))</formula>
    </cfRule>
  </conditionalFormatting>
  <conditionalFormatting sqref="I267:I274">
    <cfRule type="containsText" dxfId="442" priority="27" operator="containsText" text="VIP">
      <formula>NOT(ISERROR(SEARCH("VIP",I267)))</formula>
    </cfRule>
    <cfRule type="containsText" dxfId="441" priority="28" operator="containsText" text="Normal">
      <formula>NOT(ISERROR(SEARCH("Normal",I267)))</formula>
    </cfRule>
  </conditionalFormatting>
  <conditionalFormatting sqref="I275:I279">
    <cfRule type="containsText" dxfId="440" priority="23" operator="containsText" text="VIP">
      <formula>NOT(ISERROR(SEARCH("VIP",I275)))</formula>
    </cfRule>
    <cfRule type="containsText" dxfId="439" priority="24" operator="containsText" text="Normal">
      <formula>NOT(ISERROR(SEARCH("Normal",I275)))</formula>
    </cfRule>
  </conditionalFormatting>
  <conditionalFormatting sqref="I309:I311 I280:I307">
    <cfRule type="containsText" dxfId="438" priority="19" operator="containsText" text="VIP">
      <formula>NOT(ISERROR(SEARCH("VIP",I280)))</formula>
    </cfRule>
    <cfRule type="containsText" dxfId="437" priority="20" operator="containsText" text="Normal">
      <formula>NOT(ISERROR(SEARCH("Normal",I280)))</formula>
    </cfRule>
  </conditionalFormatting>
  <conditionalFormatting sqref="D422:D1048576 D2:D389">
    <cfRule type="cellIs" dxfId="436" priority="9" operator="equal">
      <formula>"Female"</formula>
    </cfRule>
    <cfRule type="cellIs" dxfId="435" priority="10" operator="equal">
      <formula>"Male"</formula>
    </cfRule>
  </conditionalFormatting>
  <conditionalFormatting sqref="I308">
    <cfRule type="containsText" dxfId="434" priority="5" operator="containsText" text="VIP">
      <formula>NOT(ISERROR(SEARCH("VIP",I308)))</formula>
    </cfRule>
    <cfRule type="containsText" dxfId="433" priority="6" operator="containsText" text="Normal">
      <formula>NOT(ISERROR(SEARCH("Normal",I308)))</formula>
    </cfRule>
  </conditionalFormatting>
  <conditionalFormatting sqref="I390:I421">
    <cfRule type="containsText" dxfId="432" priority="3" operator="containsText" text="VIP">
      <formula>NOT(ISERROR(SEARCH("VIP",I390)))</formula>
    </cfRule>
    <cfRule type="containsText" dxfId="431" priority="4" operator="containsText" text="Normal">
      <formula>NOT(ISERROR(SEARCH("Normal",I390)))</formula>
    </cfRule>
  </conditionalFormatting>
  <conditionalFormatting sqref="D390:D421">
    <cfRule type="cellIs" dxfId="430" priority="1" operator="equal">
      <formula>"Female"</formula>
    </cfRule>
    <cfRule type="cellIs" dxfId="429" priority="2" operator="equal">
      <formula>"Male"</formula>
    </cfRule>
  </conditionalFormatting>
  <dataValidations count="2">
    <dataValidation type="list" allowBlank="1" showInputMessage="1" showErrorMessage="1" sqref="D422:D1048576 D2:D417" xr:uid="{9AC1B4FA-8E4D-4059-B8E4-8D7C1224B49E}">
      <formula1>"Male,Female"</formula1>
    </dataValidation>
    <dataValidation type="list" allowBlank="1" showInputMessage="1" showErrorMessage="1" sqref="I2:I417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topLeftCell="U1" zoomScaleNormal="100" workbookViewId="0">
      <selection activeCell="AE16" sqref="AE16"/>
    </sheetView>
  </sheetViews>
  <sheetFormatPr defaultRowHeight="15"/>
  <cols>
    <col min="1" max="1" width="17.42578125" bestFit="1" customWidth="1"/>
    <col min="2" max="2" width="10.28515625" bestFit="1" customWidth="1"/>
    <col min="3" max="3" width="13.42578125" bestFit="1" customWidth="1"/>
    <col min="5" max="5" width="17.42578125" bestFit="1" customWidth="1"/>
    <col min="6" max="6" width="10.28515625" bestFit="1" customWidth="1"/>
    <col min="7" max="7" width="13.42578125" bestFit="1" customWidth="1"/>
    <col min="9" max="9" width="15" customWidth="1"/>
    <col min="10" max="10" width="10.28515625" bestFit="1" customWidth="1"/>
    <col min="11" max="11" width="13.42578125" bestFit="1" customWidth="1"/>
    <col min="12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42578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>
      <c r="A1" s="129" t="s">
        <v>1662</v>
      </c>
      <c r="B1" s="130" t="s">
        <v>1663</v>
      </c>
      <c r="C1" s="131" t="s">
        <v>1664</v>
      </c>
      <c r="E1" s="129" t="s">
        <v>1662</v>
      </c>
      <c r="F1" s="130" t="s">
        <v>1663</v>
      </c>
      <c r="G1" s="131" t="s">
        <v>1664</v>
      </c>
      <c r="I1" s="129" t="s">
        <v>1662</v>
      </c>
      <c r="J1" s="130" t="s">
        <v>1663</v>
      </c>
      <c r="K1" s="132" t="s">
        <v>1664</v>
      </c>
      <c r="M1" s="129" t="s">
        <v>1662</v>
      </c>
      <c r="N1" s="130" t="s">
        <v>1663</v>
      </c>
      <c r="O1" s="132" t="s">
        <v>1664</v>
      </c>
      <c r="Q1" s="129" t="s">
        <v>1662</v>
      </c>
      <c r="R1" s="130" t="s">
        <v>1663</v>
      </c>
      <c r="S1" s="132" t="s">
        <v>1664</v>
      </c>
      <c r="U1" s="129" t="s">
        <v>1662</v>
      </c>
      <c r="V1" s="130" t="s">
        <v>1663</v>
      </c>
      <c r="W1" s="132" t="s">
        <v>1664</v>
      </c>
      <c r="Y1" s="129" t="s">
        <v>1662</v>
      </c>
      <c r="Z1" s="130" t="s">
        <v>1663</v>
      </c>
      <c r="AA1" s="132" t="s">
        <v>1664</v>
      </c>
      <c r="AC1" s="129" t="s">
        <v>1662</v>
      </c>
      <c r="AD1" s="130" t="s">
        <v>1663</v>
      </c>
      <c r="AE1" s="132" t="s">
        <v>1664</v>
      </c>
    </row>
    <row r="2" spans="1:31">
      <c r="A2" s="133">
        <v>268</v>
      </c>
      <c r="B2" s="134"/>
      <c r="C2" s="135">
        <v>1</v>
      </c>
      <c r="E2" s="133">
        <v>281</v>
      </c>
      <c r="G2">
        <v>1</v>
      </c>
      <c r="I2" s="133">
        <v>295</v>
      </c>
      <c r="J2" s="134"/>
      <c r="K2" s="136">
        <v>1</v>
      </c>
      <c r="M2" s="133">
        <v>310</v>
      </c>
      <c r="N2" s="134"/>
      <c r="O2" s="136">
        <v>1</v>
      </c>
      <c r="Q2" s="133">
        <v>323</v>
      </c>
      <c r="R2" s="134"/>
      <c r="S2" s="136">
        <v>1</v>
      </c>
      <c r="U2" s="133">
        <v>336</v>
      </c>
      <c r="V2" s="134"/>
      <c r="W2" s="136">
        <v>1</v>
      </c>
      <c r="Y2" s="133">
        <v>350</v>
      </c>
      <c r="AA2" s="136">
        <v>1</v>
      </c>
      <c r="AC2" s="133">
        <v>365</v>
      </c>
      <c r="AD2" s="134"/>
      <c r="AE2" s="136">
        <v>1</v>
      </c>
    </row>
    <row r="3" spans="1:31">
      <c r="A3" s="133">
        <v>269</v>
      </c>
      <c r="C3">
        <v>1</v>
      </c>
      <c r="E3" s="133">
        <v>282</v>
      </c>
      <c r="G3">
        <v>1</v>
      </c>
      <c r="I3" s="133">
        <v>296</v>
      </c>
      <c r="J3" s="136"/>
      <c r="K3" s="136">
        <v>1</v>
      </c>
      <c r="M3" s="133">
        <v>311</v>
      </c>
      <c r="N3" s="136"/>
      <c r="O3" s="136">
        <v>1</v>
      </c>
      <c r="Q3" s="133">
        <v>324</v>
      </c>
      <c r="R3" s="136"/>
      <c r="S3" s="136">
        <v>1</v>
      </c>
      <c r="U3" s="133">
        <v>337</v>
      </c>
      <c r="V3" s="136"/>
      <c r="W3" s="136">
        <v>1</v>
      </c>
      <c r="Y3" s="133">
        <v>351</v>
      </c>
      <c r="AA3" s="136">
        <v>1</v>
      </c>
      <c r="AC3" s="133">
        <v>366</v>
      </c>
      <c r="AD3" s="134"/>
      <c r="AE3" s="136">
        <v>1</v>
      </c>
    </row>
    <row r="4" spans="1:31">
      <c r="A4" s="133">
        <v>270</v>
      </c>
      <c r="C4">
        <v>1</v>
      </c>
      <c r="E4" s="133">
        <v>283</v>
      </c>
      <c r="G4">
        <v>1</v>
      </c>
      <c r="I4" s="133">
        <v>297</v>
      </c>
      <c r="J4" s="136"/>
      <c r="K4" s="136">
        <v>1</v>
      </c>
      <c r="M4" s="133">
        <v>312</v>
      </c>
      <c r="N4" s="136"/>
      <c r="O4" s="136">
        <v>1</v>
      </c>
      <c r="Q4" s="133">
        <v>325</v>
      </c>
      <c r="R4" s="136"/>
      <c r="S4" s="136">
        <v>1</v>
      </c>
      <c r="U4" s="133">
        <v>338</v>
      </c>
      <c r="W4" s="136">
        <v>1</v>
      </c>
      <c r="Y4" s="133">
        <v>352</v>
      </c>
      <c r="AA4" s="136">
        <v>1</v>
      </c>
      <c r="AC4" s="133">
        <v>367</v>
      </c>
      <c r="AD4" s="134"/>
      <c r="AE4" s="136">
        <v>1</v>
      </c>
    </row>
    <row r="5" spans="1:31">
      <c r="A5" s="133">
        <v>271</v>
      </c>
      <c r="C5">
        <v>1</v>
      </c>
      <c r="E5" s="133">
        <v>284</v>
      </c>
      <c r="G5">
        <v>1</v>
      </c>
      <c r="I5" s="133">
        <v>298</v>
      </c>
      <c r="J5" s="136"/>
      <c r="K5" s="136">
        <v>1</v>
      </c>
      <c r="M5" s="133">
        <v>313</v>
      </c>
      <c r="N5" s="136"/>
      <c r="O5" s="136">
        <v>1</v>
      </c>
      <c r="Q5" s="133">
        <v>326</v>
      </c>
      <c r="R5" s="136"/>
      <c r="S5" s="136">
        <v>1</v>
      </c>
      <c r="U5" s="133">
        <v>339</v>
      </c>
      <c r="W5" s="136">
        <v>1</v>
      </c>
      <c r="Y5" s="133">
        <v>353</v>
      </c>
      <c r="AA5" s="136">
        <v>1</v>
      </c>
      <c r="AC5" s="133">
        <v>368</v>
      </c>
      <c r="AD5" s="134"/>
      <c r="AE5" s="136">
        <v>1</v>
      </c>
    </row>
    <row r="6" spans="1:31">
      <c r="A6" s="133">
        <v>272</v>
      </c>
      <c r="C6">
        <v>1</v>
      </c>
      <c r="E6" s="133">
        <v>285</v>
      </c>
      <c r="G6">
        <v>1</v>
      </c>
      <c r="I6" s="133">
        <v>299</v>
      </c>
      <c r="K6">
        <v>1</v>
      </c>
      <c r="M6" s="133">
        <v>314</v>
      </c>
      <c r="O6" s="136">
        <v>1</v>
      </c>
      <c r="Q6" s="133">
        <v>327</v>
      </c>
      <c r="S6" s="136">
        <v>1</v>
      </c>
      <c r="U6" s="133">
        <v>340</v>
      </c>
      <c r="W6" s="136">
        <v>1</v>
      </c>
      <c r="Y6" s="133">
        <v>354</v>
      </c>
      <c r="AA6" s="136">
        <v>1</v>
      </c>
      <c r="AC6" s="133">
        <v>369</v>
      </c>
      <c r="AD6" s="134"/>
      <c r="AE6" s="136">
        <v>1</v>
      </c>
    </row>
    <row r="7" spans="1:31">
      <c r="A7" s="133">
        <v>273</v>
      </c>
      <c r="C7">
        <v>1</v>
      </c>
      <c r="E7" s="133">
        <v>286</v>
      </c>
      <c r="G7">
        <v>1</v>
      </c>
      <c r="I7" s="133">
        <v>300</v>
      </c>
      <c r="K7">
        <v>1</v>
      </c>
      <c r="M7" s="133">
        <v>315</v>
      </c>
      <c r="O7" s="136">
        <v>1</v>
      </c>
      <c r="Q7" s="133">
        <v>328</v>
      </c>
      <c r="S7" s="136">
        <v>1</v>
      </c>
      <c r="U7" s="133">
        <v>341</v>
      </c>
      <c r="W7" s="136">
        <v>1</v>
      </c>
      <c r="Y7" s="133">
        <v>355</v>
      </c>
      <c r="AA7" s="136">
        <v>1</v>
      </c>
      <c r="AC7" s="133">
        <v>370</v>
      </c>
      <c r="AD7" s="134"/>
      <c r="AE7" s="136">
        <v>1</v>
      </c>
    </row>
    <row r="8" spans="1:31">
      <c r="A8" s="133">
        <v>274</v>
      </c>
      <c r="C8">
        <v>1</v>
      </c>
      <c r="E8" s="133">
        <v>287</v>
      </c>
      <c r="G8">
        <v>1</v>
      </c>
      <c r="I8" s="133">
        <v>301</v>
      </c>
      <c r="K8">
        <v>1</v>
      </c>
      <c r="M8" s="133">
        <v>316</v>
      </c>
      <c r="O8" s="136">
        <v>1</v>
      </c>
      <c r="Q8" s="133">
        <v>329</v>
      </c>
      <c r="S8" s="136">
        <v>1</v>
      </c>
      <c r="U8" s="133">
        <v>342</v>
      </c>
      <c r="W8" s="136">
        <v>1</v>
      </c>
      <c r="Y8" s="133">
        <v>356</v>
      </c>
      <c r="AA8" s="136">
        <v>1</v>
      </c>
      <c r="AC8" s="133">
        <v>371</v>
      </c>
      <c r="AD8" s="134"/>
      <c r="AE8" s="136">
        <v>1</v>
      </c>
    </row>
    <row r="9" spans="1:31">
      <c r="A9" s="133">
        <v>275</v>
      </c>
      <c r="C9">
        <v>1</v>
      </c>
      <c r="E9" s="133">
        <v>288</v>
      </c>
      <c r="G9">
        <v>1</v>
      </c>
      <c r="I9" s="133">
        <v>302</v>
      </c>
      <c r="K9">
        <v>1</v>
      </c>
      <c r="M9" s="133">
        <v>317</v>
      </c>
      <c r="O9" s="136">
        <v>1</v>
      </c>
      <c r="Q9" s="133">
        <v>330</v>
      </c>
      <c r="S9" s="136">
        <v>1</v>
      </c>
      <c r="U9" s="133">
        <v>343</v>
      </c>
      <c r="W9" s="136">
        <v>1</v>
      </c>
      <c r="Y9" s="133">
        <v>357</v>
      </c>
      <c r="AA9" s="136">
        <v>1</v>
      </c>
      <c r="AC9" s="133">
        <v>372</v>
      </c>
      <c r="AD9" s="134"/>
      <c r="AE9" s="136">
        <v>1</v>
      </c>
    </row>
    <row r="10" spans="1:31">
      <c r="A10" s="133">
        <v>276</v>
      </c>
      <c r="C10">
        <v>1</v>
      </c>
      <c r="E10" s="133">
        <v>289</v>
      </c>
      <c r="G10">
        <v>1</v>
      </c>
      <c r="I10" s="133">
        <v>303</v>
      </c>
      <c r="K10">
        <v>1</v>
      </c>
      <c r="M10" s="133">
        <v>318</v>
      </c>
      <c r="O10" s="136">
        <v>1</v>
      </c>
      <c r="Q10" s="133">
        <v>331</v>
      </c>
      <c r="S10" s="136">
        <v>1</v>
      </c>
      <c r="U10" s="133">
        <v>344</v>
      </c>
      <c r="W10" s="136">
        <v>1</v>
      </c>
      <c r="Y10" s="133">
        <v>358</v>
      </c>
      <c r="AA10" s="136">
        <v>1</v>
      </c>
      <c r="AC10" s="133">
        <v>373</v>
      </c>
      <c r="AD10" s="134"/>
      <c r="AE10" s="136">
        <v>1</v>
      </c>
    </row>
    <row r="11" spans="1:31">
      <c r="A11" s="133">
        <v>277</v>
      </c>
      <c r="C11">
        <v>1</v>
      </c>
      <c r="E11" s="133">
        <v>290</v>
      </c>
      <c r="G11">
        <v>1</v>
      </c>
      <c r="I11" s="133">
        <v>304</v>
      </c>
      <c r="K11">
        <v>1</v>
      </c>
      <c r="M11" s="133">
        <v>319</v>
      </c>
      <c r="O11" s="136">
        <v>1</v>
      </c>
      <c r="Q11" s="133">
        <v>332</v>
      </c>
      <c r="S11" s="136">
        <v>1</v>
      </c>
      <c r="U11" s="133">
        <v>345</v>
      </c>
      <c r="W11" s="136">
        <v>1</v>
      </c>
      <c r="Y11" s="133">
        <v>359</v>
      </c>
      <c r="AA11" s="136">
        <v>1</v>
      </c>
      <c r="AC11" s="137" t="s">
        <v>1660</v>
      </c>
      <c r="AE11">
        <f>SUBTOTAL(109,Table428[NUMBER])</f>
        <v>9</v>
      </c>
    </row>
    <row r="12" spans="1:31">
      <c r="A12" s="133">
        <v>278</v>
      </c>
      <c r="C12">
        <v>1</v>
      </c>
      <c r="E12" s="133">
        <v>291</v>
      </c>
      <c r="G12">
        <v>1</v>
      </c>
      <c r="I12" s="133">
        <v>305</v>
      </c>
      <c r="K12">
        <v>1</v>
      </c>
      <c r="M12" s="133">
        <v>320</v>
      </c>
      <c r="O12" s="136">
        <v>1</v>
      </c>
      <c r="Q12" s="133">
        <v>333</v>
      </c>
      <c r="S12" s="136">
        <v>1</v>
      </c>
      <c r="U12" s="133">
        <v>346</v>
      </c>
      <c r="W12" s="136">
        <v>1</v>
      </c>
      <c r="Y12" s="133">
        <v>360</v>
      </c>
      <c r="AA12" s="136">
        <v>1</v>
      </c>
    </row>
    <row r="13" spans="1:31">
      <c r="A13" s="133">
        <v>279</v>
      </c>
      <c r="C13">
        <v>1</v>
      </c>
      <c r="E13" s="133">
        <v>292</v>
      </c>
      <c r="G13">
        <v>1</v>
      </c>
      <c r="I13" s="133">
        <v>306</v>
      </c>
      <c r="K13">
        <v>1</v>
      </c>
      <c r="M13" s="133">
        <v>321</v>
      </c>
      <c r="O13" s="136">
        <v>1</v>
      </c>
      <c r="Q13" s="133">
        <v>334</v>
      </c>
      <c r="S13" s="136">
        <v>1</v>
      </c>
      <c r="U13" s="133">
        <v>347</v>
      </c>
      <c r="W13" s="136">
        <v>1</v>
      </c>
      <c r="Y13" s="133">
        <v>361</v>
      </c>
      <c r="AA13" s="136">
        <v>1</v>
      </c>
    </row>
    <row r="14" spans="1:31">
      <c r="A14" s="133">
        <v>280</v>
      </c>
      <c r="B14" s="134"/>
      <c r="C14" s="135">
        <v>1</v>
      </c>
      <c r="E14" s="133">
        <v>293</v>
      </c>
      <c r="G14">
        <v>1</v>
      </c>
      <c r="I14" s="133">
        <v>307</v>
      </c>
      <c r="K14">
        <v>1</v>
      </c>
      <c r="M14" s="133">
        <v>322</v>
      </c>
      <c r="O14" s="136">
        <v>1</v>
      </c>
      <c r="Q14" s="133">
        <v>335</v>
      </c>
      <c r="S14" s="136">
        <v>1</v>
      </c>
      <c r="U14" s="133">
        <v>348</v>
      </c>
      <c r="V14" s="134"/>
      <c r="W14" s="136">
        <v>1</v>
      </c>
      <c r="Y14" s="133">
        <v>362</v>
      </c>
      <c r="AA14" s="136">
        <v>1</v>
      </c>
    </row>
    <row r="15" spans="1:31">
      <c r="A15" s="137" t="s">
        <v>1660</v>
      </c>
      <c r="C15">
        <f>SUBTOTAL(109,Table18[NUMBER])</f>
        <v>13</v>
      </c>
      <c r="E15" s="133">
        <v>294</v>
      </c>
      <c r="G15">
        <v>1</v>
      </c>
      <c r="I15" s="133">
        <v>308</v>
      </c>
      <c r="J15" s="136"/>
      <c r="K15">
        <v>1</v>
      </c>
      <c r="M15" s="137" t="s">
        <v>1660</v>
      </c>
      <c r="O15">
        <f>SUBTOTAL(109,Table27[NUMBER])</f>
        <v>13</v>
      </c>
      <c r="Q15" s="137" t="s">
        <v>1660</v>
      </c>
      <c r="S15">
        <f>SUBTOTAL(109,Table2714[NUMBER])</f>
        <v>13</v>
      </c>
      <c r="U15" s="133">
        <v>349</v>
      </c>
      <c r="V15" s="136"/>
      <c r="W15" s="136">
        <v>1</v>
      </c>
      <c r="Y15" s="133">
        <v>363</v>
      </c>
      <c r="AA15" s="136">
        <v>1</v>
      </c>
    </row>
    <row r="16" spans="1:31">
      <c r="E16" s="137" t="s">
        <v>1660</v>
      </c>
      <c r="G16">
        <f>SUBTOTAL(109,Table186[NUMBER])</f>
        <v>14</v>
      </c>
      <c r="I16" s="133">
        <v>309</v>
      </c>
      <c r="J16" s="136"/>
      <c r="K16">
        <v>1</v>
      </c>
      <c r="U16" s="137" t="s">
        <v>1660</v>
      </c>
      <c r="W16">
        <f>SUBTOTAL(109,Table2026[NUMBER])</f>
        <v>14</v>
      </c>
      <c r="Y16" s="133">
        <v>364</v>
      </c>
      <c r="Z16" s="134"/>
      <c r="AA16" s="136">
        <v>1</v>
      </c>
    </row>
    <row r="17" spans="7:27">
      <c r="I17" s="137" t="s">
        <v>1660</v>
      </c>
      <c r="K17">
        <f>SUBTOTAL(109,Table223[NUMBER])</f>
        <v>15</v>
      </c>
      <c r="Y17" s="137" t="s">
        <v>1660</v>
      </c>
      <c r="AA17">
        <f>SUBTOTAL(109,Table202627[NUMBER])</f>
        <v>15</v>
      </c>
    </row>
    <row r="19" spans="7:27">
      <c r="G19" s="61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="90" zoomScaleNormal="90" workbookViewId="0">
      <pane ySplit="1" topLeftCell="A2" activePane="bottomLeft" state="frozen"/>
      <selection pane="bottomLeft" activeCell="C7" sqref="C7"/>
    </sheetView>
  </sheetViews>
  <sheetFormatPr defaultRowHeight="15"/>
  <cols>
    <col min="1" max="1" width="52.28515625" bestFit="1" customWidth="1"/>
    <col min="2" max="2" width="5.5703125" bestFit="1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>
      <c r="C1" s="21">
        <v>46266</v>
      </c>
      <c r="F1" s="9"/>
      <c r="G1" s="9"/>
      <c r="H1" s="9"/>
      <c r="I1" s="9"/>
      <c r="J1" s="9"/>
      <c r="K1" s="9"/>
    </row>
    <row r="2" spans="1:11" ht="16.5" customHeight="1" thickBot="1">
      <c r="F2" s="9"/>
      <c r="G2" s="9"/>
      <c r="H2" s="9"/>
      <c r="I2" s="9"/>
      <c r="J2" s="9"/>
      <c r="K2" s="9"/>
    </row>
    <row r="3" spans="1:11" ht="30.75" customHeight="1" thickBot="1">
      <c r="A3" s="12" t="s">
        <v>1665</v>
      </c>
      <c r="B3" s="10" t="s">
        <v>1666</v>
      </c>
      <c r="C3" s="50">
        <v>3850</v>
      </c>
      <c r="E3" s="12" t="s">
        <v>1667</v>
      </c>
      <c r="F3" s="10" t="str">
        <f>B3</f>
        <v>=</v>
      </c>
      <c r="G3" s="13">
        <v>11</v>
      </c>
    </row>
    <row r="4" spans="1:11" ht="15.75" thickBot="1"/>
    <row r="5" spans="1:11" ht="30.75" customHeight="1" thickBot="1">
      <c r="A5" s="12" t="s">
        <v>1668</v>
      </c>
      <c r="B5" s="10" t="s">
        <v>1666</v>
      </c>
      <c r="C5" s="50">
        <v>27420</v>
      </c>
      <c r="E5" s="12" t="s">
        <v>1669</v>
      </c>
      <c r="F5" s="10" t="str">
        <f>B5</f>
        <v>=</v>
      </c>
      <c r="G5" s="13">
        <v>17</v>
      </c>
    </row>
    <row r="6" spans="1:11" ht="15.75" thickBot="1"/>
    <row r="7" spans="1:11" ht="30.75" customHeight="1" thickBot="1">
      <c r="A7" s="12" t="s">
        <v>1670</v>
      </c>
      <c r="B7" s="10" t="s">
        <v>1666</v>
      </c>
      <c r="C7" s="50">
        <v>31270</v>
      </c>
      <c r="G7" s="54"/>
    </row>
    <row r="8" spans="1:11" ht="15.75" thickBot="1"/>
    <row r="9" spans="1:11" ht="48" thickBot="1">
      <c r="A9" s="12" t="s">
        <v>1671</v>
      </c>
      <c r="B9" s="10" t="s">
        <v>1666</v>
      </c>
      <c r="C9" s="50">
        <v>2420</v>
      </c>
      <c r="E9" s="54"/>
      <c r="G9" s="54"/>
    </row>
    <row r="12" spans="1:11">
      <c r="G12" s="54"/>
    </row>
    <row r="13" spans="1:11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44450</xdr:rowOff>
                  </from>
                  <to>
                    <xdr:col>3</xdr:col>
                    <xdr:colOff>228600</xdr:colOff>
                    <xdr:row>13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8"/>
  <sheetViews>
    <sheetView showGridLines="0" zoomScale="190" zoomScaleNormal="190" workbookViewId="0">
      <selection activeCell="C12" sqref="C12"/>
    </sheetView>
  </sheetViews>
  <sheetFormatPr defaultRowHeight="15"/>
  <cols>
    <col min="1" max="1" width="25.85546875" bestFit="1" customWidth="1"/>
    <col min="2" max="2" width="13.5703125" style="121" customWidth="1"/>
    <col min="3" max="3" width="11.140625" bestFit="1" customWidth="1"/>
    <col min="4" max="4" width="10.42578125" bestFit="1" customWidth="1"/>
    <col min="5" max="5" width="13.85546875" bestFit="1" customWidth="1"/>
  </cols>
  <sheetData>
    <row r="1" spans="1:5" ht="15.75" thickBot="1">
      <c r="A1" s="207" t="s">
        <v>1672</v>
      </c>
      <c r="B1" s="207"/>
      <c r="C1" s="207"/>
    </row>
    <row r="2" spans="1:5" ht="15.75" thickBot="1">
      <c r="A2" s="123" t="s">
        <v>1673</v>
      </c>
      <c r="B2" s="122">
        <v>100</v>
      </c>
    </row>
    <row r="4" spans="1:5">
      <c r="A4" t="s">
        <v>1674</v>
      </c>
      <c r="B4" s="121" t="s">
        <v>1675</v>
      </c>
      <c r="C4" s="54" t="s">
        <v>1676</v>
      </c>
      <c r="D4" s="54" t="s">
        <v>1677</v>
      </c>
      <c r="E4" s="54" t="s">
        <v>1678</v>
      </c>
    </row>
    <row r="5" spans="1:5">
      <c r="A5" t="s">
        <v>1679</v>
      </c>
      <c r="B5" s="121">
        <v>0.4</v>
      </c>
      <c r="C5" s="54">
        <f>$B$2*Table12[[#This Row],[PERCENTAGE]]</f>
        <v>40</v>
      </c>
      <c r="D5" s="54">
        <v>0</v>
      </c>
      <c r="E5" s="54">
        <f>Table12[[#This Row],[AMOUNT]]-Table12[[#This Row],[TAKEN]]</f>
        <v>40</v>
      </c>
    </row>
    <row r="6" spans="1:5">
      <c r="A6" t="s">
        <v>1680</v>
      </c>
      <c r="B6" s="121">
        <v>0.3</v>
      </c>
      <c r="C6" s="54">
        <f>$B$2*Table12[[#This Row],[PERCENTAGE]]</f>
        <v>30</v>
      </c>
      <c r="D6" s="54">
        <v>0</v>
      </c>
      <c r="E6" s="54">
        <f>Table12[[#This Row],[AMOUNT]]-Table12[[#This Row],[TAKEN]]</f>
        <v>30</v>
      </c>
    </row>
    <row r="7" spans="1:5">
      <c r="A7" t="s">
        <v>1681</v>
      </c>
      <c r="B7" s="121">
        <v>0.3</v>
      </c>
      <c r="C7" s="54">
        <f>$B$2*Table12[[#This Row],[PERCENTAGE]]</f>
        <v>30</v>
      </c>
      <c r="D7" s="54">
        <v>0</v>
      </c>
      <c r="E7" s="54">
        <f>Table12[[#This Row],[AMOUNT]]-Table12[[#This Row],[TAKEN]]</f>
        <v>30</v>
      </c>
    </row>
    <row r="8" spans="1:5">
      <c r="A8" t="s">
        <v>1660</v>
      </c>
      <c r="B8" s="121">
        <f>SUBTOTAL(109,Table12[PERCENTAGE])</f>
        <v>1</v>
      </c>
      <c r="C8" s="54">
        <f>SUBTOTAL(109,Table12[AMOUNT])</f>
        <v>100</v>
      </c>
      <c r="D8" s="54">
        <f>SUBTOTAL(109,Table12[TAKEN])</f>
        <v>0</v>
      </c>
      <c r="E8" s="54">
        <f>SUBTOTAL(109,Table12[REMAINING])</f>
        <v>100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62"/>
  <sheetViews>
    <sheetView showGridLines="0" topLeftCell="B18" zoomScale="110" zoomScaleNormal="110" workbookViewId="0">
      <selection activeCell="G50" sqref="G50"/>
    </sheetView>
  </sheetViews>
  <sheetFormatPr defaultRowHeight="15"/>
  <cols>
    <col min="1" max="1" width="9.42578125" style="92" bestFit="1" customWidth="1"/>
    <col min="2" max="2" width="43.42578125" style="92" bestFit="1" customWidth="1"/>
    <col min="3" max="3" width="14.42578125" style="11" bestFit="1" customWidth="1"/>
    <col min="4" max="5" width="15.85546875" style="91" bestFit="1" customWidth="1"/>
    <col min="6" max="6" width="19.85546875" bestFit="1" customWidth="1"/>
    <col min="7" max="7" width="24.5703125" bestFit="1" customWidth="1"/>
    <col min="8" max="8" width="26.5703125" style="90" customWidth="1"/>
    <col min="9" max="9" width="17.140625" bestFit="1" customWidth="1"/>
  </cols>
  <sheetData>
    <row r="1" spans="1:9">
      <c r="A1" s="92" t="s">
        <v>3</v>
      </c>
      <c r="B1" s="92" t="s">
        <v>1674</v>
      </c>
      <c r="C1" s="11" t="s">
        <v>1663</v>
      </c>
      <c r="D1" s="91" t="s">
        <v>1682</v>
      </c>
      <c r="E1" s="91" t="s">
        <v>1683</v>
      </c>
      <c r="F1" t="s">
        <v>1684</v>
      </c>
      <c r="G1" t="s">
        <v>1685</v>
      </c>
      <c r="H1" s="90" t="s">
        <v>1686</v>
      </c>
      <c r="I1" t="s">
        <v>1687</v>
      </c>
    </row>
    <row r="2" spans="1:9">
      <c r="A2" s="93" t="s">
        <v>731</v>
      </c>
      <c r="B2" s="93" t="s">
        <v>732</v>
      </c>
      <c r="C2" s="106">
        <v>46108</v>
      </c>
      <c r="D2" s="97">
        <v>0.77777777777777779</v>
      </c>
      <c r="E2" s="97">
        <v>0.79166666666666663</v>
      </c>
      <c r="F2" s="94" t="s">
        <v>1688</v>
      </c>
      <c r="G2" s="94" t="s">
        <v>1689</v>
      </c>
      <c r="H2" s="95">
        <v>552068774</v>
      </c>
      <c r="I2" s="94" t="s">
        <v>13</v>
      </c>
    </row>
    <row r="3" spans="1:9">
      <c r="A3" s="93" t="s">
        <v>893</v>
      </c>
      <c r="B3" s="93" t="s">
        <v>894</v>
      </c>
      <c r="C3" s="106">
        <v>46108</v>
      </c>
      <c r="D3" s="97">
        <v>0.79166666666666663</v>
      </c>
      <c r="E3" s="97">
        <v>0.79513888888888884</v>
      </c>
      <c r="F3" s="94" t="s">
        <v>1690</v>
      </c>
      <c r="G3" s="94" t="s">
        <v>1691</v>
      </c>
      <c r="H3" s="95"/>
      <c r="I3" s="94"/>
    </row>
    <row r="4" spans="1:9">
      <c r="A4" s="93" t="s">
        <v>916</v>
      </c>
      <c r="B4" s="93" t="s">
        <v>917</v>
      </c>
      <c r="C4" s="106">
        <v>46108</v>
      </c>
      <c r="D4" s="97">
        <v>0.80208333333333337</v>
      </c>
      <c r="E4" s="97">
        <v>0.80208333333333337</v>
      </c>
      <c r="F4" s="94" t="s">
        <v>1692</v>
      </c>
      <c r="G4" s="94" t="s">
        <v>1693</v>
      </c>
      <c r="H4" s="95">
        <v>244580367</v>
      </c>
      <c r="I4" s="94" t="s">
        <v>13</v>
      </c>
    </row>
    <row r="5" spans="1:9">
      <c r="A5" s="93" t="s">
        <v>938</v>
      </c>
      <c r="B5" s="93" t="s">
        <v>939</v>
      </c>
      <c r="C5" s="106">
        <v>46108</v>
      </c>
      <c r="D5" s="97">
        <v>0.82777777777777772</v>
      </c>
      <c r="E5" s="97">
        <v>0.83333333333333337</v>
      </c>
      <c r="F5" s="94" t="s">
        <v>1694</v>
      </c>
      <c r="G5" s="94" t="s">
        <v>1695</v>
      </c>
      <c r="H5" s="95">
        <v>548324303</v>
      </c>
      <c r="I5" s="94" t="s">
        <v>42</v>
      </c>
    </row>
    <row r="6" spans="1:9">
      <c r="A6" s="93" t="s">
        <v>989</v>
      </c>
      <c r="B6" s="93" t="s">
        <v>990</v>
      </c>
      <c r="C6" s="106">
        <v>46108</v>
      </c>
      <c r="D6" s="97">
        <v>0.75694444444444442</v>
      </c>
      <c r="E6" s="97">
        <v>0.77986111111111112</v>
      </c>
      <c r="F6" s="94" t="s">
        <v>1696</v>
      </c>
      <c r="G6" s="94" t="s">
        <v>1697</v>
      </c>
      <c r="H6" s="95">
        <v>534737122</v>
      </c>
      <c r="I6" s="94" t="s">
        <v>13</v>
      </c>
    </row>
    <row r="7" spans="1:9">
      <c r="A7" s="93" t="s">
        <v>999</v>
      </c>
      <c r="B7" s="93" t="s">
        <v>1000</v>
      </c>
      <c r="C7" s="106">
        <v>46108</v>
      </c>
      <c r="D7" s="97">
        <v>0.75694444444444442</v>
      </c>
      <c r="E7" s="97">
        <v>0.77986111111111112</v>
      </c>
      <c r="F7" s="94" t="s">
        <v>1696</v>
      </c>
      <c r="G7" s="94" t="s">
        <v>1697</v>
      </c>
      <c r="H7" s="95">
        <v>534737122</v>
      </c>
      <c r="I7" s="94" t="s">
        <v>13</v>
      </c>
    </row>
    <row r="8" spans="1:9">
      <c r="A8" s="93" t="s">
        <v>1009</v>
      </c>
      <c r="B8" s="93" t="s">
        <v>1010</v>
      </c>
      <c r="C8" s="106">
        <v>46108</v>
      </c>
      <c r="D8" s="97">
        <v>0.81597222222222221</v>
      </c>
      <c r="E8" s="97">
        <v>0.8125</v>
      </c>
      <c r="F8" s="94" t="s">
        <v>1698</v>
      </c>
      <c r="G8" s="94" t="s">
        <v>1699</v>
      </c>
      <c r="H8" s="95">
        <v>592130143</v>
      </c>
      <c r="I8" s="94" t="s">
        <v>13</v>
      </c>
    </row>
    <row r="9" spans="1:9">
      <c r="A9" s="93" t="s">
        <v>1025</v>
      </c>
      <c r="B9" s="93" t="s">
        <v>120</v>
      </c>
      <c r="C9" s="106">
        <v>46108</v>
      </c>
      <c r="D9" s="97">
        <v>0.84375</v>
      </c>
      <c r="E9" s="97">
        <v>0.85277777777777775</v>
      </c>
      <c r="F9" s="94" t="s">
        <v>1700</v>
      </c>
      <c r="G9" s="94" t="s">
        <v>1699</v>
      </c>
      <c r="H9" s="95">
        <v>592130143</v>
      </c>
      <c r="I9" s="94" t="s">
        <v>13</v>
      </c>
    </row>
    <row r="10" spans="1:9">
      <c r="A10" s="93" t="s">
        <v>1048</v>
      </c>
      <c r="B10" s="93" t="s">
        <v>1049</v>
      </c>
      <c r="C10" s="106">
        <v>46108</v>
      </c>
      <c r="D10" s="97">
        <v>0.76875000000000004</v>
      </c>
      <c r="E10" s="97">
        <v>0.77430555555555558</v>
      </c>
      <c r="F10" s="94"/>
      <c r="G10" s="94" t="s">
        <v>1701</v>
      </c>
      <c r="H10" s="95">
        <v>246992460</v>
      </c>
      <c r="I10" s="94" t="s">
        <v>32</v>
      </c>
    </row>
    <row r="11" spans="1:9">
      <c r="A11" s="93" t="s">
        <v>1056</v>
      </c>
      <c r="B11" s="93" t="s">
        <v>1057</v>
      </c>
      <c r="C11" s="106">
        <v>46108</v>
      </c>
      <c r="D11" s="97">
        <v>0.8125</v>
      </c>
      <c r="E11" s="97">
        <v>0.82291666666666663</v>
      </c>
      <c r="F11" s="94" t="s">
        <v>1702</v>
      </c>
      <c r="G11" s="94" t="s">
        <v>1703</v>
      </c>
      <c r="H11" s="95">
        <v>244808506</v>
      </c>
      <c r="I11" s="94" t="s">
        <v>42</v>
      </c>
    </row>
    <row r="12" spans="1:9">
      <c r="A12" s="93" t="s">
        <v>1077</v>
      </c>
      <c r="B12" s="93" t="s">
        <v>1078</v>
      </c>
      <c r="C12" s="106">
        <v>46108</v>
      </c>
      <c r="D12" s="97"/>
      <c r="E12" s="97"/>
      <c r="F12" s="94"/>
      <c r="G12" s="94"/>
      <c r="H12" s="95"/>
      <c r="I12" s="94"/>
    </row>
    <row r="13" spans="1:9">
      <c r="A13" s="93" t="s">
        <v>1097</v>
      </c>
      <c r="B13" s="93" t="s">
        <v>1098</v>
      </c>
      <c r="C13" s="106">
        <v>46108</v>
      </c>
      <c r="D13" s="97">
        <v>0.87986111111111109</v>
      </c>
      <c r="E13" s="97">
        <v>0.88541666666666663</v>
      </c>
      <c r="F13" s="94" t="s">
        <v>1704</v>
      </c>
      <c r="G13" s="94" t="s">
        <v>1705</v>
      </c>
      <c r="H13" s="95">
        <v>245663356</v>
      </c>
      <c r="I13" s="94" t="s">
        <v>13</v>
      </c>
    </row>
    <row r="14" spans="1:9">
      <c r="A14" s="93" t="s">
        <v>1124</v>
      </c>
      <c r="B14" s="93" t="s">
        <v>1125</v>
      </c>
      <c r="C14" s="106">
        <v>46108</v>
      </c>
      <c r="D14" s="97">
        <v>0.73611111111111116</v>
      </c>
      <c r="E14" s="97">
        <v>0.75486111111111109</v>
      </c>
      <c r="F14" s="94" t="s">
        <v>1706</v>
      </c>
      <c r="G14" s="94" t="s">
        <v>1707</v>
      </c>
      <c r="H14" s="95">
        <v>242050792</v>
      </c>
      <c r="I14" s="94" t="s">
        <v>15</v>
      </c>
    </row>
    <row r="15" spans="1:9">
      <c r="A15" s="93" t="s">
        <v>1145</v>
      </c>
      <c r="B15" s="93" t="s">
        <v>131</v>
      </c>
      <c r="C15" s="106">
        <v>46108</v>
      </c>
      <c r="D15" s="97">
        <v>0.81597222222222221</v>
      </c>
      <c r="E15" s="97">
        <v>0.83333333333333337</v>
      </c>
      <c r="F15" s="94" t="s">
        <v>1700</v>
      </c>
      <c r="G15" s="94" t="s">
        <v>1699</v>
      </c>
      <c r="H15" s="95">
        <v>592130143</v>
      </c>
      <c r="I15" s="94" t="s">
        <v>13</v>
      </c>
    </row>
    <row r="16" spans="1:9">
      <c r="A16" s="93" t="s">
        <v>1148</v>
      </c>
      <c r="B16" s="93" t="s">
        <v>1149</v>
      </c>
      <c r="C16" s="106">
        <v>46108</v>
      </c>
      <c r="D16" s="97">
        <v>0.77083333333333337</v>
      </c>
      <c r="E16" s="97">
        <v>0.79166666666666663</v>
      </c>
      <c r="F16" s="94" t="s">
        <v>1688</v>
      </c>
      <c r="G16" s="94" t="s">
        <v>1689</v>
      </c>
      <c r="H16" s="95">
        <v>552068774</v>
      </c>
      <c r="I16" s="94" t="s">
        <v>13</v>
      </c>
    </row>
    <row r="17" spans="1:9">
      <c r="A17" s="93" t="s">
        <v>1166</v>
      </c>
      <c r="B17" s="93" t="s">
        <v>1167</v>
      </c>
      <c r="C17" s="106">
        <v>46108</v>
      </c>
      <c r="D17" s="97">
        <v>0.76736111111111116</v>
      </c>
      <c r="E17" s="97">
        <v>0.78125</v>
      </c>
      <c r="F17" s="94" t="s">
        <v>1700</v>
      </c>
      <c r="G17" s="94" t="s">
        <v>1699</v>
      </c>
      <c r="H17" s="95">
        <v>592130143</v>
      </c>
      <c r="I17" s="94" t="s">
        <v>13</v>
      </c>
    </row>
    <row r="18" spans="1:9">
      <c r="A18" s="93" t="s">
        <v>1210</v>
      </c>
      <c r="B18" s="93" t="s">
        <v>1211</v>
      </c>
      <c r="C18" s="106">
        <v>46108</v>
      </c>
      <c r="D18" s="97">
        <v>0.75555555555555554</v>
      </c>
      <c r="E18" s="97">
        <v>0.76249999999999996</v>
      </c>
      <c r="F18" s="94" t="s">
        <v>1700</v>
      </c>
      <c r="G18" s="94" t="s">
        <v>1699</v>
      </c>
      <c r="H18" s="95">
        <v>592130143</v>
      </c>
      <c r="I18" s="94" t="s">
        <v>13</v>
      </c>
    </row>
    <row r="19" spans="1:9">
      <c r="A19" s="93" t="s">
        <v>1229</v>
      </c>
      <c r="B19" s="93" t="s">
        <v>1230</v>
      </c>
      <c r="C19" s="106">
        <v>46108</v>
      </c>
      <c r="D19" s="97">
        <v>0.77083333333333337</v>
      </c>
      <c r="E19" s="97">
        <v>0.78472222222222221</v>
      </c>
      <c r="F19" s="94" t="s">
        <v>1688</v>
      </c>
      <c r="G19" s="94" t="s">
        <v>1689</v>
      </c>
      <c r="H19" s="95">
        <v>552068774</v>
      </c>
      <c r="I19" s="94" t="s">
        <v>13</v>
      </c>
    </row>
    <row r="20" spans="1:9">
      <c r="A20" s="93" t="s">
        <v>1241</v>
      </c>
      <c r="B20" s="93" t="s">
        <v>1242</v>
      </c>
      <c r="C20" s="106">
        <v>46108</v>
      </c>
      <c r="D20" s="97">
        <v>0.75694444444444442</v>
      </c>
      <c r="E20" s="97">
        <v>0.82986111111111116</v>
      </c>
      <c r="F20" s="94" t="s">
        <v>1708</v>
      </c>
      <c r="G20" s="94" t="s">
        <v>1709</v>
      </c>
      <c r="H20" s="95">
        <v>554363617</v>
      </c>
      <c r="I20" s="94" t="s">
        <v>1710</v>
      </c>
    </row>
    <row r="21" spans="1:9">
      <c r="A21" s="93" t="s">
        <v>1256</v>
      </c>
      <c r="B21" s="93" t="s">
        <v>1257</v>
      </c>
      <c r="C21" s="106">
        <v>46108</v>
      </c>
      <c r="D21" s="97">
        <v>0.77430555555555558</v>
      </c>
      <c r="E21" s="97">
        <v>0.79166666666666663</v>
      </c>
      <c r="F21" s="94" t="s">
        <v>1704</v>
      </c>
      <c r="G21" s="94" t="s">
        <v>1705</v>
      </c>
      <c r="H21" s="95">
        <v>245663356</v>
      </c>
      <c r="I21" s="94" t="s">
        <v>13</v>
      </c>
    </row>
    <row r="22" spans="1:9">
      <c r="A22" s="93" t="s">
        <v>1264</v>
      </c>
      <c r="B22" s="93" t="s">
        <v>1265</v>
      </c>
      <c r="C22" s="106">
        <v>46108</v>
      </c>
      <c r="D22" s="97">
        <v>0.76875000000000004</v>
      </c>
      <c r="E22" s="97">
        <v>0.78472222222222221</v>
      </c>
      <c r="F22" s="94"/>
      <c r="G22" s="94" t="s">
        <v>1701</v>
      </c>
      <c r="H22" s="95">
        <v>246992460</v>
      </c>
      <c r="I22" s="94" t="s">
        <v>32</v>
      </c>
    </row>
    <row r="23" spans="1:9">
      <c r="A23" s="93" t="s">
        <v>1292</v>
      </c>
      <c r="B23" s="93" t="s">
        <v>1293</v>
      </c>
      <c r="C23" s="106">
        <v>46108</v>
      </c>
      <c r="D23" s="97">
        <v>0.86805555555555558</v>
      </c>
      <c r="E23" s="97">
        <v>0.875</v>
      </c>
      <c r="F23" s="94" t="s">
        <v>1688</v>
      </c>
      <c r="G23" s="94" t="s">
        <v>1689</v>
      </c>
      <c r="H23" s="95">
        <v>552068774</v>
      </c>
      <c r="I23" s="94" t="s">
        <v>13</v>
      </c>
    </row>
    <row r="24" spans="1:9">
      <c r="A24" s="93" t="s">
        <v>1304</v>
      </c>
      <c r="B24" s="93" t="s">
        <v>1305</v>
      </c>
      <c r="C24" s="106">
        <v>46108</v>
      </c>
      <c r="D24" s="97">
        <v>0.80555555555555558</v>
      </c>
      <c r="E24" s="97">
        <v>0.83333333333333337</v>
      </c>
      <c r="F24" s="94" t="s">
        <v>1711</v>
      </c>
      <c r="G24" s="94" t="s">
        <v>1712</v>
      </c>
      <c r="H24" s="95">
        <v>541835895</v>
      </c>
      <c r="I24" s="94" t="s">
        <v>19</v>
      </c>
    </row>
    <row r="25" spans="1:9">
      <c r="A25" s="93" t="s">
        <v>1328</v>
      </c>
      <c r="B25" s="93" t="s">
        <v>1324</v>
      </c>
      <c r="C25" s="106">
        <v>46108</v>
      </c>
      <c r="D25" s="97">
        <v>0.8569444444444444</v>
      </c>
      <c r="E25" s="97">
        <v>0.85416666666666663</v>
      </c>
      <c r="F25" s="94" t="s">
        <v>1704</v>
      </c>
      <c r="G25" s="94" t="s">
        <v>1705</v>
      </c>
      <c r="H25" s="95">
        <v>245663356</v>
      </c>
      <c r="I25" s="94" t="s">
        <v>13</v>
      </c>
    </row>
    <row r="26" spans="1:9">
      <c r="A26" s="93">
        <v>290</v>
      </c>
      <c r="B26" s="93" t="s">
        <v>1290</v>
      </c>
      <c r="C26" s="106">
        <v>46171</v>
      </c>
      <c r="D26" s="97">
        <v>0.5</v>
      </c>
      <c r="E26" s="97">
        <v>0.52083333333333337</v>
      </c>
      <c r="F26" s="94" t="s">
        <v>1700</v>
      </c>
      <c r="G26" s="94" t="s">
        <v>1699</v>
      </c>
      <c r="H26" s="95">
        <v>592130143</v>
      </c>
      <c r="I26" s="94" t="s">
        <v>13</v>
      </c>
    </row>
    <row r="27" spans="1:9">
      <c r="A27" s="93" t="s">
        <v>1083</v>
      </c>
      <c r="B27" s="93" t="s">
        <v>1084</v>
      </c>
      <c r="C27" s="106">
        <v>46171</v>
      </c>
      <c r="D27" s="97">
        <v>0.78125</v>
      </c>
      <c r="E27" s="97">
        <v>0.82638888888888884</v>
      </c>
      <c r="F27" s="94"/>
      <c r="G27" s="94"/>
      <c r="H27" s="95"/>
      <c r="I27" s="94"/>
    </row>
    <row r="28" spans="1:9">
      <c r="A28" s="93" t="s">
        <v>1092</v>
      </c>
      <c r="B28" s="93" t="s">
        <v>1093</v>
      </c>
      <c r="C28" s="106">
        <v>46171</v>
      </c>
      <c r="D28" s="97">
        <v>0.77083333333333337</v>
      </c>
      <c r="E28" s="97">
        <v>0.79166666666666663</v>
      </c>
      <c r="F28" s="94" t="s">
        <v>1688</v>
      </c>
      <c r="G28" s="94" t="s">
        <v>1689</v>
      </c>
      <c r="H28" s="95">
        <v>552068774</v>
      </c>
      <c r="I28" s="94" t="s">
        <v>13</v>
      </c>
    </row>
    <row r="29" spans="1:9">
      <c r="A29" s="93" t="s">
        <v>1176</v>
      </c>
      <c r="B29" s="93" t="s">
        <v>1177</v>
      </c>
      <c r="C29" s="106">
        <v>46171</v>
      </c>
      <c r="D29" s="97">
        <v>0.77083333333333337</v>
      </c>
      <c r="E29" s="97">
        <v>0.78125</v>
      </c>
      <c r="F29" s="94" t="s">
        <v>1713</v>
      </c>
      <c r="G29" s="94" t="s">
        <v>1714</v>
      </c>
      <c r="H29" s="95">
        <v>536727671</v>
      </c>
      <c r="I29" s="94" t="s">
        <v>13</v>
      </c>
    </row>
    <row r="30" spans="1:9">
      <c r="A30" s="93" t="s">
        <v>1218</v>
      </c>
      <c r="B30" s="93" t="s">
        <v>1219</v>
      </c>
      <c r="C30" s="106">
        <v>46171</v>
      </c>
      <c r="D30" s="97"/>
      <c r="E30" s="97"/>
      <c r="F30" s="94"/>
      <c r="G30" s="94"/>
      <c r="H30" s="95"/>
      <c r="I30" s="94"/>
    </row>
    <row r="31" spans="1:9">
      <c r="A31" s="93" t="s">
        <v>1259</v>
      </c>
      <c r="B31" s="93" t="s">
        <v>1260</v>
      </c>
      <c r="C31" s="106">
        <v>46171</v>
      </c>
      <c r="D31" s="97">
        <v>0.70833333333333337</v>
      </c>
      <c r="E31" s="97">
        <v>0.72916666666666663</v>
      </c>
      <c r="F31" s="94" t="s">
        <v>1688</v>
      </c>
      <c r="G31" s="94" t="s">
        <v>1689</v>
      </c>
      <c r="H31" s="95">
        <v>552068774</v>
      </c>
      <c r="I31" s="94" t="s">
        <v>13</v>
      </c>
    </row>
    <row r="32" spans="1:9">
      <c r="A32" s="93" t="s">
        <v>1280</v>
      </c>
      <c r="B32" s="93" t="s">
        <v>1281</v>
      </c>
      <c r="C32" s="106">
        <v>46171</v>
      </c>
      <c r="D32" s="97">
        <v>0.81944444444444442</v>
      </c>
      <c r="E32" s="97">
        <v>0.82638888888888884</v>
      </c>
      <c r="F32" s="94" t="s">
        <v>1700</v>
      </c>
      <c r="G32" s="94" t="s">
        <v>1699</v>
      </c>
      <c r="H32" s="95">
        <v>592130143</v>
      </c>
      <c r="I32" s="94" t="s">
        <v>13</v>
      </c>
    </row>
    <row r="33" spans="1:9">
      <c r="A33" s="93" t="s">
        <v>1283</v>
      </c>
      <c r="B33" s="93" t="s">
        <v>1284</v>
      </c>
      <c r="C33" s="106">
        <v>46171</v>
      </c>
      <c r="D33" s="97">
        <v>0.76388888888888884</v>
      </c>
      <c r="E33" s="97">
        <v>0.78472222222222221</v>
      </c>
      <c r="F33" s="94" t="s">
        <v>1715</v>
      </c>
      <c r="G33" s="94" t="s">
        <v>1716</v>
      </c>
      <c r="H33" s="95">
        <v>242952287</v>
      </c>
      <c r="I33" s="94" t="s">
        <v>13</v>
      </c>
    </row>
    <row r="34" spans="1:9">
      <c r="A34" s="93" t="s">
        <v>1286</v>
      </c>
      <c r="B34" s="93" t="s">
        <v>1287</v>
      </c>
      <c r="C34" s="106">
        <v>46171</v>
      </c>
      <c r="D34" s="97"/>
      <c r="E34" s="97"/>
      <c r="F34" s="94"/>
      <c r="G34" s="94"/>
      <c r="H34" s="95"/>
      <c r="I34" s="94"/>
    </row>
    <row r="35" spans="1:9">
      <c r="A35" s="93" t="s">
        <v>1295</v>
      </c>
      <c r="B35" s="93" t="s">
        <v>1296</v>
      </c>
      <c r="C35" s="106">
        <v>46171</v>
      </c>
      <c r="D35" s="97">
        <v>0.77083333333333337</v>
      </c>
      <c r="E35" s="97"/>
      <c r="F35" s="94" t="s">
        <v>1688</v>
      </c>
      <c r="G35" s="94" t="s">
        <v>1689</v>
      </c>
      <c r="H35" s="95">
        <v>552068774</v>
      </c>
      <c r="I35" s="94" t="s">
        <v>13</v>
      </c>
    </row>
    <row r="36" spans="1:9">
      <c r="A36" s="93" t="s">
        <v>1298</v>
      </c>
      <c r="B36" s="93" t="s">
        <v>1299</v>
      </c>
      <c r="C36" s="106">
        <v>46171</v>
      </c>
      <c r="D36" s="97">
        <v>0.77083333333333337</v>
      </c>
      <c r="E36" s="97"/>
      <c r="F36" s="94" t="s">
        <v>1688</v>
      </c>
      <c r="G36" s="94" t="s">
        <v>1689</v>
      </c>
      <c r="H36" s="95">
        <v>552068774</v>
      </c>
      <c r="I36" s="94" t="s">
        <v>13</v>
      </c>
    </row>
    <row r="37" spans="1:9">
      <c r="A37" s="93" t="s">
        <v>1301</v>
      </c>
      <c r="B37" s="93" t="s">
        <v>1302</v>
      </c>
      <c r="C37" s="106">
        <v>46171</v>
      </c>
      <c r="D37" s="97">
        <v>0.78472222222222221</v>
      </c>
      <c r="E37" s="97">
        <v>0.84027777777777779</v>
      </c>
      <c r="F37" s="94" t="s">
        <v>1688</v>
      </c>
      <c r="G37" s="94" t="s">
        <v>1689</v>
      </c>
      <c r="H37" s="95">
        <v>552068774</v>
      </c>
      <c r="I37" s="94" t="s">
        <v>13</v>
      </c>
    </row>
    <row r="38" spans="1:9">
      <c r="A38" s="93" t="s">
        <v>1310</v>
      </c>
      <c r="B38" s="93" t="s">
        <v>1311</v>
      </c>
      <c r="C38" s="106">
        <v>46171</v>
      </c>
      <c r="D38" s="97"/>
      <c r="E38" s="97"/>
      <c r="F38" s="94"/>
      <c r="G38" s="94"/>
      <c r="H38" s="95"/>
      <c r="I38" s="94"/>
    </row>
    <row r="39" spans="1:9">
      <c r="A39" s="93" t="s">
        <v>1313</v>
      </c>
      <c r="B39" s="93" t="s">
        <v>1314</v>
      </c>
      <c r="C39" s="106">
        <v>46171</v>
      </c>
      <c r="D39" s="97">
        <v>0.77083333333333337</v>
      </c>
      <c r="E39" s="97"/>
      <c r="F39" s="94" t="s">
        <v>1688</v>
      </c>
      <c r="G39" s="94" t="s">
        <v>1689</v>
      </c>
      <c r="H39" s="95">
        <v>552068774</v>
      </c>
      <c r="I39" s="94" t="s">
        <v>13</v>
      </c>
    </row>
    <row r="40" spans="1:9">
      <c r="A40" s="93" t="s">
        <v>1331</v>
      </c>
      <c r="B40" s="93" t="s">
        <v>1332</v>
      </c>
      <c r="C40" s="106">
        <v>46171</v>
      </c>
      <c r="D40" s="97">
        <v>0.79166666666666663</v>
      </c>
      <c r="E40" s="97">
        <v>0.8125</v>
      </c>
      <c r="F40" s="94" t="s">
        <v>1688</v>
      </c>
      <c r="G40" s="94" t="s">
        <v>1689</v>
      </c>
      <c r="H40" s="95">
        <v>552068774</v>
      </c>
      <c r="I40" s="94" t="s">
        <v>13</v>
      </c>
    </row>
    <row r="41" spans="1:9">
      <c r="A41" s="93" t="s">
        <v>1344</v>
      </c>
      <c r="B41" s="93" t="s">
        <v>1345</v>
      </c>
      <c r="C41" s="106">
        <v>46171</v>
      </c>
      <c r="D41" s="97">
        <v>0.78125</v>
      </c>
      <c r="E41" s="97">
        <v>0.79166666666666663</v>
      </c>
      <c r="F41" s="94" t="s">
        <v>1704</v>
      </c>
      <c r="G41" s="94" t="s">
        <v>1705</v>
      </c>
      <c r="H41" s="95">
        <v>245663356</v>
      </c>
      <c r="I41" s="94" t="s">
        <v>13</v>
      </c>
    </row>
    <row r="42" spans="1:9">
      <c r="A42" s="93" t="s">
        <v>1384</v>
      </c>
      <c r="B42" s="93" t="s">
        <v>140</v>
      </c>
      <c r="C42" s="106">
        <v>46171</v>
      </c>
      <c r="D42" s="97">
        <v>0.76388888888888884</v>
      </c>
      <c r="E42" s="97">
        <v>0.82291666666666663</v>
      </c>
      <c r="F42" s="94" t="s">
        <v>1704</v>
      </c>
      <c r="G42" s="94" t="s">
        <v>1705</v>
      </c>
      <c r="H42" s="95">
        <v>245663356</v>
      </c>
      <c r="I42" s="94" t="s">
        <v>13</v>
      </c>
    </row>
    <row r="43" spans="1:9">
      <c r="A43" s="93" t="s">
        <v>1404</v>
      </c>
      <c r="B43" s="93" t="s">
        <v>1405</v>
      </c>
      <c r="C43" s="106">
        <v>46171</v>
      </c>
      <c r="D43" s="97">
        <v>0.79166666666666663</v>
      </c>
      <c r="E43" s="97">
        <v>0.8125</v>
      </c>
      <c r="F43" s="94" t="s">
        <v>1688</v>
      </c>
      <c r="G43" s="94" t="s">
        <v>831</v>
      </c>
      <c r="H43" s="95">
        <v>595618046</v>
      </c>
      <c r="I43" s="94" t="s">
        <v>21</v>
      </c>
    </row>
    <row r="44" spans="1:9">
      <c r="A44" s="93" t="s">
        <v>1717</v>
      </c>
      <c r="B44" s="93" t="s">
        <v>1718</v>
      </c>
      <c r="C44" s="106">
        <v>46290</v>
      </c>
      <c r="D44" s="97">
        <v>0.77500000000000002</v>
      </c>
      <c r="E44" s="97">
        <v>0.80902777777777779</v>
      </c>
      <c r="F44" s="94" t="s">
        <v>1719</v>
      </c>
      <c r="G44" s="94" t="s">
        <v>1720</v>
      </c>
      <c r="H44" s="95">
        <v>246432786</v>
      </c>
      <c r="I44" s="94" t="s">
        <v>42</v>
      </c>
    </row>
    <row r="45" spans="1:9">
      <c r="A45" s="93">
        <v>318</v>
      </c>
      <c r="B45" s="93" t="s">
        <v>1520</v>
      </c>
      <c r="C45" s="106">
        <v>46290</v>
      </c>
      <c r="D45" s="97">
        <v>0.78888888888888886</v>
      </c>
      <c r="E45" s="97">
        <v>0.79861111111111116</v>
      </c>
      <c r="F45" s="94" t="s">
        <v>1721</v>
      </c>
      <c r="G45" s="94" t="s">
        <v>1722</v>
      </c>
      <c r="H45" s="95">
        <v>244085908</v>
      </c>
      <c r="I45" s="94" t="s">
        <v>1723</v>
      </c>
    </row>
    <row r="46" spans="1:9">
      <c r="A46" s="93">
        <v>407</v>
      </c>
      <c r="B46" s="93" t="s">
        <v>1626</v>
      </c>
      <c r="C46" s="106">
        <v>46290</v>
      </c>
      <c r="D46" s="97">
        <v>0.78194444444444444</v>
      </c>
      <c r="E46" s="97">
        <v>0.79861111111111116</v>
      </c>
      <c r="F46" s="94" t="s">
        <v>1704</v>
      </c>
      <c r="G46" s="94" t="s">
        <v>1705</v>
      </c>
      <c r="H46" s="95">
        <v>245663356</v>
      </c>
      <c r="I46" s="94" t="s">
        <v>13</v>
      </c>
    </row>
    <row r="47" spans="1:9">
      <c r="A47" s="93">
        <v>392</v>
      </c>
      <c r="B47" s="93" t="s">
        <v>1584</v>
      </c>
      <c r="C47" s="106">
        <v>46290</v>
      </c>
      <c r="D47" s="97">
        <v>0.80555555555555558</v>
      </c>
      <c r="E47" s="97"/>
      <c r="F47" s="94" t="s">
        <v>1711</v>
      </c>
      <c r="G47" s="94" t="s">
        <v>1712</v>
      </c>
      <c r="H47" s="95">
        <v>541835895</v>
      </c>
      <c r="I47" s="94" t="s">
        <v>19</v>
      </c>
    </row>
    <row r="48" spans="1:9">
      <c r="A48" s="93">
        <v>363</v>
      </c>
      <c r="B48" s="93" t="s">
        <v>1005</v>
      </c>
      <c r="C48" s="106">
        <v>46290</v>
      </c>
      <c r="D48" s="97"/>
      <c r="E48" s="97"/>
      <c r="F48" s="94"/>
      <c r="G48" s="94"/>
      <c r="H48" s="95"/>
      <c r="I48" s="94"/>
    </row>
    <row r="49" spans="1:9">
      <c r="A49" s="93">
        <v>374</v>
      </c>
      <c r="B49" s="93" t="s">
        <v>1724</v>
      </c>
      <c r="C49" s="106">
        <v>46290</v>
      </c>
      <c r="D49" s="97"/>
      <c r="E49" s="97"/>
      <c r="F49" s="94"/>
      <c r="G49" s="94"/>
      <c r="H49" s="95"/>
      <c r="I49" s="94"/>
    </row>
    <row r="54" spans="1:9">
      <c r="C54" s="92"/>
    </row>
    <row r="55" spans="1:9">
      <c r="C55" s="92"/>
    </row>
    <row r="56" spans="1:9">
      <c r="C56" s="92"/>
      <c r="D56" s="92"/>
    </row>
    <row r="57" spans="1:9">
      <c r="C57" s="92"/>
      <c r="F57" s="92"/>
    </row>
    <row r="59" spans="1:9">
      <c r="C59" s="92"/>
    </row>
    <row r="60" spans="1:9">
      <c r="C60" s="92"/>
    </row>
    <row r="62" spans="1:9">
      <c r="C62" s="92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147"/>
  <sheetViews>
    <sheetView showGridLines="0" zoomScale="110" zoomScaleNormal="110" workbookViewId="0">
      <pane ySplit="1" topLeftCell="A2" activePane="bottomLeft" state="frozen"/>
      <selection pane="bottomLeft" activeCell="B146" sqref="B146"/>
      <selection activeCell="D1" sqref="D1"/>
    </sheetView>
  </sheetViews>
  <sheetFormatPr defaultRowHeight="15"/>
  <cols>
    <col min="1" max="1" width="9.140625" style="98" bestFit="1" customWidth="1"/>
    <col min="2" max="2" width="31.85546875" style="98" bestFit="1" customWidth="1"/>
    <col min="3" max="3" width="29.5703125" style="98" customWidth="1"/>
    <col min="4" max="4" width="27.85546875" style="98" bestFit="1" customWidth="1"/>
    <col min="5" max="5" width="9.85546875" style="98" bestFit="1" customWidth="1"/>
    <col min="6" max="6" width="13.42578125" style="98" bestFit="1" customWidth="1"/>
  </cols>
  <sheetData>
    <row r="1" spans="1:6">
      <c r="A1" s="98" t="s">
        <v>3</v>
      </c>
      <c r="B1" s="98" t="s">
        <v>1725</v>
      </c>
      <c r="C1" s="98" t="s">
        <v>1726</v>
      </c>
      <c r="D1" s="98" t="s">
        <v>1663</v>
      </c>
      <c r="E1" s="98" t="s">
        <v>1727</v>
      </c>
      <c r="F1" s="98" t="s">
        <v>1676</v>
      </c>
    </row>
    <row r="2" spans="1:6">
      <c r="A2" s="98">
        <v>317</v>
      </c>
      <c r="B2" s="98" t="s">
        <v>1371</v>
      </c>
      <c r="C2" s="100">
        <v>551128941</v>
      </c>
      <c r="D2" s="101">
        <v>46104</v>
      </c>
      <c r="E2" s="102">
        <v>0.375</v>
      </c>
      <c r="F2" s="103">
        <v>20</v>
      </c>
    </row>
    <row r="3" spans="1:6" hidden="1">
      <c r="A3" s="98">
        <v>225</v>
      </c>
      <c r="B3" s="98" t="s">
        <v>1728</v>
      </c>
      <c r="C3" s="100">
        <v>559886137</v>
      </c>
      <c r="D3" s="101">
        <v>46104</v>
      </c>
      <c r="E3" s="102">
        <v>0.5625</v>
      </c>
      <c r="F3" s="103">
        <v>50</v>
      </c>
    </row>
    <row r="4" spans="1:6" hidden="1">
      <c r="A4" s="98">
        <v>283</v>
      </c>
      <c r="B4" s="98" t="s">
        <v>1271</v>
      </c>
      <c r="C4" s="100">
        <v>545722954</v>
      </c>
      <c r="D4" s="101">
        <v>46106</v>
      </c>
      <c r="E4" s="102">
        <v>0.45833333333333331</v>
      </c>
      <c r="F4" s="103">
        <v>30</v>
      </c>
    </row>
    <row r="5" spans="1:6" hidden="1">
      <c r="A5" s="98">
        <v>239</v>
      </c>
      <c r="C5" s="100"/>
      <c r="D5" s="101">
        <v>46106</v>
      </c>
      <c r="E5" s="102">
        <v>0.47916666666666669</v>
      </c>
      <c r="F5" s="103">
        <v>50</v>
      </c>
    </row>
    <row r="6" spans="1:6" hidden="1">
      <c r="A6" s="98">
        <v>234</v>
      </c>
      <c r="B6" s="98" t="s">
        <v>996</v>
      </c>
      <c r="C6" s="100"/>
      <c r="D6" s="101">
        <v>46106</v>
      </c>
      <c r="E6" s="102">
        <v>0.59027777777777779</v>
      </c>
      <c r="F6" s="103">
        <v>50</v>
      </c>
    </row>
    <row r="7" spans="1:6" hidden="1">
      <c r="A7" s="98">
        <v>281</v>
      </c>
      <c r="B7" s="98" t="s">
        <v>1729</v>
      </c>
      <c r="C7" s="100">
        <v>592488768</v>
      </c>
      <c r="D7" s="101">
        <v>46106</v>
      </c>
      <c r="E7" s="102">
        <v>0.53125</v>
      </c>
      <c r="F7" s="103">
        <v>50</v>
      </c>
    </row>
    <row r="8" spans="1:6" hidden="1">
      <c r="A8" s="98">
        <v>321</v>
      </c>
      <c r="B8" s="98" t="s">
        <v>1730</v>
      </c>
      <c r="C8" s="100" t="s">
        <v>1731</v>
      </c>
      <c r="D8" s="101">
        <v>46111</v>
      </c>
      <c r="E8" s="102">
        <v>0.4513888888888889</v>
      </c>
      <c r="F8" s="103">
        <v>50</v>
      </c>
    </row>
    <row r="9" spans="1:6" s="98" customFormat="1" hidden="1">
      <c r="A9" s="98">
        <v>257</v>
      </c>
      <c r="B9" s="99" t="s">
        <v>1732</v>
      </c>
      <c r="C9" s="104" t="s">
        <v>1733</v>
      </c>
      <c r="D9" s="101">
        <v>46111</v>
      </c>
      <c r="E9" s="102">
        <v>0.46527777777777779</v>
      </c>
      <c r="F9" s="103">
        <v>50</v>
      </c>
    </row>
    <row r="10" spans="1:6" s="98" customFormat="1" hidden="1">
      <c r="A10" s="98">
        <v>303</v>
      </c>
      <c r="B10" s="99" t="s">
        <v>1734</v>
      </c>
      <c r="C10" s="104">
        <v>550472780</v>
      </c>
      <c r="D10" s="101">
        <v>46111</v>
      </c>
      <c r="E10" s="102">
        <v>0.4777777777777778</v>
      </c>
      <c r="F10" s="103">
        <v>50</v>
      </c>
    </row>
    <row r="11" spans="1:6" s="98" customFormat="1" hidden="1">
      <c r="A11" s="98">
        <v>247</v>
      </c>
      <c r="B11" s="99" t="s">
        <v>1735</v>
      </c>
      <c r="C11" s="104" t="s">
        <v>1736</v>
      </c>
      <c r="D11" s="101">
        <v>46113</v>
      </c>
      <c r="E11" s="102">
        <v>0.39583333333333331</v>
      </c>
      <c r="F11" s="103">
        <v>50</v>
      </c>
    </row>
    <row r="12" spans="1:6" s="98" customFormat="1" hidden="1">
      <c r="A12" s="98">
        <v>220</v>
      </c>
      <c r="B12" s="99" t="s">
        <v>1737</v>
      </c>
      <c r="C12" s="104" t="s">
        <v>1738</v>
      </c>
      <c r="D12" s="101">
        <v>46118</v>
      </c>
      <c r="E12" s="102">
        <v>0.38194444444444442</v>
      </c>
      <c r="F12" s="103">
        <v>50</v>
      </c>
    </row>
    <row r="13" spans="1:6" s="98" customFormat="1" hidden="1">
      <c r="A13" s="98">
        <v>309</v>
      </c>
      <c r="B13" s="99" t="s">
        <v>1739</v>
      </c>
      <c r="C13" s="104" t="s">
        <v>1740</v>
      </c>
      <c r="D13" s="101">
        <v>46118</v>
      </c>
      <c r="E13" s="102">
        <v>0.40625</v>
      </c>
      <c r="F13" s="103">
        <v>50</v>
      </c>
    </row>
    <row r="14" spans="1:6" s="98" customFormat="1" hidden="1">
      <c r="A14" s="98">
        <v>297</v>
      </c>
      <c r="B14" s="99" t="s">
        <v>1741</v>
      </c>
      <c r="C14" s="104" t="s">
        <v>1742</v>
      </c>
      <c r="D14" s="101">
        <v>46118</v>
      </c>
      <c r="E14" s="102">
        <v>0.43055555555555558</v>
      </c>
      <c r="F14" s="103">
        <v>50</v>
      </c>
    </row>
    <row r="15" spans="1:6" s="98" customFormat="1" hidden="1">
      <c r="B15" s="99"/>
      <c r="C15" s="104"/>
      <c r="D15" s="101">
        <v>46118</v>
      </c>
      <c r="E15" s="102">
        <v>0.47916666666666669</v>
      </c>
      <c r="F15" s="103">
        <v>50</v>
      </c>
    </row>
    <row r="16" spans="1:6" s="98" customFormat="1" hidden="1">
      <c r="A16" s="98">
        <v>290</v>
      </c>
      <c r="B16" s="99" t="s">
        <v>1291</v>
      </c>
      <c r="C16" s="104">
        <v>533448723</v>
      </c>
      <c r="D16" s="101">
        <v>46118</v>
      </c>
      <c r="E16" s="102">
        <v>0.51041666666666663</v>
      </c>
      <c r="F16" s="103">
        <v>50</v>
      </c>
    </row>
    <row r="17" spans="1:6" s="98" customFormat="1" hidden="1">
      <c r="A17" s="98">
        <v>313</v>
      </c>
      <c r="B17" s="99" t="s">
        <v>1743</v>
      </c>
      <c r="C17" s="104" t="s">
        <v>1744</v>
      </c>
      <c r="D17" s="101">
        <v>46120</v>
      </c>
      <c r="E17" s="102">
        <v>0.46527777777777779</v>
      </c>
      <c r="F17" s="103">
        <v>50</v>
      </c>
    </row>
    <row r="18" spans="1:6" s="98" customFormat="1" hidden="1">
      <c r="A18" s="98">
        <v>315</v>
      </c>
      <c r="B18" s="99" t="s">
        <v>1745</v>
      </c>
      <c r="C18" s="104" t="s">
        <v>1746</v>
      </c>
      <c r="D18" s="101">
        <v>46120</v>
      </c>
      <c r="E18" s="102">
        <v>0.48958333333333331</v>
      </c>
      <c r="F18" s="103">
        <v>50</v>
      </c>
    </row>
    <row r="19" spans="1:6" s="98" customFormat="1" hidden="1">
      <c r="A19" s="98">
        <v>298</v>
      </c>
      <c r="B19" s="99" t="s">
        <v>1747</v>
      </c>
      <c r="C19" s="104">
        <v>552584335</v>
      </c>
      <c r="D19" s="101">
        <v>46125</v>
      </c>
      <c r="E19" s="102">
        <v>0.375</v>
      </c>
      <c r="F19" s="103">
        <v>50</v>
      </c>
    </row>
    <row r="20" spans="1:6" s="98" customFormat="1" hidden="1">
      <c r="A20" s="98">
        <v>289</v>
      </c>
      <c r="B20" s="99" t="s">
        <v>1288</v>
      </c>
      <c r="C20" s="104">
        <v>546560809</v>
      </c>
      <c r="D20" s="101">
        <v>46132</v>
      </c>
      <c r="E20" s="102">
        <v>0.41666666666666669</v>
      </c>
      <c r="F20" s="103">
        <v>50</v>
      </c>
    </row>
    <row r="21" spans="1:6" s="98" customFormat="1" hidden="1">
      <c r="A21" s="98">
        <v>225</v>
      </c>
      <c r="B21" s="99" t="s">
        <v>1748</v>
      </c>
      <c r="C21" s="104">
        <v>558603399</v>
      </c>
      <c r="D21" s="101">
        <v>46132</v>
      </c>
      <c r="E21" s="102">
        <v>0.43055555555555558</v>
      </c>
      <c r="F21" s="103">
        <v>50</v>
      </c>
    </row>
    <row r="22" spans="1:6" s="98" customFormat="1" hidden="1">
      <c r="A22" s="98">
        <v>321</v>
      </c>
      <c r="B22" s="99" t="s">
        <v>1749</v>
      </c>
      <c r="C22" s="104" t="s">
        <v>1750</v>
      </c>
      <c r="D22" s="101">
        <v>46134</v>
      </c>
      <c r="E22" s="102">
        <v>0.88888888888888884</v>
      </c>
      <c r="F22" s="103">
        <v>20</v>
      </c>
    </row>
    <row r="23" spans="1:6" s="98" customFormat="1" hidden="1">
      <c r="A23" s="98">
        <v>311</v>
      </c>
      <c r="B23" s="99" t="s">
        <v>1751</v>
      </c>
      <c r="C23" s="104" t="s">
        <v>1752</v>
      </c>
      <c r="D23" s="101">
        <v>46139</v>
      </c>
      <c r="E23" s="102">
        <v>0.37777777777777777</v>
      </c>
      <c r="F23" s="103">
        <v>50</v>
      </c>
    </row>
    <row r="24" spans="1:6" s="98" customFormat="1" hidden="1">
      <c r="A24" s="98">
        <v>333</v>
      </c>
      <c r="B24" s="99" t="s">
        <v>1753</v>
      </c>
      <c r="C24" s="104" t="s">
        <v>1754</v>
      </c>
      <c r="D24" s="101">
        <v>46139</v>
      </c>
      <c r="E24" s="102">
        <v>0.39583333333333331</v>
      </c>
      <c r="F24" s="103">
        <v>50</v>
      </c>
    </row>
    <row r="25" spans="1:6" s="98" customFormat="1" hidden="1">
      <c r="A25" s="98">
        <v>334</v>
      </c>
      <c r="B25" s="99" t="s">
        <v>1755</v>
      </c>
      <c r="C25" s="104" t="s">
        <v>1756</v>
      </c>
      <c r="D25" s="101">
        <v>46139</v>
      </c>
      <c r="E25" s="102">
        <v>0.4201388888888889</v>
      </c>
      <c r="F25" s="103">
        <v>0</v>
      </c>
    </row>
    <row r="26" spans="1:6" s="98" customFormat="1" hidden="1">
      <c r="A26" s="98">
        <v>327</v>
      </c>
      <c r="B26" s="99" t="s">
        <v>1757</v>
      </c>
      <c r="C26" s="104" t="s">
        <v>1758</v>
      </c>
      <c r="D26" s="101">
        <v>46141</v>
      </c>
      <c r="E26" s="102">
        <v>0.40277777777777779</v>
      </c>
      <c r="F26" s="103">
        <v>0</v>
      </c>
    </row>
    <row r="27" spans="1:6" s="98" customFormat="1" hidden="1">
      <c r="A27" s="98">
        <v>328</v>
      </c>
      <c r="B27" s="99" t="s">
        <v>1759</v>
      </c>
      <c r="C27" s="104" t="s">
        <v>1760</v>
      </c>
      <c r="D27" s="101">
        <v>46146</v>
      </c>
      <c r="E27" s="102">
        <v>0.34375</v>
      </c>
      <c r="F27" s="103">
        <v>0</v>
      </c>
    </row>
    <row r="28" spans="1:6" s="98" customFormat="1" hidden="1">
      <c r="A28" s="98">
        <v>337</v>
      </c>
      <c r="B28" s="99" t="s">
        <v>1761</v>
      </c>
      <c r="C28" s="104" t="s">
        <v>1762</v>
      </c>
      <c r="D28" s="101">
        <v>46146</v>
      </c>
      <c r="E28" s="102">
        <v>0.39583333333333331</v>
      </c>
      <c r="F28" s="103">
        <v>50</v>
      </c>
    </row>
    <row r="29" spans="1:6" s="98" customFormat="1" hidden="1">
      <c r="A29" s="98">
        <v>310</v>
      </c>
      <c r="B29" s="99" t="s">
        <v>1763</v>
      </c>
      <c r="C29" s="104">
        <v>245739203</v>
      </c>
      <c r="D29" s="101">
        <v>46146</v>
      </c>
      <c r="E29" s="102">
        <v>0.45</v>
      </c>
      <c r="F29" s="103">
        <v>50</v>
      </c>
    </row>
    <row r="30" spans="1:6" s="98" customFormat="1" hidden="1">
      <c r="A30" s="98" t="s">
        <v>1764</v>
      </c>
      <c r="B30" s="99" t="s">
        <v>1765</v>
      </c>
      <c r="C30" s="104" t="s">
        <v>1766</v>
      </c>
      <c r="D30" s="101">
        <v>46146</v>
      </c>
      <c r="E30" s="102">
        <v>0.47916666666666669</v>
      </c>
      <c r="F30" s="103">
        <v>50</v>
      </c>
    </row>
    <row r="31" spans="1:6" s="98" customFormat="1" hidden="1">
      <c r="A31" s="98">
        <v>236</v>
      </c>
      <c r="B31" s="99" t="s">
        <v>1767</v>
      </c>
      <c r="C31" s="104"/>
      <c r="D31" s="101">
        <v>46146</v>
      </c>
      <c r="E31" s="102">
        <v>0.5</v>
      </c>
      <c r="F31" s="103">
        <v>50</v>
      </c>
    </row>
    <row r="32" spans="1:6" s="98" customFormat="1" hidden="1">
      <c r="A32" s="98">
        <v>306</v>
      </c>
      <c r="B32" s="99" t="s">
        <v>1121</v>
      </c>
      <c r="C32" s="104">
        <v>542518874</v>
      </c>
      <c r="D32" s="101">
        <v>46146</v>
      </c>
      <c r="E32" s="102">
        <v>0.54166666666666663</v>
      </c>
      <c r="F32" s="103">
        <v>50</v>
      </c>
    </row>
    <row r="33" spans="1:6" s="98" customFormat="1" hidden="1">
      <c r="A33" s="98">
        <v>303</v>
      </c>
      <c r="B33" s="99" t="s">
        <v>1768</v>
      </c>
      <c r="C33" s="104" t="s">
        <v>1769</v>
      </c>
      <c r="D33" s="101">
        <v>46146</v>
      </c>
      <c r="E33" s="102">
        <v>0.54513888888888884</v>
      </c>
      <c r="F33" s="103">
        <v>50</v>
      </c>
    </row>
    <row r="34" spans="1:6" s="98" customFormat="1" hidden="1">
      <c r="A34" s="98">
        <v>325</v>
      </c>
      <c r="B34" s="99" t="s">
        <v>1374</v>
      </c>
      <c r="C34" s="104">
        <v>246866890</v>
      </c>
      <c r="D34" s="101">
        <v>46146</v>
      </c>
      <c r="E34" s="102">
        <v>0.65277777777777779</v>
      </c>
      <c r="F34" s="103">
        <v>40</v>
      </c>
    </row>
    <row r="35" spans="1:6" s="98" customFormat="1" hidden="1">
      <c r="A35" s="98">
        <v>331</v>
      </c>
      <c r="B35" s="99" t="s">
        <v>1770</v>
      </c>
      <c r="C35" s="104" t="s">
        <v>1771</v>
      </c>
      <c r="D35" s="101">
        <v>46148</v>
      </c>
      <c r="E35" s="102">
        <v>0.38263888888888886</v>
      </c>
      <c r="F35" s="103">
        <v>50</v>
      </c>
    </row>
    <row r="36" spans="1:6" s="98" customFormat="1" hidden="1">
      <c r="A36" s="98">
        <v>271</v>
      </c>
      <c r="B36" s="99" t="s">
        <v>1772</v>
      </c>
      <c r="C36" s="104">
        <v>240836873</v>
      </c>
      <c r="D36" s="101">
        <v>46148</v>
      </c>
      <c r="E36" s="102">
        <v>0.3888888888888889</v>
      </c>
      <c r="F36" s="103">
        <v>50</v>
      </c>
    </row>
    <row r="37" spans="1:6" s="98" customFormat="1" hidden="1">
      <c r="A37" s="98">
        <v>309</v>
      </c>
      <c r="B37" s="99"/>
      <c r="C37" s="104"/>
      <c r="D37" s="101">
        <v>46148</v>
      </c>
      <c r="E37" s="102">
        <v>0.45833333333333331</v>
      </c>
      <c r="F37" s="103">
        <v>50</v>
      </c>
    </row>
    <row r="38" spans="1:6" s="98" customFormat="1" hidden="1">
      <c r="A38" s="98">
        <v>332</v>
      </c>
      <c r="B38" s="99" t="s">
        <v>1773</v>
      </c>
      <c r="C38" s="118" t="s">
        <v>1774</v>
      </c>
      <c r="D38" s="101">
        <v>46148</v>
      </c>
      <c r="E38" s="102">
        <v>0.48958333333333331</v>
      </c>
      <c r="F38" s="103">
        <v>50</v>
      </c>
    </row>
    <row r="39" spans="1:6" s="98" customFormat="1">
      <c r="A39" s="98">
        <v>317</v>
      </c>
      <c r="B39" s="99" t="s">
        <v>1775</v>
      </c>
      <c r="C39" s="118" t="s">
        <v>1776</v>
      </c>
      <c r="D39" s="101">
        <v>46153</v>
      </c>
      <c r="E39" s="102">
        <v>0.41666666666666669</v>
      </c>
      <c r="F39" s="103">
        <v>50</v>
      </c>
    </row>
    <row r="40" spans="1:6" s="98" customFormat="1" hidden="1">
      <c r="A40" s="98">
        <v>272</v>
      </c>
      <c r="B40" s="99" t="s">
        <v>1777</v>
      </c>
      <c r="C40" s="118" t="s">
        <v>1778</v>
      </c>
      <c r="D40" s="101">
        <v>46153</v>
      </c>
      <c r="E40" s="102">
        <v>0.43541666666666667</v>
      </c>
      <c r="F40" s="103">
        <v>50</v>
      </c>
    </row>
    <row r="41" spans="1:6" s="98" customFormat="1" hidden="1">
      <c r="A41" s="98">
        <v>325</v>
      </c>
      <c r="B41" s="99" t="s">
        <v>1779</v>
      </c>
      <c r="C41" s="118" t="s">
        <v>1780</v>
      </c>
      <c r="D41" s="101">
        <v>46155</v>
      </c>
      <c r="E41" s="102">
        <v>0.59027777777777779</v>
      </c>
      <c r="F41" s="103"/>
    </row>
    <row r="42" spans="1:6" s="98" customFormat="1" hidden="1">
      <c r="A42" s="98">
        <v>257</v>
      </c>
      <c r="B42" s="99" t="s">
        <v>1732</v>
      </c>
      <c r="C42" s="118"/>
      <c r="D42" s="101">
        <v>46155</v>
      </c>
      <c r="E42" s="102">
        <v>0.63888888888888884</v>
      </c>
      <c r="F42" s="103"/>
    </row>
    <row r="43" spans="1:6" s="98" customFormat="1" hidden="1">
      <c r="A43" s="98">
        <v>298</v>
      </c>
      <c r="B43" s="99" t="s">
        <v>1747</v>
      </c>
      <c r="C43" s="118">
        <v>552584335</v>
      </c>
      <c r="D43" s="101">
        <v>46162</v>
      </c>
      <c r="E43" s="102">
        <v>0.3611111111111111</v>
      </c>
      <c r="F43" s="103">
        <v>50</v>
      </c>
    </row>
    <row r="44" spans="1:6" s="98" customFormat="1" hidden="1">
      <c r="A44" s="98">
        <v>344</v>
      </c>
      <c r="B44" s="99" t="s">
        <v>1781</v>
      </c>
      <c r="C44" s="118" t="s">
        <v>1782</v>
      </c>
      <c r="D44" s="101">
        <v>46162</v>
      </c>
      <c r="E44" s="102">
        <v>0.375</v>
      </c>
      <c r="F44" s="103">
        <v>50</v>
      </c>
    </row>
    <row r="45" spans="1:6" s="98" customFormat="1" hidden="1">
      <c r="A45" s="98">
        <v>342</v>
      </c>
      <c r="B45" s="99"/>
      <c r="C45" s="118"/>
      <c r="D45" s="101">
        <v>46162</v>
      </c>
      <c r="E45" s="102">
        <v>0.3611111111111111</v>
      </c>
      <c r="F45" s="103">
        <v>50</v>
      </c>
    </row>
    <row r="46" spans="1:6" s="98" customFormat="1" hidden="1">
      <c r="A46" s="98">
        <v>339</v>
      </c>
      <c r="B46" s="99" t="s">
        <v>1432</v>
      </c>
      <c r="C46" s="118">
        <v>541500105</v>
      </c>
      <c r="D46" s="101">
        <v>46162</v>
      </c>
      <c r="E46" s="102">
        <v>0.40208333333333335</v>
      </c>
      <c r="F46" s="103">
        <v>30</v>
      </c>
    </row>
    <row r="47" spans="1:6" s="98" customFormat="1" hidden="1">
      <c r="A47" s="98">
        <v>333</v>
      </c>
      <c r="B47" s="99" t="s">
        <v>1753</v>
      </c>
      <c r="C47" s="104" t="s">
        <v>1754</v>
      </c>
      <c r="D47" s="101">
        <v>46162</v>
      </c>
      <c r="E47" s="102">
        <v>0.42708333333333331</v>
      </c>
      <c r="F47" s="103">
        <v>50</v>
      </c>
    </row>
    <row r="48" spans="1:6" s="98" customFormat="1" hidden="1">
      <c r="A48" s="98">
        <v>341</v>
      </c>
      <c r="B48" s="99" t="s">
        <v>1783</v>
      </c>
      <c r="C48" s="118">
        <v>503472718</v>
      </c>
      <c r="D48" s="101">
        <v>46162</v>
      </c>
      <c r="E48" s="102">
        <v>0.42708333333333331</v>
      </c>
      <c r="F48" s="103">
        <v>50</v>
      </c>
    </row>
    <row r="49" spans="1:6" s="98" customFormat="1" hidden="1">
      <c r="A49" s="98">
        <v>346</v>
      </c>
      <c r="B49" s="99" t="s">
        <v>1784</v>
      </c>
      <c r="C49" s="118">
        <v>244819244</v>
      </c>
      <c r="D49" s="101">
        <v>46162</v>
      </c>
      <c r="E49" s="102">
        <v>0.53472222222222221</v>
      </c>
      <c r="F49" s="103">
        <v>50</v>
      </c>
    </row>
    <row r="50" spans="1:6" s="98" customFormat="1" ht="27" hidden="1" customHeight="1">
      <c r="A50" s="98">
        <v>350</v>
      </c>
      <c r="B50" s="99" t="s">
        <v>1785</v>
      </c>
      <c r="C50" s="118">
        <v>257174158</v>
      </c>
      <c r="D50" s="101">
        <v>46176</v>
      </c>
      <c r="E50" s="102">
        <v>0.34722222222222221</v>
      </c>
      <c r="F50" s="103">
        <v>50</v>
      </c>
    </row>
    <row r="51" spans="1:6" s="98" customFormat="1" hidden="1">
      <c r="A51" s="98">
        <v>343</v>
      </c>
      <c r="B51" s="99" t="s">
        <v>1786</v>
      </c>
      <c r="C51" s="118" t="s">
        <v>1787</v>
      </c>
      <c r="D51" s="101">
        <v>46176</v>
      </c>
      <c r="E51" s="102">
        <v>0.35694444444444445</v>
      </c>
      <c r="F51" s="103">
        <v>50</v>
      </c>
    </row>
    <row r="52" spans="1:6" s="98" customFormat="1" hidden="1">
      <c r="A52" s="98">
        <v>320</v>
      </c>
      <c r="B52" s="99" t="s">
        <v>1788</v>
      </c>
      <c r="C52" s="118">
        <v>540395054</v>
      </c>
      <c r="D52" s="101">
        <v>46176</v>
      </c>
      <c r="E52" s="102">
        <v>0.375</v>
      </c>
      <c r="F52" s="103">
        <v>50</v>
      </c>
    </row>
    <row r="53" spans="1:6" s="98" customFormat="1" hidden="1">
      <c r="A53" s="98">
        <v>348</v>
      </c>
      <c r="B53" s="99" t="s">
        <v>1789</v>
      </c>
      <c r="C53" s="118" t="s">
        <v>1790</v>
      </c>
      <c r="D53" s="101">
        <v>46181</v>
      </c>
      <c r="E53" s="102">
        <v>0.3611111111111111</v>
      </c>
      <c r="F53" s="103">
        <v>50</v>
      </c>
    </row>
    <row r="54" spans="1:6" s="98" customFormat="1" hidden="1">
      <c r="A54" s="98">
        <v>327</v>
      </c>
      <c r="B54" s="99" t="s">
        <v>1791</v>
      </c>
      <c r="C54" s="104" t="s">
        <v>1792</v>
      </c>
      <c r="D54" s="101">
        <v>46181</v>
      </c>
      <c r="E54" s="102">
        <v>0.375</v>
      </c>
      <c r="F54" s="103">
        <v>50</v>
      </c>
    </row>
    <row r="55" spans="1:6" s="98" customFormat="1" hidden="1">
      <c r="A55" s="98">
        <v>352</v>
      </c>
      <c r="B55" s="99"/>
      <c r="C55" s="104"/>
      <c r="D55" s="101">
        <v>46181</v>
      </c>
      <c r="E55" s="102">
        <v>0.44444444444444442</v>
      </c>
      <c r="F55" s="103">
        <v>50</v>
      </c>
    </row>
    <row r="56" spans="1:6" s="98" customFormat="1">
      <c r="A56" s="98">
        <v>317</v>
      </c>
      <c r="B56" s="99"/>
      <c r="C56" s="104"/>
      <c r="D56" s="101"/>
      <c r="E56" s="102"/>
      <c r="F56" s="103">
        <v>50</v>
      </c>
    </row>
    <row r="57" spans="1:6" s="98" customFormat="1" hidden="1">
      <c r="A57" s="98">
        <v>352</v>
      </c>
      <c r="B57" s="99" t="s">
        <v>1793</v>
      </c>
      <c r="C57" s="104" t="s">
        <v>1794</v>
      </c>
      <c r="D57" s="101">
        <v>46188</v>
      </c>
      <c r="E57" s="102">
        <v>0.41666666666666669</v>
      </c>
      <c r="F57" s="103">
        <v>50</v>
      </c>
    </row>
    <row r="58" spans="1:6" s="98" customFormat="1" hidden="1">
      <c r="A58" s="98">
        <v>358</v>
      </c>
      <c r="B58" s="99" t="s">
        <v>1795</v>
      </c>
      <c r="C58" s="104">
        <v>545732968</v>
      </c>
      <c r="D58" s="101">
        <v>46188</v>
      </c>
      <c r="E58" s="102">
        <v>0.4861111111111111</v>
      </c>
      <c r="F58" s="103">
        <v>50</v>
      </c>
    </row>
    <row r="59" spans="1:6" s="98" customFormat="1" hidden="1">
      <c r="A59" s="98">
        <v>345</v>
      </c>
      <c r="B59" s="99" t="s">
        <v>1796</v>
      </c>
      <c r="C59" s="104" t="s">
        <v>1797</v>
      </c>
      <c r="D59" s="101">
        <v>46188</v>
      </c>
      <c r="E59" s="102">
        <v>0.56944444444444442</v>
      </c>
      <c r="F59" s="103">
        <v>50</v>
      </c>
    </row>
    <row r="60" spans="1:6" s="98" customFormat="1" hidden="1">
      <c r="A60" s="98">
        <v>347</v>
      </c>
      <c r="B60" s="99"/>
      <c r="C60" s="104"/>
      <c r="D60" s="101"/>
      <c r="E60" s="102"/>
      <c r="F60" s="103">
        <v>50</v>
      </c>
    </row>
    <row r="61" spans="1:6" s="98" customFormat="1" hidden="1">
      <c r="A61" s="98">
        <v>304</v>
      </c>
      <c r="B61" s="99"/>
      <c r="C61" s="104"/>
      <c r="D61" s="101"/>
      <c r="E61" s="102"/>
      <c r="F61" s="103">
        <v>50</v>
      </c>
    </row>
    <row r="62" spans="1:6" s="98" customFormat="1" hidden="1">
      <c r="A62" s="98">
        <v>349</v>
      </c>
      <c r="B62" s="99" t="s">
        <v>1798</v>
      </c>
      <c r="C62" s="104" t="s">
        <v>1799</v>
      </c>
      <c r="D62" s="101">
        <v>46190</v>
      </c>
      <c r="E62" s="102">
        <v>0.47569444444444442</v>
      </c>
      <c r="F62" s="103">
        <v>50</v>
      </c>
    </row>
    <row r="63" spans="1:6" s="98" customFormat="1" hidden="1">
      <c r="A63" s="98">
        <v>332</v>
      </c>
      <c r="B63" s="99" t="s">
        <v>1800</v>
      </c>
      <c r="C63" s="104" t="s">
        <v>1801</v>
      </c>
      <c r="D63" s="101">
        <v>46197</v>
      </c>
      <c r="E63" s="102">
        <v>0.57708333333333328</v>
      </c>
      <c r="F63" s="103">
        <v>40</v>
      </c>
    </row>
    <row r="64" spans="1:6" s="98" customFormat="1" hidden="1">
      <c r="A64" s="98">
        <v>301</v>
      </c>
      <c r="B64" s="99" t="s">
        <v>1802</v>
      </c>
      <c r="C64" s="104" t="s">
        <v>1803</v>
      </c>
      <c r="D64" s="101">
        <v>46202</v>
      </c>
      <c r="E64" s="102">
        <v>0.375</v>
      </c>
      <c r="F64" s="103">
        <v>50</v>
      </c>
    </row>
    <row r="65" spans="1:6" s="98" customFormat="1" hidden="1">
      <c r="A65" s="98">
        <v>361</v>
      </c>
      <c r="B65" s="99" t="s">
        <v>1804</v>
      </c>
      <c r="C65" s="104" t="s">
        <v>1805</v>
      </c>
      <c r="D65" s="101">
        <v>46202</v>
      </c>
      <c r="E65" s="102">
        <v>0.39930555555555558</v>
      </c>
      <c r="F65" s="103">
        <v>50</v>
      </c>
    </row>
    <row r="66" spans="1:6" s="98" customFormat="1" hidden="1">
      <c r="A66" s="98">
        <v>339</v>
      </c>
      <c r="B66" s="99"/>
      <c r="C66" s="104"/>
      <c r="D66" s="101">
        <v>46204</v>
      </c>
      <c r="E66" s="102">
        <v>0.40277777777777779</v>
      </c>
      <c r="F66" s="103">
        <v>20</v>
      </c>
    </row>
    <row r="67" spans="1:6" s="98" customFormat="1" hidden="1">
      <c r="A67" s="98">
        <v>355</v>
      </c>
      <c r="B67" s="99" t="s">
        <v>1806</v>
      </c>
      <c r="C67" s="104">
        <v>242664040</v>
      </c>
      <c r="D67" s="101">
        <v>46204</v>
      </c>
      <c r="E67" s="102">
        <v>0.42708333333333331</v>
      </c>
      <c r="F67" s="103">
        <v>50</v>
      </c>
    </row>
    <row r="68" spans="1:6" s="98" customFormat="1" hidden="1">
      <c r="A68" s="98">
        <v>271</v>
      </c>
      <c r="B68" s="99" t="s">
        <v>1807</v>
      </c>
      <c r="C68" s="104" t="s">
        <v>1808</v>
      </c>
      <c r="D68" s="101">
        <v>46204</v>
      </c>
      <c r="E68" s="102">
        <v>0.43680555555555556</v>
      </c>
      <c r="F68" s="103">
        <v>50</v>
      </c>
    </row>
    <row r="69" spans="1:6" s="98" customFormat="1" hidden="1">
      <c r="A69" s="98">
        <v>344</v>
      </c>
      <c r="B69" s="99"/>
      <c r="C69" s="104"/>
      <c r="D69" s="101">
        <v>46204</v>
      </c>
      <c r="E69" s="102">
        <v>0.44861111111111113</v>
      </c>
      <c r="F69" s="103">
        <v>50</v>
      </c>
    </row>
    <row r="70" spans="1:6" s="98" customFormat="1" hidden="1">
      <c r="A70" s="98">
        <v>363</v>
      </c>
      <c r="B70" s="99" t="s">
        <v>1809</v>
      </c>
      <c r="C70" s="104" t="s">
        <v>1810</v>
      </c>
      <c r="D70" s="101">
        <v>46204</v>
      </c>
      <c r="E70" s="102">
        <v>0.45208333333333334</v>
      </c>
      <c r="F70" s="103">
        <v>50</v>
      </c>
    </row>
    <row r="71" spans="1:6" s="98" customFormat="1" hidden="1">
      <c r="A71" s="98">
        <v>304</v>
      </c>
      <c r="B71" s="99"/>
      <c r="C71" s="104"/>
      <c r="D71" s="101">
        <v>46204</v>
      </c>
      <c r="E71" s="102">
        <v>0.56319444444444444</v>
      </c>
      <c r="F71" s="103">
        <v>50</v>
      </c>
    </row>
    <row r="72" spans="1:6" s="98" customFormat="1" hidden="1">
      <c r="A72" s="98">
        <v>350</v>
      </c>
      <c r="B72" s="99"/>
      <c r="C72" s="104"/>
      <c r="D72" s="101">
        <v>46204</v>
      </c>
      <c r="E72" s="102">
        <v>0.56319444444444444</v>
      </c>
      <c r="F72" s="103">
        <v>50</v>
      </c>
    </row>
    <row r="73" spans="1:6" s="98" customFormat="1" hidden="1">
      <c r="A73" s="98">
        <v>371</v>
      </c>
      <c r="B73" s="99" t="s">
        <v>1811</v>
      </c>
      <c r="C73" s="104" t="s">
        <v>1812</v>
      </c>
      <c r="D73" s="101">
        <v>46209</v>
      </c>
      <c r="E73" s="102">
        <v>0.38611111111111113</v>
      </c>
      <c r="F73" s="103">
        <v>50</v>
      </c>
    </row>
    <row r="74" spans="1:6" s="98" customFormat="1" hidden="1">
      <c r="A74" s="98">
        <v>351</v>
      </c>
      <c r="B74" s="99" t="s">
        <v>1813</v>
      </c>
      <c r="C74" s="104" t="s">
        <v>1814</v>
      </c>
      <c r="D74" s="101">
        <v>46209</v>
      </c>
      <c r="E74" s="102">
        <v>0.41388888888888886</v>
      </c>
      <c r="F74" s="103">
        <v>50</v>
      </c>
    </row>
    <row r="75" spans="1:6" s="98" customFormat="1" ht="51" hidden="1" customHeight="1">
      <c r="A75" s="98">
        <v>355</v>
      </c>
      <c r="B75" s="99" t="s">
        <v>1815</v>
      </c>
      <c r="C75" s="104" t="s">
        <v>1816</v>
      </c>
      <c r="D75" s="101">
        <v>46209</v>
      </c>
      <c r="E75" s="102">
        <v>0.43055555555555558</v>
      </c>
      <c r="F75" s="103">
        <v>50</v>
      </c>
    </row>
    <row r="76" spans="1:6" s="98" customFormat="1" hidden="1">
      <c r="A76" s="98">
        <v>370</v>
      </c>
      <c r="B76" s="99" t="s">
        <v>1817</v>
      </c>
      <c r="C76" s="104"/>
      <c r="D76" s="101">
        <v>46209</v>
      </c>
      <c r="E76" s="102">
        <v>0.44791666666666669</v>
      </c>
      <c r="F76" s="103">
        <v>30</v>
      </c>
    </row>
    <row r="77" spans="1:6" s="98" customFormat="1" hidden="1">
      <c r="A77" s="98">
        <v>303</v>
      </c>
      <c r="B77" s="99" t="s">
        <v>1818</v>
      </c>
      <c r="C77" s="104">
        <v>240980936</v>
      </c>
      <c r="D77" s="101">
        <v>46209</v>
      </c>
      <c r="E77" s="102">
        <v>0.46944444444444444</v>
      </c>
      <c r="F77" s="103">
        <v>50</v>
      </c>
    </row>
    <row r="78" spans="1:6" s="98" customFormat="1" hidden="1">
      <c r="A78" s="98">
        <v>340</v>
      </c>
      <c r="B78" s="99" t="s">
        <v>1819</v>
      </c>
      <c r="C78" s="104">
        <v>553046041</v>
      </c>
      <c r="D78" s="101">
        <v>46209</v>
      </c>
      <c r="E78" s="102">
        <v>0.49305555555555558</v>
      </c>
      <c r="F78" s="103">
        <v>50</v>
      </c>
    </row>
    <row r="79" spans="1:6" s="98" customFormat="1" hidden="1">
      <c r="A79" s="98">
        <v>367</v>
      </c>
      <c r="B79" s="99" t="s">
        <v>108</v>
      </c>
      <c r="C79" s="104">
        <v>241185137</v>
      </c>
      <c r="D79" s="101">
        <v>46211</v>
      </c>
      <c r="E79" s="102">
        <v>0.36458333333333331</v>
      </c>
      <c r="F79" s="103">
        <v>50</v>
      </c>
    </row>
    <row r="80" spans="1:6" s="98" customFormat="1" hidden="1">
      <c r="A80" s="98">
        <v>348</v>
      </c>
      <c r="B80" s="99" t="s">
        <v>1789</v>
      </c>
      <c r="C80" s="118" t="s">
        <v>1790</v>
      </c>
      <c r="D80" s="101">
        <v>46211</v>
      </c>
      <c r="E80" s="102">
        <v>0.40625</v>
      </c>
      <c r="F80" s="103">
        <v>50</v>
      </c>
    </row>
    <row r="81" spans="1:6" s="98" customFormat="1" hidden="1">
      <c r="A81" s="98">
        <v>359</v>
      </c>
      <c r="B81" s="99" t="s">
        <v>1820</v>
      </c>
      <c r="C81" s="118" t="s">
        <v>1821</v>
      </c>
      <c r="D81" s="101">
        <v>46211</v>
      </c>
      <c r="E81" s="102">
        <v>0.43055555555555558</v>
      </c>
      <c r="F81" s="103">
        <v>40</v>
      </c>
    </row>
    <row r="82" spans="1:6" s="98" customFormat="1" hidden="1">
      <c r="A82" s="98">
        <v>252</v>
      </c>
      <c r="B82" s="99" t="s">
        <v>1822</v>
      </c>
      <c r="C82" s="118">
        <v>536795390</v>
      </c>
      <c r="D82" s="101">
        <v>46211</v>
      </c>
      <c r="E82" s="102">
        <v>0.59375</v>
      </c>
      <c r="F82" s="103">
        <v>50</v>
      </c>
    </row>
    <row r="83" spans="1:6" s="98" customFormat="1" hidden="1">
      <c r="A83" s="98">
        <v>365</v>
      </c>
      <c r="B83" s="99" t="s">
        <v>1823</v>
      </c>
      <c r="C83" s="118" t="s">
        <v>1824</v>
      </c>
      <c r="D83" s="101">
        <v>46253</v>
      </c>
      <c r="E83" s="102">
        <v>0.39930555555555558</v>
      </c>
      <c r="F83" s="103">
        <v>50</v>
      </c>
    </row>
    <row r="84" spans="1:6" s="98" customFormat="1" hidden="1">
      <c r="A84" s="98">
        <v>377</v>
      </c>
      <c r="B84" s="99" t="s">
        <v>1825</v>
      </c>
      <c r="C84" s="118" t="s">
        <v>1826</v>
      </c>
      <c r="D84" s="101">
        <v>46218</v>
      </c>
      <c r="E84" s="102">
        <v>0.54513888888888884</v>
      </c>
      <c r="F84" s="103">
        <v>40</v>
      </c>
    </row>
    <row r="85" spans="1:6" s="98" customFormat="1" hidden="1">
      <c r="A85" s="98">
        <v>368</v>
      </c>
      <c r="B85" s="99" t="s">
        <v>1518</v>
      </c>
      <c r="C85" s="118">
        <v>533468634</v>
      </c>
      <c r="D85" s="101">
        <v>46223</v>
      </c>
      <c r="E85" s="102">
        <v>0.40625</v>
      </c>
      <c r="F85" s="103">
        <v>50</v>
      </c>
    </row>
    <row r="86" spans="1:6" s="98" customFormat="1" hidden="1">
      <c r="A86" s="98">
        <v>342</v>
      </c>
      <c r="B86" s="99" t="s">
        <v>1827</v>
      </c>
      <c r="C86" s="118">
        <v>24848045</v>
      </c>
      <c r="D86" s="101">
        <v>46223</v>
      </c>
      <c r="E86" s="102">
        <v>0.42708333333333331</v>
      </c>
      <c r="F86" s="103">
        <v>50</v>
      </c>
    </row>
    <row r="87" spans="1:6" s="98" customFormat="1" hidden="1">
      <c r="A87" s="98">
        <v>375</v>
      </c>
      <c r="B87" s="99" t="s">
        <v>1828</v>
      </c>
      <c r="C87" s="118" t="s">
        <v>1829</v>
      </c>
      <c r="D87" s="101">
        <v>46223</v>
      </c>
      <c r="E87" s="102">
        <v>0.46875</v>
      </c>
      <c r="F87" s="103"/>
    </row>
    <row r="88" spans="1:6" s="98" customFormat="1" hidden="1">
      <c r="A88" s="98">
        <v>379</v>
      </c>
      <c r="B88" s="99"/>
      <c r="C88" s="118"/>
      <c r="D88" s="101"/>
      <c r="E88" s="102">
        <v>0.46875</v>
      </c>
      <c r="F88" s="103"/>
    </row>
    <row r="89" spans="1:6" s="98" customFormat="1" hidden="1">
      <c r="A89" s="98">
        <v>367</v>
      </c>
      <c r="B89" s="99" t="s">
        <v>108</v>
      </c>
      <c r="C89" s="118">
        <v>241185137</v>
      </c>
      <c r="D89" s="101">
        <v>46225</v>
      </c>
      <c r="E89" s="102">
        <v>0.34722222222222221</v>
      </c>
      <c r="F89" s="103">
        <v>50</v>
      </c>
    </row>
    <row r="90" spans="1:6" s="98" customFormat="1" hidden="1">
      <c r="A90" s="98">
        <v>378</v>
      </c>
      <c r="B90" s="99" t="s">
        <v>1830</v>
      </c>
      <c r="C90" s="118" t="s">
        <v>1831</v>
      </c>
      <c r="D90" s="101">
        <v>46225</v>
      </c>
      <c r="E90" s="102">
        <v>0.43402777777777779</v>
      </c>
      <c r="F90" s="103"/>
    </row>
    <row r="91" spans="1:6" s="98" customFormat="1" hidden="1">
      <c r="A91" s="98">
        <v>353</v>
      </c>
      <c r="B91" s="99" t="s">
        <v>1448</v>
      </c>
      <c r="C91" s="118">
        <v>243940350</v>
      </c>
      <c r="D91" s="101">
        <v>46225</v>
      </c>
      <c r="E91" s="102">
        <v>0.46736111111111112</v>
      </c>
      <c r="F91" s="103">
        <v>50</v>
      </c>
    </row>
    <row r="92" spans="1:6" s="98" customFormat="1" hidden="1">
      <c r="A92" s="98">
        <v>306</v>
      </c>
      <c r="B92" s="99" t="s">
        <v>1121</v>
      </c>
      <c r="C92" s="118">
        <v>542518874</v>
      </c>
      <c r="D92" s="101">
        <v>46225</v>
      </c>
      <c r="E92" s="102">
        <v>0.55208333333333337</v>
      </c>
      <c r="F92" s="103">
        <v>60</v>
      </c>
    </row>
    <row r="93" spans="1:6" s="98" customFormat="1" hidden="1">
      <c r="A93" s="98">
        <v>348</v>
      </c>
      <c r="B93" s="99" t="s">
        <v>1789</v>
      </c>
      <c r="C93" s="118" t="s">
        <v>1790</v>
      </c>
      <c r="D93" s="101">
        <v>46230</v>
      </c>
      <c r="E93" s="102">
        <v>0.36458333333333331</v>
      </c>
      <c r="F93" s="103">
        <v>50</v>
      </c>
    </row>
    <row r="94" spans="1:6" s="98" customFormat="1" hidden="1">
      <c r="A94" s="98">
        <v>380</v>
      </c>
      <c r="B94" s="99" t="s">
        <v>1832</v>
      </c>
      <c r="C94" s="118">
        <v>550460634</v>
      </c>
      <c r="D94" s="101">
        <v>46230</v>
      </c>
      <c r="E94" s="102">
        <v>0.4236111111111111</v>
      </c>
      <c r="F94" s="103">
        <v>50</v>
      </c>
    </row>
    <row r="95" spans="1:6" s="98" customFormat="1" hidden="1">
      <c r="A95" s="98">
        <v>360</v>
      </c>
      <c r="B95" s="99" t="s">
        <v>1833</v>
      </c>
      <c r="C95" s="118" t="s">
        <v>1834</v>
      </c>
      <c r="D95" s="101">
        <v>46230</v>
      </c>
      <c r="E95" s="102">
        <v>0.42916666666666664</v>
      </c>
      <c r="F95" s="103">
        <v>50</v>
      </c>
    </row>
    <row r="96" spans="1:6" s="98" customFormat="1" hidden="1">
      <c r="A96" s="98">
        <v>358</v>
      </c>
      <c r="B96" s="99" t="s">
        <v>1795</v>
      </c>
      <c r="C96" s="104">
        <v>545732968</v>
      </c>
      <c r="D96" s="101">
        <v>46230</v>
      </c>
      <c r="E96" s="102">
        <v>0.43055555555555558</v>
      </c>
      <c r="F96" s="103">
        <v>50</v>
      </c>
    </row>
    <row r="97" spans="1:6" s="98" customFormat="1" hidden="1">
      <c r="A97" s="98">
        <v>349</v>
      </c>
      <c r="B97" s="99" t="s">
        <v>1835</v>
      </c>
      <c r="C97" s="104">
        <v>556613928</v>
      </c>
      <c r="D97" s="101">
        <v>46230</v>
      </c>
      <c r="E97" s="102">
        <v>0.58333333333333337</v>
      </c>
      <c r="F97" s="103">
        <v>50</v>
      </c>
    </row>
    <row r="98" spans="1:6" s="98" customFormat="1" hidden="1">
      <c r="A98" s="98">
        <v>347</v>
      </c>
      <c r="B98" s="99" t="s">
        <v>1022</v>
      </c>
      <c r="C98" s="104">
        <v>595110746</v>
      </c>
      <c r="D98" s="101">
        <v>46230</v>
      </c>
      <c r="E98" s="102">
        <v>0.625</v>
      </c>
      <c r="F98" s="103">
        <v>50</v>
      </c>
    </row>
    <row r="99" spans="1:6" s="98" customFormat="1" hidden="1">
      <c r="A99" s="98">
        <v>334</v>
      </c>
      <c r="B99" s="99" t="s">
        <v>1836</v>
      </c>
      <c r="C99" s="104" t="s">
        <v>1837</v>
      </c>
      <c r="D99" s="101">
        <v>46230</v>
      </c>
      <c r="E99" s="102">
        <v>0.63194444444444442</v>
      </c>
      <c r="F99" s="103">
        <v>50</v>
      </c>
    </row>
    <row r="100" spans="1:6" s="98" customFormat="1" hidden="1">
      <c r="A100" s="98">
        <v>369</v>
      </c>
      <c r="B100" s="99" t="s">
        <v>1838</v>
      </c>
      <c r="C100" s="104" t="s">
        <v>1839</v>
      </c>
      <c r="D100" s="101">
        <v>46232</v>
      </c>
      <c r="E100" s="102">
        <v>0.42708333333333331</v>
      </c>
      <c r="F100" s="103">
        <v>50</v>
      </c>
    </row>
    <row r="101" spans="1:6" s="98" customFormat="1" hidden="1">
      <c r="A101" s="98">
        <v>347</v>
      </c>
      <c r="B101" s="99" t="s">
        <v>1840</v>
      </c>
      <c r="C101" s="118" t="s">
        <v>1841</v>
      </c>
      <c r="D101" s="101">
        <v>46232</v>
      </c>
      <c r="E101" s="102">
        <v>0.4861111111111111</v>
      </c>
      <c r="F101" s="103">
        <v>50</v>
      </c>
    </row>
    <row r="102" spans="1:6" s="98" customFormat="1" hidden="1">
      <c r="A102" s="98">
        <v>252</v>
      </c>
      <c r="B102" s="99" t="s">
        <v>1842</v>
      </c>
      <c r="C102" s="118">
        <v>249733260</v>
      </c>
      <c r="D102" s="101">
        <v>46232</v>
      </c>
      <c r="E102" s="102">
        <v>0.52152777777777781</v>
      </c>
      <c r="F102" s="103">
        <v>50</v>
      </c>
    </row>
    <row r="103" spans="1:6" s="98" customFormat="1" hidden="1">
      <c r="A103" s="98">
        <v>361</v>
      </c>
      <c r="B103" s="99" t="s">
        <v>1843</v>
      </c>
      <c r="C103" s="118"/>
      <c r="D103" s="101">
        <v>46232</v>
      </c>
      <c r="E103" s="102">
        <v>0.54166666666666663</v>
      </c>
      <c r="F103" s="103">
        <v>50</v>
      </c>
    </row>
    <row r="104" spans="1:6" s="98" customFormat="1" hidden="1">
      <c r="A104" s="98">
        <v>377</v>
      </c>
      <c r="B104" s="99" t="s">
        <v>1844</v>
      </c>
      <c r="C104" s="118" t="s">
        <v>1845</v>
      </c>
      <c r="D104" s="101">
        <v>46232</v>
      </c>
      <c r="E104" s="102">
        <v>0.625</v>
      </c>
      <c r="F104" s="103">
        <v>40</v>
      </c>
    </row>
    <row r="105" spans="1:6" s="98" customFormat="1" hidden="1">
      <c r="A105" s="98">
        <v>345</v>
      </c>
      <c r="B105" s="99" t="s">
        <v>1846</v>
      </c>
      <c r="C105" s="118" t="s">
        <v>1847</v>
      </c>
      <c r="D105" s="101">
        <v>46232</v>
      </c>
      <c r="E105" s="102">
        <v>0.63888888888888884</v>
      </c>
      <c r="F105" s="103">
        <v>50</v>
      </c>
    </row>
    <row r="106" spans="1:6" s="98" customFormat="1" hidden="1">
      <c r="B106" s="99"/>
      <c r="C106" s="118"/>
      <c r="D106" s="101"/>
      <c r="E106" s="102"/>
      <c r="F106" s="103"/>
    </row>
    <row r="107" spans="1:6" s="98" customFormat="1" hidden="1">
      <c r="A107" s="98">
        <v>356</v>
      </c>
      <c r="B107" s="99" t="s">
        <v>1848</v>
      </c>
      <c r="C107" s="118" t="s">
        <v>1849</v>
      </c>
      <c r="D107" s="101">
        <v>46237</v>
      </c>
      <c r="E107" s="102">
        <v>0.52083333333333337</v>
      </c>
      <c r="F107" s="103">
        <v>50</v>
      </c>
    </row>
    <row r="108" spans="1:6" s="98" customFormat="1" hidden="1">
      <c r="B108" s="99"/>
      <c r="C108" s="118"/>
      <c r="D108" s="101"/>
      <c r="E108" s="102"/>
      <c r="F108" s="103"/>
    </row>
    <row r="109" spans="1:6" s="98" customFormat="1" hidden="1">
      <c r="A109" s="98">
        <v>363</v>
      </c>
      <c r="B109" s="99" t="s">
        <v>1809</v>
      </c>
      <c r="C109" s="104" t="s">
        <v>1810</v>
      </c>
      <c r="D109" s="101">
        <v>46237</v>
      </c>
      <c r="E109" s="102">
        <v>0.52083333333333337</v>
      </c>
      <c r="F109" s="103">
        <v>50</v>
      </c>
    </row>
    <row r="110" spans="1:6" s="98" customFormat="1" hidden="1">
      <c r="A110" s="98">
        <v>354</v>
      </c>
      <c r="B110" s="99" t="s">
        <v>1850</v>
      </c>
      <c r="C110" s="104">
        <v>542362619</v>
      </c>
      <c r="D110" s="101">
        <v>46237</v>
      </c>
      <c r="E110" s="102">
        <v>0.51388888888888884</v>
      </c>
      <c r="F110" s="103">
        <v>50</v>
      </c>
    </row>
    <row r="111" spans="1:6" s="98" customFormat="1" ht="69" hidden="1" customHeight="1">
      <c r="A111" s="98">
        <v>355</v>
      </c>
      <c r="B111" s="99" t="s">
        <v>1815</v>
      </c>
      <c r="C111" s="104" t="s">
        <v>1816</v>
      </c>
      <c r="D111" s="101">
        <v>46237</v>
      </c>
      <c r="E111" s="102">
        <v>0.43055555555555558</v>
      </c>
      <c r="F111" s="103">
        <v>50</v>
      </c>
    </row>
    <row r="112" spans="1:6" s="98" customFormat="1" hidden="1">
      <c r="A112" s="98">
        <v>385</v>
      </c>
      <c r="B112" s="99" t="s">
        <v>1851</v>
      </c>
      <c r="C112" s="104" t="s">
        <v>1852</v>
      </c>
      <c r="D112" s="101">
        <v>46239</v>
      </c>
      <c r="E112" s="102">
        <v>0.41319444444444442</v>
      </c>
      <c r="F112" s="103">
        <v>50</v>
      </c>
    </row>
    <row r="113" spans="1:6" s="98" customFormat="1" hidden="1">
      <c r="A113" s="98">
        <v>340</v>
      </c>
      <c r="B113" s="99" t="s">
        <v>1853</v>
      </c>
      <c r="C113" s="104" t="s">
        <v>1854</v>
      </c>
      <c r="D113" s="101">
        <v>46239</v>
      </c>
      <c r="E113" s="102">
        <v>0.44791666666666669</v>
      </c>
      <c r="F113" s="103">
        <v>50</v>
      </c>
    </row>
    <row r="114" spans="1:6" s="98" customFormat="1" hidden="1">
      <c r="A114" s="98">
        <v>341</v>
      </c>
      <c r="B114" s="99" t="s">
        <v>1855</v>
      </c>
      <c r="C114" s="104"/>
      <c r="D114" s="101">
        <v>46239</v>
      </c>
      <c r="E114" s="102">
        <v>0.5</v>
      </c>
      <c r="F114" s="103">
        <v>50</v>
      </c>
    </row>
    <row r="115" spans="1:6" s="98" customFormat="1" hidden="1">
      <c r="A115" s="98">
        <v>300</v>
      </c>
      <c r="B115" s="99" t="s">
        <v>1856</v>
      </c>
      <c r="C115" s="104" t="s">
        <v>1857</v>
      </c>
      <c r="D115" s="101">
        <v>46246</v>
      </c>
      <c r="E115" s="102">
        <v>0.5</v>
      </c>
      <c r="F115" s="103">
        <v>50</v>
      </c>
    </row>
    <row r="116" spans="1:6" s="98" customFormat="1" hidden="1">
      <c r="A116" s="98">
        <v>259</v>
      </c>
      <c r="B116" s="99" t="s">
        <v>1858</v>
      </c>
      <c r="C116" s="104">
        <v>546075419</v>
      </c>
      <c r="D116" s="101">
        <v>46246</v>
      </c>
      <c r="E116" s="102">
        <v>0.52083333333333337</v>
      </c>
      <c r="F116" s="103">
        <v>50</v>
      </c>
    </row>
    <row r="117" spans="1:6" s="98" customFormat="1" hidden="1">
      <c r="A117" s="98">
        <v>259</v>
      </c>
      <c r="B117" s="99" t="s">
        <v>1859</v>
      </c>
      <c r="C117" s="104" t="s">
        <v>1860</v>
      </c>
      <c r="D117" s="101">
        <v>46251</v>
      </c>
      <c r="E117" s="102">
        <v>0.50694444444444442</v>
      </c>
      <c r="F117" s="103">
        <v>50</v>
      </c>
    </row>
    <row r="118" spans="1:6" s="98" customFormat="1" hidden="1">
      <c r="A118" s="98">
        <v>385</v>
      </c>
      <c r="B118" s="99" t="s">
        <v>1851</v>
      </c>
      <c r="C118" s="104" t="s">
        <v>1852</v>
      </c>
      <c r="D118" s="101">
        <v>46253</v>
      </c>
      <c r="E118" s="102">
        <v>0.43402777777777779</v>
      </c>
      <c r="F118" s="103">
        <v>50</v>
      </c>
    </row>
    <row r="119" spans="1:6" s="98" customFormat="1" hidden="1">
      <c r="A119" s="98">
        <v>367</v>
      </c>
      <c r="B119" s="99" t="s">
        <v>1861</v>
      </c>
      <c r="C119" s="104">
        <v>591588805</v>
      </c>
      <c r="D119" s="101">
        <v>46253</v>
      </c>
      <c r="E119" s="102">
        <v>0.42708333333333331</v>
      </c>
      <c r="F119" s="103">
        <v>50</v>
      </c>
    </row>
    <row r="120" spans="1:6" s="98" customFormat="1" hidden="1">
      <c r="B120" s="99"/>
      <c r="C120" s="104"/>
      <c r="D120" s="101"/>
      <c r="E120" s="102"/>
      <c r="F120" s="103"/>
    </row>
    <row r="121" spans="1:6" s="98" customFormat="1" hidden="1">
      <c r="A121" s="98">
        <v>384</v>
      </c>
      <c r="B121" s="99" t="s">
        <v>1862</v>
      </c>
      <c r="C121" s="104">
        <v>245698851</v>
      </c>
      <c r="D121" s="101">
        <v>46253</v>
      </c>
      <c r="E121" s="102">
        <v>0.47916666666666669</v>
      </c>
      <c r="F121" s="103">
        <v>25</v>
      </c>
    </row>
    <row r="122" spans="1:6" s="98" customFormat="1" hidden="1">
      <c r="A122" s="98">
        <v>336</v>
      </c>
      <c r="B122" s="99" t="s">
        <v>1863</v>
      </c>
      <c r="C122" s="104">
        <v>555857945</v>
      </c>
      <c r="D122" s="101">
        <v>46253</v>
      </c>
      <c r="E122" s="102">
        <v>0.56597222222222221</v>
      </c>
      <c r="F122" s="103">
        <v>50</v>
      </c>
    </row>
    <row r="123" spans="1:6" s="98" customFormat="1" ht="27.75">
      <c r="A123" s="98">
        <v>317</v>
      </c>
      <c r="B123" s="99" t="s">
        <v>1864</v>
      </c>
      <c r="C123" s="104" t="s">
        <v>1865</v>
      </c>
      <c r="D123" s="101">
        <v>46253</v>
      </c>
      <c r="E123" s="102">
        <v>0.625</v>
      </c>
      <c r="F123" s="103">
        <v>50</v>
      </c>
    </row>
    <row r="124" spans="1:6" s="98" customFormat="1" hidden="1">
      <c r="A124" s="98">
        <v>390</v>
      </c>
      <c r="B124" s="99" t="s">
        <v>1866</v>
      </c>
      <c r="C124" s="104" t="s">
        <v>1867</v>
      </c>
      <c r="D124" s="101">
        <v>46253</v>
      </c>
      <c r="E124" s="102">
        <v>0.625</v>
      </c>
      <c r="F124" s="103">
        <v>50</v>
      </c>
    </row>
    <row r="125" spans="1:6" s="98" customFormat="1" hidden="1">
      <c r="A125" s="98">
        <v>387</v>
      </c>
      <c r="B125" s="99" t="s">
        <v>1868</v>
      </c>
      <c r="C125" s="104" t="s">
        <v>1869</v>
      </c>
      <c r="D125" s="101">
        <v>46253</v>
      </c>
      <c r="E125" s="102">
        <v>0.64583333333333337</v>
      </c>
      <c r="F125" s="103">
        <v>50</v>
      </c>
    </row>
    <row r="126" spans="1:6" s="98" customFormat="1" hidden="1">
      <c r="A126" s="98">
        <v>338</v>
      </c>
      <c r="B126" s="99" t="s">
        <v>1870</v>
      </c>
      <c r="C126" s="104">
        <v>543474941</v>
      </c>
      <c r="D126" s="101">
        <v>46253</v>
      </c>
      <c r="E126" s="102">
        <v>0.66249999999999998</v>
      </c>
      <c r="F126" s="103">
        <v>50</v>
      </c>
    </row>
    <row r="127" spans="1:6" s="98" customFormat="1" hidden="1">
      <c r="A127" s="98">
        <v>394</v>
      </c>
      <c r="B127" s="99" t="s">
        <v>1871</v>
      </c>
      <c r="C127" s="104" t="s">
        <v>1872</v>
      </c>
      <c r="D127" s="101">
        <v>46260</v>
      </c>
      <c r="E127" s="102">
        <v>0.3888888888888889</v>
      </c>
      <c r="F127" s="103">
        <v>50</v>
      </c>
    </row>
    <row r="128" spans="1:6" s="98" customFormat="1" hidden="1">
      <c r="A128" s="98">
        <v>370</v>
      </c>
      <c r="B128" s="99" t="s">
        <v>1873</v>
      </c>
      <c r="C128" s="104" t="s">
        <v>1874</v>
      </c>
      <c r="D128" s="101">
        <v>46260</v>
      </c>
      <c r="E128" s="102">
        <v>0.4236111111111111</v>
      </c>
      <c r="F128" s="103">
        <v>50</v>
      </c>
    </row>
    <row r="129" spans="1:6" s="98" customFormat="1" hidden="1">
      <c r="A129" s="98">
        <v>391</v>
      </c>
      <c r="B129" s="99" t="s">
        <v>1875</v>
      </c>
      <c r="C129" s="104" t="s">
        <v>1876</v>
      </c>
      <c r="D129" s="101">
        <v>46260</v>
      </c>
      <c r="E129" s="102">
        <v>0.44444444444444442</v>
      </c>
      <c r="F129" s="103">
        <v>50</v>
      </c>
    </row>
    <row r="130" spans="1:6" s="98" customFormat="1" hidden="1">
      <c r="A130" s="98">
        <v>331</v>
      </c>
      <c r="B130" s="99" t="s">
        <v>1877</v>
      </c>
      <c r="C130" s="104" t="s">
        <v>1878</v>
      </c>
      <c r="D130" s="101">
        <v>46267</v>
      </c>
      <c r="E130" s="102">
        <v>0.40625</v>
      </c>
      <c r="F130" s="103">
        <v>50</v>
      </c>
    </row>
    <row r="131" spans="1:6" s="98" customFormat="1" hidden="1">
      <c r="A131" s="98">
        <v>325</v>
      </c>
      <c r="B131" s="99" t="s">
        <v>1879</v>
      </c>
      <c r="C131" s="104" t="s">
        <v>1880</v>
      </c>
      <c r="D131" s="101">
        <v>46267</v>
      </c>
      <c r="E131" s="102">
        <v>0.40277777777777779</v>
      </c>
      <c r="F131" s="103">
        <v>50</v>
      </c>
    </row>
    <row r="132" spans="1:6" s="98" customFormat="1" hidden="1">
      <c r="A132" s="98">
        <v>343</v>
      </c>
      <c r="B132" s="99"/>
      <c r="C132" s="104"/>
      <c r="D132" s="101"/>
      <c r="E132" s="102"/>
      <c r="F132" s="103">
        <v>50</v>
      </c>
    </row>
    <row r="133" spans="1:6" s="98" customFormat="1" hidden="1">
      <c r="A133" s="98">
        <v>385</v>
      </c>
      <c r="B133" s="99" t="s">
        <v>1881</v>
      </c>
      <c r="C133" s="104" t="s">
        <v>1882</v>
      </c>
      <c r="D133" s="101">
        <v>46267</v>
      </c>
      <c r="E133" s="102">
        <v>0.41666666666666669</v>
      </c>
      <c r="F133" s="103">
        <v>50</v>
      </c>
    </row>
    <row r="134" spans="1:6" s="98" customFormat="1" hidden="1">
      <c r="A134" s="98">
        <v>338</v>
      </c>
      <c r="B134" s="99" t="s">
        <v>1870</v>
      </c>
      <c r="C134" s="104">
        <v>543474941</v>
      </c>
      <c r="D134" s="101">
        <v>46267</v>
      </c>
      <c r="E134" s="102">
        <v>0.41666666666666669</v>
      </c>
      <c r="F134" s="103">
        <v>50</v>
      </c>
    </row>
    <row r="135" spans="1:6" s="98" customFormat="1" hidden="1">
      <c r="A135" s="98">
        <v>355</v>
      </c>
      <c r="B135" s="99" t="s">
        <v>1806</v>
      </c>
      <c r="C135" s="104">
        <v>242664040</v>
      </c>
      <c r="D135" s="101">
        <v>46279</v>
      </c>
      <c r="E135" s="102">
        <v>0.47916666666666669</v>
      </c>
      <c r="F135" s="103">
        <v>50</v>
      </c>
    </row>
    <row r="136" spans="1:6" s="98" customFormat="1" hidden="1">
      <c r="A136" s="98">
        <v>365</v>
      </c>
      <c r="B136" s="99" t="s">
        <v>1883</v>
      </c>
      <c r="C136" s="118" t="s">
        <v>1884</v>
      </c>
      <c r="D136" s="101">
        <v>46279</v>
      </c>
      <c r="E136" s="102">
        <v>0.49305555555555558</v>
      </c>
      <c r="F136" s="103">
        <v>50</v>
      </c>
    </row>
    <row r="137" spans="1:6" s="98" customFormat="1" hidden="1">
      <c r="A137" s="98">
        <v>348</v>
      </c>
      <c r="B137" s="99" t="s">
        <v>1789</v>
      </c>
      <c r="C137" s="118" t="s">
        <v>1790</v>
      </c>
      <c r="D137" s="101">
        <v>46281</v>
      </c>
      <c r="E137" s="102">
        <v>0.40625</v>
      </c>
      <c r="F137" s="103">
        <v>50</v>
      </c>
    </row>
    <row r="138" spans="1:6" s="98" customFormat="1" hidden="1">
      <c r="A138" s="98">
        <v>398</v>
      </c>
      <c r="B138" s="99" t="s">
        <v>1885</v>
      </c>
      <c r="C138" s="118" t="s">
        <v>1886</v>
      </c>
      <c r="D138" s="101">
        <v>46281</v>
      </c>
      <c r="E138" s="102">
        <v>0.44791666666666669</v>
      </c>
      <c r="F138" s="103">
        <v>50</v>
      </c>
    </row>
    <row r="139" spans="1:6" s="98" customFormat="1" hidden="1">
      <c r="A139" s="98">
        <v>361</v>
      </c>
      <c r="B139" s="99" t="s">
        <v>1843</v>
      </c>
      <c r="C139" s="118" t="s">
        <v>1887</v>
      </c>
      <c r="D139" s="101">
        <v>46281</v>
      </c>
      <c r="E139" s="102">
        <v>0.5</v>
      </c>
      <c r="F139" s="103">
        <v>50</v>
      </c>
    </row>
    <row r="140" spans="1:6" s="98" customFormat="1" hidden="1">
      <c r="A140" s="98">
        <v>406</v>
      </c>
      <c r="B140" s="99" t="s">
        <v>1888</v>
      </c>
      <c r="C140" s="118">
        <v>245119402</v>
      </c>
      <c r="D140" s="101">
        <v>46281</v>
      </c>
      <c r="E140" s="102">
        <v>0.6</v>
      </c>
      <c r="F140" s="103">
        <v>50</v>
      </c>
    </row>
    <row r="141" spans="1:6" s="98" customFormat="1" hidden="1">
      <c r="A141" s="98">
        <v>387</v>
      </c>
      <c r="B141" s="99" t="s">
        <v>1571</v>
      </c>
      <c r="C141" s="118">
        <v>540807523</v>
      </c>
      <c r="D141" s="101">
        <v>46281</v>
      </c>
      <c r="E141" s="102">
        <v>0.60416666666666663</v>
      </c>
      <c r="F141" s="103">
        <v>50</v>
      </c>
    </row>
    <row r="142" spans="1:6" s="98" customFormat="1" hidden="1">
      <c r="A142" s="98">
        <v>394</v>
      </c>
      <c r="B142" s="99" t="s">
        <v>1889</v>
      </c>
      <c r="C142" s="118">
        <v>248448815</v>
      </c>
      <c r="D142" s="101">
        <v>46281</v>
      </c>
      <c r="E142" s="102">
        <v>0.63194444444444442</v>
      </c>
      <c r="F142" s="103">
        <v>50</v>
      </c>
    </row>
    <row r="143" spans="1:6">
      <c r="A143" s="98" t="s">
        <v>1660</v>
      </c>
      <c r="F143" s="103">
        <f>SUBTOTAL(109,Table25[AMOUNT])</f>
        <v>170</v>
      </c>
    </row>
    <row r="145" spans="2:6">
      <c r="B145" s="120"/>
    </row>
    <row r="146" spans="2:6">
      <c r="C146"/>
      <c r="D146"/>
      <c r="E146"/>
      <c r="F146"/>
    </row>
    <row r="147" spans="2:6">
      <c r="D147" s="98" t="s">
        <v>1890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5"/>
  <cols>
    <col min="1" max="1" width="14.42578125" bestFit="1" customWidth="1"/>
    <col min="2" max="2" width="15" bestFit="1" customWidth="1"/>
    <col min="4" max="4" width="10.42578125" bestFit="1" customWidth="1"/>
    <col min="5" max="5" width="13.85546875" bestFit="1" customWidth="1"/>
    <col min="6" max="6" width="15.570312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" bestFit="1" customWidth="1"/>
  </cols>
  <sheetData>
    <row r="11" spans="4:10">
      <c r="J11" s="11"/>
    </row>
    <row r="12" spans="4:10">
      <c r="J12" s="11"/>
    </row>
    <row r="13" spans="4:10">
      <c r="J13" s="11"/>
    </row>
    <row r="16" spans="4:10">
      <c r="D16" s="11"/>
      <c r="E16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L18"/>
  <sheetViews>
    <sheetView showGridLines="0" topLeftCell="E1" zoomScale="110" zoomScaleNormal="110" workbookViewId="0">
      <selection activeCell="M12" sqref="M12"/>
    </sheetView>
  </sheetViews>
  <sheetFormatPr defaultRowHeight="15"/>
  <cols>
    <col min="1" max="1" width="10.140625" hidden="1" customWidth="1"/>
    <col min="2" max="2" width="19.85546875" hidden="1" customWidth="1"/>
    <col min="3" max="3" width="10.85546875" hidden="1" customWidth="1"/>
    <col min="4" max="4" width="13.85546875" hidden="1" customWidth="1"/>
    <col min="5" max="5" width="15.42578125" bestFit="1" customWidth="1"/>
    <col min="6" max="6" width="11.85546875" bestFit="1" customWidth="1"/>
    <col min="7" max="8" width="13.42578125" bestFit="1" customWidth="1"/>
    <col min="9" max="9" width="8" bestFit="1" customWidth="1"/>
    <col min="10" max="10" width="11.140625" bestFit="1" customWidth="1"/>
    <col min="11" max="11" width="13.7109375" bestFit="1" customWidth="1"/>
    <col min="12" max="12" width="11" bestFit="1" customWidth="1"/>
    <col min="13" max="13" width="16.28515625" bestFit="1" customWidth="1"/>
    <col min="14" max="14" width="11.5703125" bestFit="1" customWidth="1"/>
    <col min="15" max="15" width="12.5703125" bestFit="1" customWidth="1"/>
    <col min="16" max="16" width="11.42578125" bestFit="1" customWidth="1"/>
    <col min="17" max="17" width="14.42578125" bestFit="1" customWidth="1"/>
    <col min="18" max="18" width="10.42578125" bestFit="1" customWidth="1"/>
    <col min="19" max="19" width="14.7109375" bestFit="1" customWidth="1"/>
    <col min="20" max="20" width="8" bestFit="1" customWidth="1"/>
    <col min="21" max="21" width="10.28515625" bestFit="1" customWidth="1"/>
    <col min="22" max="22" width="11.42578125" bestFit="1" customWidth="1"/>
  </cols>
  <sheetData>
    <row r="1" spans="5:12" ht="15.75" thickBot="1">
      <c r="E1" t="s">
        <v>1663</v>
      </c>
      <c r="F1" t="s">
        <v>1891</v>
      </c>
      <c r="G1" t="s">
        <v>1892</v>
      </c>
      <c r="H1" t="s">
        <v>1893</v>
      </c>
    </row>
    <row r="2" spans="5:12" ht="15.75" thickBot="1">
      <c r="E2" s="11">
        <v>46188</v>
      </c>
      <c r="F2" s="117" t="s">
        <v>1894</v>
      </c>
      <c r="H2">
        <v>1</v>
      </c>
      <c r="K2" t="s">
        <v>1892</v>
      </c>
      <c r="L2" t="s">
        <v>1893</v>
      </c>
    </row>
    <row r="3" spans="5:12">
      <c r="E3" s="11">
        <v>46196</v>
      </c>
      <c r="F3" s="117" t="s">
        <v>1894</v>
      </c>
      <c r="H3">
        <v>1</v>
      </c>
      <c r="K3">
        <v>32</v>
      </c>
      <c r="L3">
        <v>16</v>
      </c>
    </row>
    <row r="4" spans="5:12">
      <c r="E4" s="11">
        <v>46202</v>
      </c>
      <c r="F4" s="128" t="s">
        <v>1894</v>
      </c>
      <c r="H4">
        <v>1</v>
      </c>
      <c r="K4">
        <v>12</v>
      </c>
      <c r="L4">
        <v>9</v>
      </c>
    </row>
    <row r="5" spans="5:12">
      <c r="E5" s="11">
        <v>46202</v>
      </c>
      <c r="F5" s="128" t="s">
        <v>1680</v>
      </c>
      <c r="G5">
        <v>2</v>
      </c>
      <c r="J5" t="s">
        <v>1678</v>
      </c>
      <c r="K5">
        <f>K3-K4</f>
        <v>20</v>
      </c>
      <c r="L5">
        <f>L3-L4</f>
        <v>7</v>
      </c>
    </row>
    <row r="6" spans="5:12">
      <c r="E6" s="11">
        <v>46203</v>
      </c>
      <c r="F6" s="128" t="s">
        <v>1894</v>
      </c>
      <c r="H6">
        <v>1</v>
      </c>
    </row>
    <row r="7" spans="5:12">
      <c r="E7" s="11">
        <v>46206</v>
      </c>
      <c r="F7" s="128" t="s">
        <v>1895</v>
      </c>
      <c r="G7">
        <v>2</v>
      </c>
      <c r="H7">
        <v>1</v>
      </c>
    </row>
    <row r="8" spans="5:12">
      <c r="E8" s="11">
        <v>46212</v>
      </c>
      <c r="F8" s="128" t="s">
        <v>1894</v>
      </c>
      <c r="H8">
        <v>1</v>
      </c>
    </row>
    <row r="9" spans="5:12">
      <c r="E9" s="11">
        <v>46213</v>
      </c>
      <c r="F9" s="128" t="s">
        <v>1896</v>
      </c>
      <c r="G9">
        <v>3</v>
      </c>
      <c r="H9">
        <v>1</v>
      </c>
    </row>
    <row r="10" spans="5:12">
      <c r="E10" s="11">
        <v>46213</v>
      </c>
      <c r="F10" s="128" t="s">
        <v>1680</v>
      </c>
      <c r="G10">
        <v>3</v>
      </c>
      <c r="H10">
        <v>1</v>
      </c>
    </row>
    <row r="11" spans="5:12">
      <c r="E11" s="11">
        <v>46232</v>
      </c>
      <c r="F11" s="128" t="s">
        <v>1680</v>
      </c>
      <c r="G11">
        <v>2</v>
      </c>
      <c r="H11">
        <v>1</v>
      </c>
    </row>
    <row r="12" spans="5:12">
      <c r="E12" t="s">
        <v>1660</v>
      </c>
      <c r="F12" s="127"/>
      <c r="G12">
        <f>SUBTOTAL(109,Table20[SOAP])</f>
        <v>12</v>
      </c>
      <c r="H12">
        <f>SUBTOTAL(109,Table20[DETTOL])</f>
        <v>9</v>
      </c>
    </row>
    <row r="18" spans="11:11">
      <c r="K18" t="s">
        <v>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8" sqref="B8"/>
    </sheetView>
  </sheetViews>
  <sheetFormatPr defaultRowHeight="15"/>
  <cols>
    <col min="1" max="1" width="14.7109375" bestFit="1" customWidth="1"/>
    <col min="2" max="2" width="24" bestFit="1" customWidth="1"/>
    <col min="3" max="3" width="17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>
      <c r="A1" t="s">
        <v>1897</v>
      </c>
      <c r="B1" t="s">
        <v>1898</v>
      </c>
      <c r="C1" t="s">
        <v>1899</v>
      </c>
      <c r="D1" t="s">
        <v>76</v>
      </c>
      <c r="E1" t="s">
        <v>1900</v>
      </c>
      <c r="F1" t="s">
        <v>1901</v>
      </c>
      <c r="G1" t="s">
        <v>1902</v>
      </c>
      <c r="H1" t="s">
        <v>1903</v>
      </c>
      <c r="I1" t="s">
        <v>1904</v>
      </c>
      <c r="J1" t="s">
        <v>1905</v>
      </c>
      <c r="K1" t="s">
        <v>1906</v>
      </c>
    </row>
    <row r="2" spans="1:11">
      <c r="C2" s="11"/>
      <c r="D2" s="11"/>
      <c r="F2" s="47"/>
      <c r="G2" s="49"/>
    </row>
    <row r="3" spans="1:11">
      <c r="C3" s="11"/>
      <c r="D3" s="11"/>
      <c r="F3" s="47"/>
    </row>
    <row r="4" spans="1:11">
      <c r="C4" s="11"/>
      <c r="D4" s="11"/>
      <c r="E4" s="11"/>
      <c r="F4" s="47"/>
      <c r="G4" s="49"/>
      <c r="I4" s="11"/>
    </row>
    <row r="5" spans="1:11">
      <c r="C5" s="11"/>
      <c r="D5" s="11"/>
      <c r="E5" s="11"/>
      <c r="F5" s="47"/>
      <c r="G5" s="49"/>
    </row>
    <row r="6" spans="1:11">
      <c r="C6" s="11"/>
      <c r="D6" s="11"/>
      <c r="E6" s="11"/>
      <c r="F6" s="47"/>
      <c r="G6" s="49"/>
    </row>
    <row r="8" spans="1:11">
      <c r="B8" s="49" t="s">
        <v>1907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hyperlinks>
    <hyperlink ref="B8" r:id="rId1" xr:uid="{50722893-446A-429B-87D4-3548B15AE92A}"/>
  </hyperlinks>
  <pageMargins left="0.7" right="0.7" top="0.75" bottom="0.75" header="0.3" footer="0.3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B1:M101"/>
  <sheetViews>
    <sheetView showGridLines="0" topLeftCell="D82" zoomScale="60" zoomScaleNormal="60" workbookViewId="0">
      <selection activeCell="B89" sqref="B89:F89"/>
    </sheetView>
  </sheetViews>
  <sheetFormatPr defaultRowHeight="15"/>
  <cols>
    <col min="2" max="2" width="38" bestFit="1" customWidth="1"/>
    <col min="3" max="3" width="81.42578125" customWidth="1"/>
    <col min="4" max="4" width="19.5703125" bestFit="1" customWidth="1"/>
    <col min="5" max="5" width="22.85546875" bestFit="1" customWidth="1"/>
    <col min="6" max="6" width="23.140625" customWidth="1"/>
    <col min="7" max="7" width="4" customWidth="1"/>
    <col min="8" max="8" width="38" bestFit="1" customWidth="1"/>
    <col min="9" max="9" width="34" bestFit="1" customWidth="1"/>
    <col min="10" max="10" width="29.42578125" bestFit="1" customWidth="1"/>
    <col min="11" max="11" width="22.85546875" bestFit="1" customWidth="1"/>
    <col min="12" max="12" width="20.7109375" style="54" bestFit="1" customWidth="1"/>
    <col min="13" max="13" width="21.140625" bestFit="1" customWidth="1"/>
    <col min="14" max="15" width="18.7109375" bestFit="1" customWidth="1"/>
    <col min="16" max="16" width="17.140625" customWidth="1"/>
    <col min="17" max="17" width="22" bestFit="1" customWidth="1"/>
    <col min="18" max="19" width="21.140625" bestFit="1" customWidth="1"/>
  </cols>
  <sheetData>
    <row r="1" spans="2:13" ht="29.25">
      <c r="B1" s="208">
        <v>46174</v>
      </c>
      <c r="C1" s="208"/>
      <c r="D1" s="208"/>
      <c r="E1" s="208"/>
      <c r="F1" s="208"/>
      <c r="H1" s="209" t="s">
        <v>1908</v>
      </c>
      <c r="I1" s="209"/>
      <c r="J1" s="209"/>
      <c r="K1" s="209"/>
      <c r="L1" s="209"/>
    </row>
    <row r="2" spans="2:13" ht="24.75">
      <c r="B2" s="108" t="s">
        <v>1663</v>
      </c>
      <c r="C2" s="109" t="s">
        <v>1909</v>
      </c>
      <c r="D2" s="109" t="s">
        <v>1910</v>
      </c>
      <c r="E2" s="109" t="s">
        <v>1911</v>
      </c>
      <c r="F2" s="109" t="s">
        <v>1676</v>
      </c>
      <c r="H2" s="108" t="s">
        <v>1663</v>
      </c>
      <c r="I2" s="109" t="s">
        <v>1909</v>
      </c>
      <c r="J2" s="109" t="s">
        <v>1910</v>
      </c>
      <c r="K2" s="109" t="s">
        <v>1911</v>
      </c>
      <c r="L2" s="149" t="s">
        <v>1676</v>
      </c>
    </row>
    <row r="3" spans="2:13" ht="24.75">
      <c r="B3" s="110">
        <v>46174</v>
      </c>
      <c r="C3" s="113" t="s">
        <v>1912</v>
      </c>
      <c r="D3" s="111">
        <v>1</v>
      </c>
      <c r="E3" s="112">
        <v>70</v>
      </c>
      <c r="F3" s="112">
        <f>Table717[[#This Row],[QUANTITY]]*Table717[[#This Row],[UNIT PRICE]]</f>
        <v>70</v>
      </c>
      <c r="H3" s="124">
        <v>46177</v>
      </c>
      <c r="I3" s="115" t="s">
        <v>1913</v>
      </c>
      <c r="J3" s="115">
        <v>1</v>
      </c>
      <c r="K3" s="112">
        <v>75</v>
      </c>
      <c r="L3" s="116">
        <f>Table79[[#This Row],[QUANTITY]]*Table79[[#This Row],[UNIT PRICE]]</f>
        <v>75</v>
      </c>
    </row>
    <row r="4" spans="2:13" ht="24.75">
      <c r="B4" s="110">
        <v>46175</v>
      </c>
      <c r="C4" s="113" t="s">
        <v>1914</v>
      </c>
      <c r="D4" s="111">
        <v>1</v>
      </c>
      <c r="E4" s="112">
        <v>90</v>
      </c>
      <c r="F4" s="112">
        <f>Table717[[#This Row],[QUANTITY]]*Table717[[#This Row],[UNIT PRICE]]</f>
        <v>90</v>
      </c>
      <c r="H4" s="110">
        <v>46191</v>
      </c>
      <c r="I4" s="111" t="s">
        <v>1915</v>
      </c>
      <c r="J4" s="111">
        <v>1</v>
      </c>
      <c r="K4" s="112">
        <v>200</v>
      </c>
      <c r="L4" s="112">
        <f>Table79[[#This Row],[QUANTITY]]*Table79[[#This Row],[UNIT PRICE]]</f>
        <v>200</v>
      </c>
    </row>
    <row r="5" spans="2:13" ht="24.75">
      <c r="B5" s="110">
        <v>46179</v>
      </c>
      <c r="C5" s="113" t="s">
        <v>1916</v>
      </c>
      <c r="D5" s="111">
        <v>1</v>
      </c>
      <c r="E5" s="112">
        <v>120</v>
      </c>
      <c r="F5" s="112">
        <f>Table717[[#This Row],[QUANTITY]]*Table717[[#This Row],[UNIT PRICE]]</f>
        <v>120</v>
      </c>
      <c r="H5" s="110">
        <v>46196</v>
      </c>
      <c r="I5" s="111" t="s">
        <v>1915</v>
      </c>
      <c r="J5" s="111">
        <v>1</v>
      </c>
      <c r="K5" s="112">
        <v>200</v>
      </c>
      <c r="L5" s="112">
        <f>Table79[[#This Row],[QUANTITY]]*Table79[[#This Row],[UNIT PRICE]]</f>
        <v>200</v>
      </c>
    </row>
    <row r="6" spans="2:13" ht="24.75">
      <c r="B6" s="110">
        <v>46183</v>
      </c>
      <c r="C6" s="113" t="s">
        <v>1917</v>
      </c>
      <c r="D6" s="111">
        <v>1</v>
      </c>
      <c r="E6" s="112">
        <v>90</v>
      </c>
      <c r="F6" s="112">
        <f>Table717[[#This Row],[QUANTITY]]*Table717[[#This Row],[UNIT PRICE]]</f>
        <v>90</v>
      </c>
      <c r="H6" s="110">
        <v>46203</v>
      </c>
      <c r="I6" s="111" t="s">
        <v>1915</v>
      </c>
      <c r="J6" s="111">
        <v>1</v>
      </c>
      <c r="K6" s="112">
        <v>200</v>
      </c>
      <c r="L6" s="112">
        <f>Table79[[#This Row],[QUANTITY]]*Table79[[#This Row],[UNIT PRICE]]</f>
        <v>200</v>
      </c>
    </row>
    <row r="7" spans="2:13" ht="24.75">
      <c r="B7" s="110">
        <v>46183</v>
      </c>
      <c r="C7" s="113" t="s">
        <v>1918</v>
      </c>
      <c r="D7" s="111">
        <v>1</v>
      </c>
      <c r="E7" s="112">
        <v>45</v>
      </c>
      <c r="F7" s="112">
        <f>Table717[[#This Row],[QUANTITY]]*Table717[[#This Row],[UNIT PRICE]]</f>
        <v>45</v>
      </c>
      <c r="H7" s="114" t="s">
        <v>1660</v>
      </c>
      <c r="I7" s="115"/>
      <c r="J7" s="115"/>
      <c r="K7" s="115"/>
      <c r="L7" s="116">
        <f>SUBTOTAL(109,Table79[AMOUNT])</f>
        <v>675</v>
      </c>
    </row>
    <row r="8" spans="2:13" ht="24.75">
      <c r="B8" s="110">
        <v>46193</v>
      </c>
      <c r="C8" s="113" t="s">
        <v>1919</v>
      </c>
      <c r="D8" s="111">
        <v>1</v>
      </c>
      <c r="E8" s="112">
        <v>85</v>
      </c>
      <c r="F8" s="112">
        <f>Table717[[#This Row],[QUANTITY]]*Table717[[#This Row],[UNIT PRICE]]</f>
        <v>85</v>
      </c>
      <c r="H8" s="115"/>
      <c r="I8" s="115"/>
      <c r="J8" s="115"/>
      <c r="K8" s="115"/>
      <c r="L8" s="116"/>
    </row>
    <row r="9" spans="2:13" ht="42.75" customHeight="1">
      <c r="B9" s="110">
        <v>46193</v>
      </c>
      <c r="C9" s="113" t="s">
        <v>1920</v>
      </c>
      <c r="D9" s="111">
        <v>1</v>
      </c>
      <c r="E9" s="112">
        <v>150</v>
      </c>
      <c r="F9" s="112">
        <f>Table717[[#This Row],[QUANTITY]]*Table717[[#This Row],[UNIT PRICE]]</f>
        <v>150</v>
      </c>
      <c r="H9" s="210" t="s">
        <v>1921</v>
      </c>
      <c r="I9" s="211"/>
      <c r="J9" s="211"/>
      <c r="K9" s="211"/>
      <c r="L9" s="211"/>
      <c r="M9" s="212"/>
    </row>
    <row r="10" spans="2:13" ht="24.75">
      <c r="B10" s="110">
        <v>46193</v>
      </c>
      <c r="C10" s="113" t="s">
        <v>1922</v>
      </c>
      <c r="D10" s="111">
        <v>1</v>
      </c>
      <c r="E10" s="112">
        <v>500</v>
      </c>
      <c r="F10" s="112">
        <f>Table717[[#This Row],[QUANTITY]]*Table717[[#This Row],[UNIT PRICE]]</f>
        <v>500</v>
      </c>
      <c r="H10" s="124" t="s">
        <v>1663</v>
      </c>
      <c r="I10" s="126" t="s">
        <v>1923</v>
      </c>
      <c r="J10" s="115" t="s">
        <v>1910</v>
      </c>
      <c r="K10" s="116" t="s">
        <v>1676</v>
      </c>
      <c r="L10" s="116" t="s">
        <v>1924</v>
      </c>
      <c r="M10" s="116" t="s">
        <v>1925</v>
      </c>
    </row>
    <row r="11" spans="2:13" ht="24.75">
      <c r="B11" s="110">
        <v>46195</v>
      </c>
      <c r="C11" s="113" t="s">
        <v>1926</v>
      </c>
      <c r="D11" s="111">
        <v>1</v>
      </c>
      <c r="E11" s="112">
        <v>1200</v>
      </c>
      <c r="F11" s="112">
        <f>Table717[[#This Row],[QUANTITY]]*Table717[[#This Row],[UNIT PRICE]]</f>
        <v>1200</v>
      </c>
      <c r="H11" s="125">
        <v>46235</v>
      </c>
      <c r="I11" s="113" t="s">
        <v>1927</v>
      </c>
      <c r="J11" s="111">
        <v>1</v>
      </c>
      <c r="K11" s="112">
        <v>1600</v>
      </c>
      <c r="L11" s="116">
        <v>1100</v>
      </c>
      <c r="M11" s="116">
        <f>Table29[[#This Row],[AMOUNT]]-Table29[[#This Row],[PAID]]</f>
        <v>500</v>
      </c>
    </row>
    <row r="12" spans="2:13" ht="24.75">
      <c r="B12" s="110">
        <v>46195</v>
      </c>
      <c r="C12" s="113" t="s">
        <v>1928</v>
      </c>
      <c r="D12" s="111">
        <v>1</v>
      </c>
      <c r="E12" s="112">
        <v>1200</v>
      </c>
      <c r="F12" s="112">
        <f>Table717[[#This Row],[QUANTITY]]*Table717[[#This Row],[UNIT PRICE]]</f>
        <v>1200</v>
      </c>
      <c r="H12" s="125">
        <v>46262</v>
      </c>
      <c r="I12" s="113" t="s">
        <v>1929</v>
      </c>
      <c r="J12" s="111">
        <v>1</v>
      </c>
      <c r="K12" s="112">
        <v>1000</v>
      </c>
      <c r="L12" s="116">
        <v>0</v>
      </c>
      <c r="M12" s="116">
        <f>Table29[[#This Row],[AMOUNT]]-Table29[[#This Row],[PAID]]</f>
        <v>1000</v>
      </c>
    </row>
    <row r="13" spans="2:13" ht="24.75">
      <c r="B13" s="110">
        <v>46195</v>
      </c>
      <c r="C13" s="113" t="s">
        <v>1930</v>
      </c>
      <c r="D13" s="111">
        <v>1</v>
      </c>
      <c r="E13" s="112">
        <v>40</v>
      </c>
      <c r="F13" s="112">
        <f>Table717[[#This Row],[QUANTITY]]*Table717[[#This Row],[UNIT PRICE]]</f>
        <v>40</v>
      </c>
      <c r="H13" s="125">
        <v>46174</v>
      </c>
      <c r="I13" s="113" t="s">
        <v>1931</v>
      </c>
      <c r="J13" s="111">
        <v>1</v>
      </c>
      <c r="K13" s="112">
        <v>1000</v>
      </c>
      <c r="L13" s="116">
        <v>0</v>
      </c>
      <c r="M13" s="116">
        <f>Table29[[#This Row],[AMOUNT]]-Table29[[#This Row],[PAID]]</f>
        <v>1000</v>
      </c>
    </row>
    <row r="14" spans="2:13" ht="24" customHeight="1">
      <c r="B14" s="110">
        <v>46196</v>
      </c>
      <c r="C14" s="113" t="s">
        <v>1932</v>
      </c>
      <c r="D14" s="111">
        <v>1</v>
      </c>
      <c r="E14" s="112">
        <v>25</v>
      </c>
      <c r="F14" s="112">
        <f>Table717[[#This Row],[QUANTITY]]*Table717[[#This Row],[UNIT PRICE]]</f>
        <v>25</v>
      </c>
      <c r="H14" s="125">
        <v>46279</v>
      </c>
      <c r="I14" s="113" t="s">
        <v>1933</v>
      </c>
      <c r="J14" s="111">
        <v>1</v>
      </c>
      <c r="K14" s="112">
        <v>170</v>
      </c>
      <c r="L14" s="116">
        <v>0</v>
      </c>
      <c r="M14" s="116">
        <f>Table29[[#This Row],[AMOUNT]]-Table29[[#This Row],[PAID]]</f>
        <v>170</v>
      </c>
    </row>
    <row r="15" spans="2:13" ht="24.75">
      <c r="B15" s="110">
        <v>46196</v>
      </c>
      <c r="C15" s="113" t="s">
        <v>1934</v>
      </c>
      <c r="D15" s="111">
        <v>1</v>
      </c>
      <c r="E15" s="112">
        <v>10</v>
      </c>
      <c r="F15" s="112">
        <f>Table717[[#This Row],[QUANTITY]]*Table717[[#This Row],[UNIT PRICE]]</f>
        <v>10</v>
      </c>
      <c r="H15" s="125">
        <v>46283</v>
      </c>
      <c r="I15" s="113" t="s">
        <v>1935</v>
      </c>
      <c r="J15" s="111">
        <v>1</v>
      </c>
      <c r="K15" s="112">
        <v>120</v>
      </c>
      <c r="L15" s="116">
        <v>0</v>
      </c>
      <c r="M15" s="116">
        <f>Table29[[#This Row],[AMOUNT]]-Table29[[#This Row],[PAID]]</f>
        <v>120</v>
      </c>
    </row>
    <row r="16" spans="2:13" ht="24.75">
      <c r="B16" s="110">
        <v>46199</v>
      </c>
      <c r="C16" s="113" t="s">
        <v>1936</v>
      </c>
      <c r="D16" s="111">
        <v>1</v>
      </c>
      <c r="E16" s="112">
        <v>85</v>
      </c>
      <c r="F16" s="112">
        <f>Table717[[#This Row],[QUANTITY]]*Table717[[#This Row],[UNIT PRICE]]</f>
        <v>85</v>
      </c>
      <c r="H16" s="115" t="s">
        <v>1660</v>
      </c>
      <c r="I16" s="126"/>
      <c r="J16" s="115"/>
      <c r="K16" s="116">
        <f>SUBTOTAL(109,Table29[AMOUNT])</f>
        <v>3890</v>
      </c>
      <c r="L16" s="116">
        <f>SUBTOTAL(109,Table29[PAID])</f>
        <v>1100</v>
      </c>
      <c r="M16" s="116">
        <f>SUBTOTAL(109,Table29[remaining])</f>
        <v>2790</v>
      </c>
    </row>
    <row r="17" spans="2:12" ht="24.75">
      <c r="B17" s="110">
        <v>46199</v>
      </c>
      <c r="C17" s="113" t="s">
        <v>1937</v>
      </c>
      <c r="D17" s="111">
        <v>2</v>
      </c>
      <c r="E17" s="112">
        <v>15</v>
      </c>
      <c r="F17" s="112">
        <f>Table717[[#This Row],[QUANTITY]]*Table717[[#This Row],[UNIT PRICE]]</f>
        <v>30</v>
      </c>
      <c r="H17" s="54"/>
      <c r="I17" s="54"/>
      <c r="J17" s="54"/>
      <c r="K17" s="54"/>
    </row>
    <row r="18" spans="2:12" ht="24.75">
      <c r="B18" s="110">
        <v>46203</v>
      </c>
      <c r="C18" s="113" t="s">
        <v>1938</v>
      </c>
      <c r="D18" s="111">
        <v>1</v>
      </c>
      <c r="E18" s="112">
        <v>20</v>
      </c>
      <c r="F18" s="112">
        <f>Table717[[#This Row],[QUANTITY]]*Table717[[#This Row],[UNIT PRICE]]</f>
        <v>20</v>
      </c>
    </row>
    <row r="19" spans="2:12" ht="24.75">
      <c r="B19" s="110">
        <v>46203</v>
      </c>
      <c r="C19" s="113" t="s">
        <v>1939</v>
      </c>
      <c r="D19" s="111">
        <v>2</v>
      </c>
      <c r="E19" s="112">
        <v>10</v>
      </c>
      <c r="F19" s="112">
        <f>Table717[[#This Row],[QUANTITY]]*Table717[[#This Row],[UNIT PRICE]]</f>
        <v>20</v>
      </c>
    </row>
    <row r="20" spans="2:12" ht="24.75">
      <c r="B20" s="110">
        <v>46203</v>
      </c>
      <c r="C20" s="113" t="s">
        <v>1914</v>
      </c>
      <c r="D20" s="111">
        <v>2</v>
      </c>
      <c r="E20" s="112">
        <v>90</v>
      </c>
      <c r="F20" s="112">
        <f>Table717[[#This Row],[QUANTITY]]*Table717[[#This Row],[UNIT PRICE]]</f>
        <v>180</v>
      </c>
    </row>
    <row r="21" spans="2:12" ht="24.75">
      <c r="B21" s="110">
        <v>46203</v>
      </c>
      <c r="C21" s="113" t="s">
        <v>1940</v>
      </c>
      <c r="D21" s="111">
        <v>1</v>
      </c>
      <c r="E21" s="112">
        <v>500</v>
      </c>
      <c r="F21" s="112">
        <f>Table717[[#This Row],[QUANTITY]]*Table717[[#This Row],[UNIT PRICE]]</f>
        <v>500</v>
      </c>
    </row>
    <row r="22" spans="2:12" ht="24.75">
      <c r="B22" s="114" t="s">
        <v>1660</v>
      </c>
      <c r="C22" s="115"/>
      <c r="D22" s="115"/>
      <c r="E22" s="115"/>
      <c r="F22" s="116">
        <f>SUBTOTAL(109,Table717[AMOUNT])</f>
        <v>4460</v>
      </c>
    </row>
    <row r="23" spans="2:12" ht="24.75">
      <c r="B23" s="115"/>
      <c r="C23" s="115"/>
      <c r="D23" s="115"/>
      <c r="E23" s="115"/>
      <c r="F23" s="116"/>
    </row>
    <row r="25" spans="2:12" ht="29.25">
      <c r="B25" s="208">
        <v>46204</v>
      </c>
      <c r="C25" s="209"/>
      <c r="D25" s="209"/>
      <c r="E25" s="209"/>
      <c r="F25" s="209"/>
    </row>
    <row r="26" spans="2:12" ht="24.75">
      <c r="B26" s="108" t="s">
        <v>1663</v>
      </c>
      <c r="C26" s="109" t="s">
        <v>1909</v>
      </c>
      <c r="D26" s="109" t="s">
        <v>1910</v>
      </c>
      <c r="E26" s="109" t="s">
        <v>1911</v>
      </c>
      <c r="F26" s="109" t="s">
        <v>1676</v>
      </c>
      <c r="I26" s="54"/>
      <c r="L26"/>
    </row>
    <row r="27" spans="2:12" ht="24.75">
      <c r="B27" s="110">
        <v>46204</v>
      </c>
      <c r="C27" s="113" t="s">
        <v>1912</v>
      </c>
      <c r="D27" s="111">
        <v>1</v>
      </c>
      <c r="E27" s="112">
        <v>70</v>
      </c>
      <c r="F27" s="112">
        <f>Table4[[#This Row],[QUANTITY]]*Table4[[#This Row],[UNIT PRICE]]</f>
        <v>70</v>
      </c>
      <c r="H27" s="115"/>
      <c r="I27" s="54"/>
      <c r="L27"/>
    </row>
    <row r="28" spans="2:12" ht="24.75">
      <c r="B28" s="110">
        <v>46204</v>
      </c>
      <c r="C28" s="113" t="s">
        <v>1938</v>
      </c>
      <c r="D28" s="111">
        <v>1</v>
      </c>
      <c r="E28" s="112">
        <v>20</v>
      </c>
      <c r="F28" s="112">
        <f>Table4[[#This Row],[QUANTITY]]*Table4[[#This Row],[UNIT PRICE]]</f>
        <v>20</v>
      </c>
      <c r="H28" s="54"/>
      <c r="I28" s="54"/>
      <c r="L28"/>
    </row>
    <row r="29" spans="2:12" ht="24.75">
      <c r="B29" s="110">
        <v>46204</v>
      </c>
      <c r="C29" s="113" t="s">
        <v>1941</v>
      </c>
      <c r="D29" s="111">
        <v>1</v>
      </c>
      <c r="E29" s="112">
        <v>500</v>
      </c>
      <c r="F29" s="112">
        <f>Table4[[#This Row],[QUANTITY]]*Table4[[#This Row],[UNIT PRICE]]</f>
        <v>500</v>
      </c>
      <c r="H29" s="108" t="s">
        <v>1663</v>
      </c>
      <c r="I29" s="109" t="s">
        <v>1909</v>
      </c>
      <c r="J29" s="109" t="s">
        <v>1910</v>
      </c>
      <c r="K29" s="109" t="s">
        <v>1911</v>
      </c>
      <c r="L29" s="109" t="s">
        <v>1676</v>
      </c>
    </row>
    <row r="30" spans="2:12" ht="24.75">
      <c r="B30" s="110">
        <v>46210</v>
      </c>
      <c r="C30" s="113" t="s">
        <v>1942</v>
      </c>
      <c r="D30" s="111">
        <v>1</v>
      </c>
      <c r="E30" s="112">
        <v>10000</v>
      </c>
      <c r="F30" s="112">
        <f>Table4[[#This Row],[QUANTITY]]*Table4[[#This Row],[UNIT PRICE]]</f>
        <v>10000</v>
      </c>
      <c r="H30" s="110">
        <v>46209</v>
      </c>
      <c r="I30" s="111" t="s">
        <v>1913</v>
      </c>
      <c r="J30" s="111">
        <v>1</v>
      </c>
      <c r="K30" s="112">
        <v>75</v>
      </c>
      <c r="L30" s="112">
        <f>Table11[[#This Row],[QUANTITY]]*Table11[[#This Row],[UNIT PRICE]]</f>
        <v>75</v>
      </c>
    </row>
    <row r="31" spans="2:12" ht="24.75">
      <c r="B31" s="110">
        <v>46212</v>
      </c>
      <c r="C31" s="113" t="s">
        <v>1943</v>
      </c>
      <c r="D31" s="111">
        <v>3</v>
      </c>
      <c r="E31" s="112">
        <v>15</v>
      </c>
      <c r="F31" s="112">
        <f>Table4[[#This Row],[QUANTITY]]*Table4[[#This Row],[UNIT PRICE]]</f>
        <v>45</v>
      </c>
      <c r="H31" s="110">
        <v>46212</v>
      </c>
      <c r="I31" s="111" t="s">
        <v>1944</v>
      </c>
      <c r="J31" s="111">
        <v>1</v>
      </c>
      <c r="K31" s="112">
        <v>200</v>
      </c>
      <c r="L31" s="112">
        <f>Table11[[#This Row],[QUANTITY]]*Table11[[#This Row],[UNIT PRICE]]</f>
        <v>200</v>
      </c>
    </row>
    <row r="32" spans="2:12" ht="24.75">
      <c r="B32" s="110">
        <v>46212</v>
      </c>
      <c r="C32" s="113" t="s">
        <v>1945</v>
      </c>
      <c r="D32" s="111">
        <v>1</v>
      </c>
      <c r="E32" s="112">
        <v>50</v>
      </c>
      <c r="F32" s="112">
        <f>Table4[[#This Row],[QUANTITY]]*Table4[[#This Row],[UNIT PRICE]]</f>
        <v>50</v>
      </c>
      <c r="H32" s="110">
        <v>46217</v>
      </c>
      <c r="I32" s="111" t="s">
        <v>1944</v>
      </c>
      <c r="J32" s="111">
        <v>1</v>
      </c>
      <c r="K32" s="112">
        <v>200</v>
      </c>
      <c r="L32" s="112">
        <f>Table11[[#This Row],[QUANTITY]]*Table11[[#This Row],[UNIT PRICE]]</f>
        <v>200</v>
      </c>
    </row>
    <row r="33" spans="2:12" ht="24.75">
      <c r="B33" s="110">
        <v>46217</v>
      </c>
      <c r="C33" s="113" t="s">
        <v>1946</v>
      </c>
      <c r="D33" s="111">
        <v>1</v>
      </c>
      <c r="E33" s="112">
        <v>20</v>
      </c>
      <c r="F33" s="112">
        <f>Table4[[#This Row],[QUANTITY]]*Table4[[#This Row],[UNIT PRICE]]</f>
        <v>20</v>
      </c>
      <c r="H33" s="110">
        <v>46226</v>
      </c>
      <c r="I33" s="111" t="s">
        <v>1944</v>
      </c>
      <c r="J33" s="111">
        <v>1</v>
      </c>
      <c r="K33" s="112">
        <v>400</v>
      </c>
      <c r="L33" s="112">
        <f>Table11[[#This Row],[QUANTITY]]*Table11[[#This Row],[UNIT PRICE]]</f>
        <v>400</v>
      </c>
    </row>
    <row r="34" spans="2:12" ht="24.75">
      <c r="B34" s="110">
        <v>46218</v>
      </c>
      <c r="C34" s="113" t="s">
        <v>1947</v>
      </c>
      <c r="D34" s="111">
        <v>1</v>
      </c>
      <c r="E34" s="112">
        <v>30</v>
      </c>
      <c r="F34" s="112">
        <f>Table4[[#This Row],[QUANTITY]]*Table4[[#This Row],[UNIT PRICE]]</f>
        <v>30</v>
      </c>
      <c r="H34" s="110">
        <v>46233</v>
      </c>
      <c r="I34" s="111" t="s">
        <v>1913</v>
      </c>
      <c r="J34" s="111">
        <v>1</v>
      </c>
      <c r="K34" s="112">
        <v>75</v>
      </c>
      <c r="L34" s="112">
        <f>Table11[[#This Row],[QUANTITY]]*Table11[[#This Row],[UNIT PRICE]]</f>
        <v>75</v>
      </c>
    </row>
    <row r="35" spans="2:12" ht="24.75">
      <c r="B35" s="110">
        <v>46220</v>
      </c>
      <c r="C35" s="113" t="s">
        <v>1948</v>
      </c>
      <c r="D35" s="111">
        <v>1</v>
      </c>
      <c r="E35" s="112">
        <v>45</v>
      </c>
      <c r="F35" s="112">
        <f>Table4[[#This Row],[QUANTITY]]*Table4[[#This Row],[UNIT PRICE]]</f>
        <v>45</v>
      </c>
      <c r="H35" s="110">
        <v>46233</v>
      </c>
      <c r="I35" s="111" t="s">
        <v>1944</v>
      </c>
      <c r="J35" s="111">
        <v>1</v>
      </c>
      <c r="K35" s="112">
        <v>200</v>
      </c>
      <c r="L35" s="112">
        <f>Table11[[#This Row],[QUANTITY]]*Table11[[#This Row],[UNIT PRICE]]</f>
        <v>200</v>
      </c>
    </row>
    <row r="36" spans="2:12" ht="24.75">
      <c r="B36" s="110">
        <v>46224</v>
      </c>
      <c r="C36" s="113" t="s">
        <v>1914</v>
      </c>
      <c r="D36" s="111">
        <v>1</v>
      </c>
      <c r="E36" s="112">
        <v>90</v>
      </c>
      <c r="F36" s="112">
        <f>Table4[[#This Row],[QUANTITY]]*Table4[[#This Row],[UNIT PRICE]]</f>
        <v>90</v>
      </c>
      <c r="H36" s="110">
        <v>46234</v>
      </c>
      <c r="I36" s="111" t="s">
        <v>1949</v>
      </c>
      <c r="J36" s="111">
        <v>1</v>
      </c>
      <c r="K36" s="112">
        <v>55</v>
      </c>
      <c r="L36" s="112">
        <f>Table11[[#This Row],[QUANTITY]]*Table11[[#This Row],[UNIT PRICE]]</f>
        <v>55</v>
      </c>
    </row>
    <row r="37" spans="2:12" ht="24.75">
      <c r="B37" s="110">
        <v>46224</v>
      </c>
      <c r="C37" s="113" t="s">
        <v>1950</v>
      </c>
      <c r="D37" s="111">
        <v>1</v>
      </c>
      <c r="E37" s="112">
        <v>1905</v>
      </c>
      <c r="F37" s="112">
        <f>Table4[[#This Row],[QUANTITY]]*Table4[[#This Row],[UNIT PRICE]]</f>
        <v>1905</v>
      </c>
      <c r="H37" s="110">
        <v>46234</v>
      </c>
      <c r="I37" s="111" t="s">
        <v>1951</v>
      </c>
      <c r="J37" s="111">
        <v>1</v>
      </c>
      <c r="K37" s="112">
        <v>400</v>
      </c>
      <c r="L37" s="112">
        <f>Table11[[#This Row],[QUANTITY]]*Table11[[#This Row],[UNIT PRICE]]</f>
        <v>400</v>
      </c>
    </row>
    <row r="38" spans="2:12" ht="24.75">
      <c r="B38" s="110">
        <v>46227</v>
      </c>
      <c r="C38" s="113" t="s">
        <v>1942</v>
      </c>
      <c r="D38" s="111">
        <v>1</v>
      </c>
      <c r="E38" s="112">
        <v>5000</v>
      </c>
      <c r="F38" s="112">
        <f>Table4[[#This Row],[QUANTITY]]*Table4[[#This Row],[UNIT PRICE]]</f>
        <v>5000</v>
      </c>
      <c r="H38" s="110">
        <v>46234</v>
      </c>
      <c r="I38" s="111" t="s">
        <v>1927</v>
      </c>
      <c r="J38" s="111">
        <v>1</v>
      </c>
      <c r="K38" s="112">
        <v>400</v>
      </c>
      <c r="L38" s="112">
        <f>Table11[[#This Row],[QUANTITY]]*Table11[[#This Row],[UNIT PRICE]]</f>
        <v>400</v>
      </c>
    </row>
    <row r="39" spans="2:12" ht="24.75">
      <c r="B39" s="110">
        <v>46230</v>
      </c>
      <c r="C39" s="113" t="s">
        <v>1952</v>
      </c>
      <c r="D39" s="111">
        <v>1</v>
      </c>
      <c r="E39" s="112">
        <v>300</v>
      </c>
      <c r="F39" s="112">
        <f>Table4[[#This Row],[QUANTITY]]*Table4[[#This Row],[UNIT PRICE]]</f>
        <v>300</v>
      </c>
      <c r="H39" s="110">
        <v>46599</v>
      </c>
      <c r="I39" s="111" t="s">
        <v>1953</v>
      </c>
      <c r="J39" s="111">
        <v>1</v>
      </c>
      <c r="K39" s="112">
        <v>100</v>
      </c>
      <c r="L39" s="112">
        <f>Table11[[#This Row],[QUANTITY]]*Table11[[#This Row],[UNIT PRICE]]</f>
        <v>100</v>
      </c>
    </row>
    <row r="40" spans="2:12" ht="24.75">
      <c r="B40" s="110">
        <v>46233</v>
      </c>
      <c r="C40" s="113" t="s">
        <v>1954</v>
      </c>
      <c r="D40" s="111">
        <v>1</v>
      </c>
      <c r="E40" s="112">
        <v>20</v>
      </c>
      <c r="F40" s="112">
        <f>Table4[[#This Row],[QUANTITY]]*Table4[[#This Row],[UNIT PRICE]]</f>
        <v>20</v>
      </c>
      <c r="H40" s="110">
        <v>46234</v>
      </c>
      <c r="I40" s="111" t="s">
        <v>1933</v>
      </c>
      <c r="J40" s="111">
        <v>1</v>
      </c>
      <c r="K40" s="112">
        <v>265</v>
      </c>
      <c r="L40" s="112">
        <f>Table11[[#This Row],[QUANTITY]]*Table11[[#This Row],[UNIT PRICE]]</f>
        <v>265</v>
      </c>
    </row>
    <row r="41" spans="2:12" ht="24.75">
      <c r="B41" s="110">
        <v>46234</v>
      </c>
      <c r="C41" s="113" t="s">
        <v>1955</v>
      </c>
      <c r="D41" s="111">
        <v>1</v>
      </c>
      <c r="E41" s="112">
        <v>600</v>
      </c>
      <c r="F41" s="112">
        <f>Table4[[#This Row],[QUANTITY]]*Table4[[#This Row],[UNIT PRICE]]</f>
        <v>600</v>
      </c>
      <c r="H41" s="110">
        <v>46234</v>
      </c>
      <c r="I41" s="111" t="s">
        <v>1956</v>
      </c>
      <c r="J41" s="111">
        <v>1</v>
      </c>
      <c r="K41" s="112">
        <v>300</v>
      </c>
      <c r="L41" s="112">
        <f>Table11[[#This Row],[QUANTITY]]*Table11[[#This Row],[UNIT PRICE]]</f>
        <v>300</v>
      </c>
    </row>
    <row r="42" spans="2:12" ht="24.75">
      <c r="B42" s="110">
        <v>46234</v>
      </c>
      <c r="C42" s="113" t="s">
        <v>1942</v>
      </c>
      <c r="D42" s="111">
        <v>1</v>
      </c>
      <c r="E42" s="112">
        <v>9150</v>
      </c>
      <c r="F42" s="112">
        <f>Table4[[#This Row],[QUANTITY]]*Table4[[#This Row],[UNIT PRICE]]</f>
        <v>9150</v>
      </c>
      <c r="H42" s="114" t="s">
        <v>1660</v>
      </c>
      <c r="I42" s="115"/>
      <c r="J42" s="115"/>
      <c r="K42" s="115"/>
      <c r="L42" s="116">
        <f>SUBTOTAL(109,Table11[AMOUNT])</f>
        <v>2670</v>
      </c>
    </row>
    <row r="43" spans="2:12" ht="24.75">
      <c r="B43" s="110">
        <v>46234</v>
      </c>
      <c r="C43" s="113" t="s">
        <v>1957</v>
      </c>
      <c r="D43" s="111">
        <v>1</v>
      </c>
      <c r="E43" s="112">
        <v>3800</v>
      </c>
      <c r="F43" s="112">
        <f>Table4[[#This Row],[QUANTITY]]*Table4[[#This Row],[UNIT PRICE]]</f>
        <v>3800</v>
      </c>
    </row>
    <row r="44" spans="2:12" ht="24.75">
      <c r="B44" s="114" t="s">
        <v>1660</v>
      </c>
      <c r="C44" s="126"/>
      <c r="D44" s="115"/>
      <c r="E44" s="115"/>
      <c r="F44" s="116">
        <f>SUBTOTAL(109,Table4[AMOUNT])+1169</f>
        <v>32814</v>
      </c>
    </row>
    <row r="47" spans="2:12" ht="29.25">
      <c r="B47" s="208">
        <v>46235</v>
      </c>
      <c r="C47" s="208"/>
      <c r="D47" s="208"/>
      <c r="E47" s="208"/>
      <c r="F47" s="208"/>
      <c r="G47" s="161"/>
    </row>
    <row r="48" spans="2:12" ht="24.75">
      <c r="B48" s="108" t="s">
        <v>1663</v>
      </c>
      <c r="C48" s="109" t="s">
        <v>1909</v>
      </c>
      <c r="D48" s="109" t="s">
        <v>1910</v>
      </c>
      <c r="E48" s="109" t="s">
        <v>1911</v>
      </c>
      <c r="F48" s="109" t="s">
        <v>1676</v>
      </c>
      <c r="H48" s="115"/>
      <c r="I48" s="115"/>
      <c r="J48" s="115"/>
      <c r="K48" s="115"/>
      <c r="L48" s="116"/>
    </row>
    <row r="49" spans="2:12" ht="24.75">
      <c r="B49" s="110">
        <v>46235</v>
      </c>
      <c r="C49" s="113" t="s">
        <v>1912</v>
      </c>
      <c r="D49" s="111">
        <v>1</v>
      </c>
      <c r="E49" s="112">
        <v>70</v>
      </c>
      <c r="F49" s="112">
        <f>Table28[[#This Row],[QUANTITY]]*Table28[[#This Row],[UNIT PRICE]]</f>
        <v>70</v>
      </c>
      <c r="H49" s="115"/>
      <c r="I49" s="115"/>
      <c r="J49" s="115"/>
      <c r="K49" s="115"/>
      <c r="L49" s="116"/>
    </row>
    <row r="50" spans="2:12" ht="29.25">
      <c r="B50" s="110">
        <v>46240</v>
      </c>
      <c r="C50" s="113" t="s">
        <v>1958</v>
      </c>
      <c r="D50" s="111">
        <v>1</v>
      </c>
      <c r="E50" s="112">
        <v>500</v>
      </c>
      <c r="F50" s="112">
        <f>Table28[[#This Row],[QUANTITY]]*Table28[[#This Row],[UNIT PRICE]]</f>
        <v>500</v>
      </c>
      <c r="H50" s="208">
        <v>46235</v>
      </c>
      <c r="I50" s="208"/>
      <c r="J50" s="208"/>
      <c r="K50" s="208"/>
      <c r="L50" s="208"/>
    </row>
    <row r="51" spans="2:12" ht="24.75">
      <c r="B51" s="110">
        <v>46250</v>
      </c>
      <c r="C51" s="113" t="s">
        <v>1959</v>
      </c>
      <c r="D51" s="111">
        <v>1</v>
      </c>
      <c r="E51" s="112">
        <v>150</v>
      </c>
      <c r="F51" s="112">
        <f>Table28[[#This Row],[QUANTITY]]*Table28[[#This Row],[UNIT PRICE]]</f>
        <v>150</v>
      </c>
      <c r="H51" s="108" t="s">
        <v>1663</v>
      </c>
      <c r="I51" s="109" t="s">
        <v>1909</v>
      </c>
      <c r="J51" s="109" t="s">
        <v>1910</v>
      </c>
      <c r="K51" s="109" t="s">
        <v>1911</v>
      </c>
      <c r="L51" s="162" t="s">
        <v>1676</v>
      </c>
    </row>
    <row r="52" spans="2:12" ht="24.75">
      <c r="B52" s="110">
        <v>46257</v>
      </c>
      <c r="C52" s="113" t="s">
        <v>1960</v>
      </c>
      <c r="D52" s="111">
        <v>1</v>
      </c>
      <c r="E52" s="112">
        <v>200</v>
      </c>
      <c r="F52" s="112">
        <f>Table28[[#This Row],[QUANTITY]]*Table28[[#This Row],[UNIT PRICE]]</f>
        <v>200</v>
      </c>
      <c r="H52" s="110">
        <v>46240</v>
      </c>
      <c r="I52" s="111" t="s">
        <v>1961</v>
      </c>
      <c r="J52" s="111">
        <v>1</v>
      </c>
      <c r="K52" s="112">
        <v>200</v>
      </c>
      <c r="L52" s="112">
        <f>Table19[[#This Row],[QUANTITY]]*Table19[[#This Row],[UNIT PRICE]]</f>
        <v>200</v>
      </c>
    </row>
    <row r="53" spans="2:12" ht="24.75">
      <c r="B53" s="110">
        <v>46259</v>
      </c>
      <c r="C53" s="113" t="s">
        <v>1914</v>
      </c>
      <c r="D53" s="111">
        <v>2</v>
      </c>
      <c r="E53" s="112">
        <v>90</v>
      </c>
      <c r="F53" s="112">
        <f>Table28[[#This Row],[QUANTITY]]*Table28[[#This Row],[UNIT PRICE]]</f>
        <v>180</v>
      </c>
      <c r="H53" s="110">
        <v>46247</v>
      </c>
      <c r="I53" s="111" t="s">
        <v>1961</v>
      </c>
      <c r="J53" s="111">
        <v>1</v>
      </c>
      <c r="K53" s="112">
        <v>200</v>
      </c>
      <c r="L53" s="112">
        <f>Table19[[#This Row],[QUANTITY]]*Table19[[#This Row],[UNIT PRICE]]</f>
        <v>200</v>
      </c>
    </row>
    <row r="54" spans="2:12" ht="24.75">
      <c r="B54" s="110">
        <v>46259</v>
      </c>
      <c r="C54" s="113" t="s">
        <v>1962</v>
      </c>
      <c r="D54" s="111">
        <v>1</v>
      </c>
      <c r="E54" s="112">
        <v>50</v>
      </c>
      <c r="F54" s="112">
        <f>Table28[[#This Row],[QUANTITY]]*Table28[[#This Row],[UNIT PRICE]]</f>
        <v>50</v>
      </c>
      <c r="H54" s="110">
        <v>46248</v>
      </c>
      <c r="I54" s="111" t="s">
        <v>1963</v>
      </c>
      <c r="J54" s="111">
        <v>1</v>
      </c>
      <c r="K54" s="112">
        <v>75</v>
      </c>
      <c r="L54" s="112">
        <f>Table19[[#This Row],[QUANTITY]]*Table19[[#This Row],[UNIT PRICE]]</f>
        <v>75</v>
      </c>
    </row>
    <row r="55" spans="2:12" ht="24.75">
      <c r="B55" s="110">
        <v>46260</v>
      </c>
      <c r="C55" s="113" t="s">
        <v>1964</v>
      </c>
      <c r="D55" s="111">
        <v>1</v>
      </c>
      <c r="E55" s="112">
        <v>550</v>
      </c>
      <c r="F55" s="112">
        <f>Table28[[#This Row],[QUANTITY]]*Table28[[#This Row],[UNIT PRICE]]</f>
        <v>550</v>
      </c>
      <c r="H55" s="110">
        <v>46259</v>
      </c>
      <c r="I55" s="111" t="s">
        <v>1963</v>
      </c>
      <c r="J55" s="111">
        <v>1</v>
      </c>
      <c r="K55" s="112">
        <v>800</v>
      </c>
      <c r="L55" s="112">
        <f>Table19[[#This Row],[QUANTITY]]*Table19[[#This Row],[UNIT PRICE]]</f>
        <v>800</v>
      </c>
    </row>
    <row r="56" spans="2:12" ht="24.75">
      <c r="B56" s="114" t="s">
        <v>1660</v>
      </c>
      <c r="C56" s="126"/>
      <c r="D56" s="115"/>
      <c r="E56" s="115"/>
      <c r="F56" s="116">
        <f>SUBTOTAL(109,Table28[AMOUNT])</f>
        <v>1700</v>
      </c>
      <c r="H56" s="114" t="s">
        <v>1660</v>
      </c>
      <c r="I56" s="115"/>
      <c r="J56" s="115"/>
      <c r="K56" s="115"/>
      <c r="L56" s="116">
        <f>SUBTOTAL(109,Table19[AMOUNT])</f>
        <v>1275</v>
      </c>
    </row>
    <row r="57" spans="2:12">
      <c r="L57"/>
    </row>
    <row r="59" spans="2:12" ht="29.25">
      <c r="B59" s="208">
        <v>46266</v>
      </c>
      <c r="C59" s="208"/>
      <c r="D59" s="208"/>
      <c r="E59" s="208"/>
      <c r="F59" s="208"/>
      <c r="G59" s="161"/>
      <c r="H59" s="115"/>
      <c r="I59" s="115"/>
      <c r="J59" s="115"/>
      <c r="K59" s="115"/>
      <c r="L59" s="116"/>
    </row>
    <row r="60" spans="2:12" ht="24.75">
      <c r="B60" s="110" t="s">
        <v>1663</v>
      </c>
      <c r="C60" s="109" t="s">
        <v>1909</v>
      </c>
      <c r="D60" s="109" t="s">
        <v>1910</v>
      </c>
      <c r="E60" s="109" t="s">
        <v>1911</v>
      </c>
      <c r="F60" s="109" t="s">
        <v>1676</v>
      </c>
      <c r="I60" s="115"/>
      <c r="J60" s="115"/>
      <c r="K60" s="115"/>
      <c r="L60" s="116"/>
    </row>
    <row r="61" spans="2:12" ht="24.75">
      <c r="B61" s="110">
        <v>46266</v>
      </c>
      <c r="C61" s="113" t="s">
        <v>1912</v>
      </c>
      <c r="D61" s="111">
        <v>1</v>
      </c>
      <c r="E61" s="112">
        <v>70</v>
      </c>
      <c r="F61" s="112">
        <f t="shared" ref="F61:F73" si="0">D61*E61</f>
        <v>70</v>
      </c>
      <c r="I61" s="115"/>
      <c r="J61" s="115"/>
      <c r="K61" s="115"/>
      <c r="L61" s="116"/>
    </row>
    <row r="62" spans="2:12" ht="29.25">
      <c r="B62" s="110">
        <v>46266</v>
      </c>
      <c r="C62" s="113" t="s">
        <v>1965</v>
      </c>
      <c r="D62" s="111">
        <v>1</v>
      </c>
      <c r="E62" s="112">
        <v>50</v>
      </c>
      <c r="F62" s="112">
        <f t="shared" si="0"/>
        <v>50</v>
      </c>
      <c r="H62" s="208">
        <v>46266</v>
      </c>
      <c r="I62" s="208"/>
      <c r="J62" s="208"/>
      <c r="K62" s="208"/>
      <c r="L62" s="208"/>
    </row>
    <row r="63" spans="2:12" ht="24.75" hidden="1">
      <c r="B63" s="110">
        <v>46266</v>
      </c>
      <c r="C63" s="113" t="s">
        <v>1942</v>
      </c>
      <c r="D63" s="111">
        <v>1</v>
      </c>
      <c r="E63" s="112">
        <v>10000</v>
      </c>
      <c r="F63" s="112">
        <f t="shared" si="0"/>
        <v>10000</v>
      </c>
      <c r="H63" s="108" t="s">
        <v>1663</v>
      </c>
      <c r="I63" s="109" t="s">
        <v>1909</v>
      </c>
      <c r="J63" s="109" t="s">
        <v>1910</v>
      </c>
      <c r="K63" s="109" t="s">
        <v>1911</v>
      </c>
      <c r="L63" s="162" t="s">
        <v>1676</v>
      </c>
    </row>
    <row r="64" spans="2:12" ht="24.75">
      <c r="B64" s="110">
        <v>46267</v>
      </c>
      <c r="C64" s="113" t="s">
        <v>1966</v>
      </c>
      <c r="D64" s="111">
        <v>1</v>
      </c>
      <c r="E64" s="112">
        <v>500</v>
      </c>
      <c r="F64" s="112">
        <f t="shared" si="0"/>
        <v>500</v>
      </c>
      <c r="H64" s="110">
        <v>46266</v>
      </c>
      <c r="I64" s="111" t="s">
        <v>1967</v>
      </c>
      <c r="J64" s="111">
        <v>1</v>
      </c>
      <c r="K64" s="112">
        <v>420</v>
      </c>
      <c r="L64" s="112">
        <f>Table31[[#This Row],[QUANTITY]]*Table31[[#This Row],[UNIT PRICE]]</f>
        <v>420</v>
      </c>
    </row>
    <row r="65" spans="2:12" ht="24.75">
      <c r="B65" s="110">
        <v>46268</v>
      </c>
      <c r="C65" s="113" t="s">
        <v>1968</v>
      </c>
      <c r="D65" s="111">
        <v>1</v>
      </c>
      <c r="E65" s="112">
        <v>30</v>
      </c>
      <c r="F65" s="112">
        <f t="shared" si="0"/>
        <v>30</v>
      </c>
      <c r="H65" s="114" t="s">
        <v>1660</v>
      </c>
      <c r="I65" s="115"/>
      <c r="J65" s="115"/>
      <c r="K65" s="115"/>
      <c r="L65" s="116">
        <f>SUBTOTAL(109,Table31[AMOUNT])</f>
        <v>420</v>
      </c>
    </row>
    <row r="66" spans="2:12" ht="24.75" hidden="1">
      <c r="B66" s="110">
        <v>46268</v>
      </c>
      <c r="C66" s="113" t="s">
        <v>1942</v>
      </c>
      <c r="D66" s="111">
        <v>1</v>
      </c>
      <c r="E66" s="112">
        <v>10000</v>
      </c>
      <c r="F66" s="112">
        <f t="shared" si="0"/>
        <v>10000</v>
      </c>
      <c r="H66" s="115"/>
      <c r="I66" s="115"/>
      <c r="J66" s="115"/>
      <c r="K66" s="115"/>
      <c r="L66" s="116"/>
    </row>
    <row r="67" spans="2:12" ht="24.75">
      <c r="B67" s="110">
        <v>46269</v>
      </c>
      <c r="C67" s="113" t="s">
        <v>1969</v>
      </c>
      <c r="D67" s="111">
        <v>1</v>
      </c>
      <c r="E67" s="112">
        <v>350</v>
      </c>
      <c r="F67" s="112">
        <f t="shared" si="0"/>
        <v>350</v>
      </c>
      <c r="H67" s="115"/>
      <c r="I67" s="115"/>
      <c r="J67" s="115"/>
      <c r="K67" s="115"/>
      <c r="L67" s="116"/>
    </row>
    <row r="68" spans="2:12" ht="24.75">
      <c r="B68" s="110">
        <v>46272</v>
      </c>
      <c r="C68" s="113" t="s">
        <v>1946</v>
      </c>
      <c r="D68" s="111">
        <v>1</v>
      </c>
      <c r="E68" s="112">
        <v>20</v>
      </c>
      <c r="F68" s="112">
        <f t="shared" si="0"/>
        <v>20</v>
      </c>
      <c r="H68" s="115"/>
      <c r="I68" s="115"/>
      <c r="J68" s="115"/>
      <c r="K68" s="115"/>
      <c r="L68" s="116"/>
    </row>
    <row r="69" spans="2:12" ht="24.75" hidden="1">
      <c r="B69" s="110">
        <v>46273</v>
      </c>
      <c r="C69" s="113" t="s">
        <v>1942</v>
      </c>
      <c r="D69" s="111">
        <v>1</v>
      </c>
      <c r="E69" s="112">
        <v>5000</v>
      </c>
      <c r="F69" s="112">
        <f t="shared" si="0"/>
        <v>5000</v>
      </c>
      <c r="H69" s="115"/>
      <c r="I69" s="115"/>
      <c r="J69" s="115"/>
      <c r="K69" s="115"/>
      <c r="L69" s="116"/>
    </row>
    <row r="70" spans="2:12" ht="24.75">
      <c r="B70" s="110">
        <v>46273</v>
      </c>
      <c r="C70" s="113" t="s">
        <v>1970</v>
      </c>
      <c r="D70" s="111">
        <v>1</v>
      </c>
      <c r="E70" s="112">
        <v>65</v>
      </c>
      <c r="F70" s="112">
        <f t="shared" si="0"/>
        <v>65</v>
      </c>
      <c r="H70" s="115"/>
      <c r="I70" s="115"/>
      <c r="J70" s="115"/>
      <c r="K70" s="115"/>
      <c r="L70" s="116"/>
    </row>
    <row r="71" spans="2:12" ht="24.75">
      <c r="B71" s="110">
        <v>46274</v>
      </c>
      <c r="C71" s="113" t="s">
        <v>1971</v>
      </c>
      <c r="D71" s="111">
        <v>1</v>
      </c>
      <c r="E71" s="112">
        <v>20</v>
      </c>
      <c r="F71" s="112">
        <f t="shared" si="0"/>
        <v>20</v>
      </c>
      <c r="H71" s="115"/>
      <c r="I71" s="115"/>
      <c r="J71" s="115"/>
      <c r="K71" s="115"/>
      <c r="L71" s="116"/>
    </row>
    <row r="72" spans="2:12" ht="24.75">
      <c r="B72" s="110">
        <v>46274</v>
      </c>
      <c r="C72" s="113" t="s">
        <v>1972</v>
      </c>
      <c r="D72" s="111">
        <v>1</v>
      </c>
      <c r="E72" s="112">
        <v>120</v>
      </c>
      <c r="F72" s="112">
        <f t="shared" si="0"/>
        <v>120</v>
      </c>
      <c r="H72" s="115"/>
      <c r="I72" s="115"/>
      <c r="J72" s="115"/>
      <c r="K72" s="115"/>
      <c r="L72" s="116"/>
    </row>
    <row r="73" spans="2:12" ht="24.75">
      <c r="B73" s="110">
        <v>46286</v>
      </c>
      <c r="C73" s="113" t="s">
        <v>1970</v>
      </c>
      <c r="D73" s="111">
        <v>1</v>
      </c>
      <c r="E73" s="112">
        <v>65</v>
      </c>
      <c r="F73" s="112">
        <f t="shared" si="0"/>
        <v>65</v>
      </c>
      <c r="I73" s="115"/>
      <c r="J73" s="115"/>
      <c r="L73" s="116"/>
    </row>
    <row r="74" spans="2:12" ht="24.75">
      <c r="B74" s="110">
        <v>46287</v>
      </c>
      <c r="C74" s="113" t="s">
        <v>1973</v>
      </c>
      <c r="D74" s="111">
        <v>1</v>
      </c>
      <c r="E74" s="112">
        <v>50</v>
      </c>
      <c r="F74" s="112">
        <f>D74*E74</f>
        <v>50</v>
      </c>
      <c r="I74" s="115"/>
      <c r="J74" s="115"/>
      <c r="L74" s="116"/>
    </row>
    <row r="75" spans="2:12" ht="24.75" hidden="1">
      <c r="B75" s="110">
        <v>46293</v>
      </c>
      <c r="C75" s="113" t="s">
        <v>1942</v>
      </c>
      <c r="D75" s="111">
        <v>1</v>
      </c>
      <c r="E75" s="112">
        <v>10000</v>
      </c>
      <c r="F75" s="112">
        <f>D75*E75</f>
        <v>10000</v>
      </c>
      <c r="I75" s="115"/>
      <c r="J75" s="115"/>
      <c r="L75" s="116"/>
    </row>
    <row r="76" spans="2:12" ht="24.75">
      <c r="B76" s="110">
        <v>46294</v>
      </c>
      <c r="C76" s="113" t="s">
        <v>1973</v>
      </c>
      <c r="D76" s="111">
        <v>1</v>
      </c>
      <c r="E76" s="112">
        <v>50</v>
      </c>
      <c r="F76" s="112">
        <f>D76*E76</f>
        <v>50</v>
      </c>
      <c r="I76" s="115"/>
      <c r="J76" s="115"/>
      <c r="L76" s="116"/>
    </row>
    <row r="77" spans="2:12" ht="24.75">
      <c r="B77" s="110">
        <v>46295</v>
      </c>
      <c r="C77" s="113" t="s">
        <v>1974</v>
      </c>
      <c r="D77" s="111">
        <v>1</v>
      </c>
      <c r="E77" s="112">
        <v>5000</v>
      </c>
      <c r="F77" s="112">
        <f>D77*E77</f>
        <v>5000</v>
      </c>
      <c r="I77" s="115"/>
      <c r="J77" s="115"/>
      <c r="L77" s="116"/>
    </row>
    <row r="78" spans="2:12" ht="24.75">
      <c r="B78" s="110">
        <v>46295</v>
      </c>
      <c r="C78" s="113" t="s">
        <v>1975</v>
      </c>
      <c r="D78" s="111">
        <v>1</v>
      </c>
      <c r="E78" s="112">
        <v>100</v>
      </c>
      <c r="F78" s="112">
        <f>D78*E78</f>
        <v>100</v>
      </c>
      <c r="I78" s="115"/>
      <c r="J78" s="115"/>
      <c r="L78" s="116"/>
    </row>
    <row r="79" spans="2:12" ht="24.75">
      <c r="B79" s="114" t="s">
        <v>1660</v>
      </c>
      <c r="C79" s="126"/>
      <c r="D79" s="115"/>
      <c r="E79" s="115"/>
      <c r="F79" s="116">
        <f>SUBTOTAL(109,Table30[AMOUNT])</f>
        <v>6490</v>
      </c>
      <c r="I79" s="115"/>
      <c r="J79" s="115"/>
      <c r="L79" s="116"/>
    </row>
    <row r="80" spans="2:12" ht="24.75">
      <c r="I80" s="115"/>
      <c r="J80" s="115"/>
      <c r="L80" s="116"/>
    </row>
    <row r="81" spans="2:12" ht="29.25">
      <c r="B81" s="208">
        <v>46296</v>
      </c>
      <c r="C81" s="208"/>
      <c r="D81" s="208"/>
      <c r="E81" s="208"/>
      <c r="F81" s="208"/>
      <c r="G81" s="204"/>
      <c r="I81" s="115"/>
      <c r="J81" s="115"/>
      <c r="L81" s="116"/>
    </row>
    <row r="82" spans="2:12" ht="24.75">
      <c r="B82" s="199" t="s">
        <v>1663</v>
      </c>
      <c r="C82" s="200" t="s">
        <v>1909</v>
      </c>
      <c r="D82" s="200" t="s">
        <v>1910</v>
      </c>
      <c r="E82" s="200" t="s">
        <v>1911</v>
      </c>
      <c r="F82" s="200" t="s">
        <v>1676</v>
      </c>
      <c r="L82" s="116"/>
    </row>
    <row r="83" spans="2:12" ht="24.75">
      <c r="B83" s="125">
        <v>46296</v>
      </c>
      <c r="C83" s="113" t="s">
        <v>1912</v>
      </c>
      <c r="D83" s="111">
        <v>1</v>
      </c>
      <c r="E83" s="112">
        <v>70</v>
      </c>
      <c r="F83" s="112">
        <f t="shared" ref="F83" si="1">D83*E83</f>
        <v>70</v>
      </c>
      <c r="L83" s="116"/>
    </row>
    <row r="84" spans="2:12" ht="24.75">
      <c r="B84" s="125">
        <v>46297</v>
      </c>
      <c r="C84" s="113" t="s">
        <v>1976</v>
      </c>
      <c r="D84" s="111">
        <v>2</v>
      </c>
      <c r="E84" s="112">
        <v>40</v>
      </c>
      <c r="F84" s="112">
        <f t="shared" ref="F84:F86" si="2">D84*E84</f>
        <v>80</v>
      </c>
      <c r="H84" s="115"/>
      <c r="I84" s="115"/>
      <c r="J84" s="115"/>
      <c r="K84" s="115"/>
      <c r="L84" s="116"/>
    </row>
    <row r="85" spans="2:12" ht="24.75">
      <c r="B85" s="125">
        <v>46297</v>
      </c>
      <c r="C85" s="201" t="s">
        <v>1977</v>
      </c>
      <c r="D85" s="202">
        <v>1</v>
      </c>
      <c r="E85" s="203">
        <v>65</v>
      </c>
      <c r="F85" s="203">
        <f t="shared" si="2"/>
        <v>65</v>
      </c>
      <c r="H85" s="115"/>
      <c r="I85" s="115"/>
      <c r="J85" s="115"/>
      <c r="K85" s="115"/>
      <c r="L85" s="116"/>
    </row>
    <row r="86" spans="2:12" ht="24.75">
      <c r="B86" s="125">
        <v>46297</v>
      </c>
      <c r="C86" s="201" t="s">
        <v>1942</v>
      </c>
      <c r="D86" s="202">
        <v>1</v>
      </c>
      <c r="E86" s="203">
        <v>5000</v>
      </c>
      <c r="F86" s="203">
        <f t="shared" si="2"/>
        <v>5000</v>
      </c>
      <c r="H86" s="115"/>
      <c r="I86" s="115"/>
      <c r="J86" s="115"/>
      <c r="K86" s="115"/>
      <c r="L86" s="116"/>
    </row>
    <row r="87" spans="2:12" ht="24.75">
      <c r="B87" s="202" t="s">
        <v>1660</v>
      </c>
      <c r="C87" s="201"/>
      <c r="D87" s="202"/>
      <c r="E87" s="202"/>
      <c r="F87" s="203">
        <f>SUBTOTAL(109,Table32[AMOUNT])</f>
        <v>5215</v>
      </c>
      <c r="H87" s="115"/>
      <c r="I87" s="115"/>
      <c r="J87" s="115"/>
      <c r="K87" s="115"/>
      <c r="L87" s="116"/>
    </row>
    <row r="88" spans="2:12" ht="24.75">
      <c r="H88" s="115"/>
      <c r="I88" s="115"/>
      <c r="J88" s="115"/>
      <c r="K88" s="115"/>
      <c r="L88" s="116"/>
    </row>
    <row r="89" spans="2:12" ht="29.25">
      <c r="B89" s="208"/>
      <c r="C89" s="208"/>
      <c r="D89" s="208"/>
      <c r="E89" s="208"/>
      <c r="F89" s="208"/>
      <c r="H89" s="115"/>
      <c r="I89" s="115"/>
      <c r="J89" s="115"/>
      <c r="K89" s="115"/>
      <c r="L89" s="116"/>
    </row>
    <row r="90" spans="2:12" ht="24.75">
      <c r="H90" s="115"/>
      <c r="I90" s="115"/>
      <c r="J90" s="115"/>
      <c r="K90" s="115"/>
      <c r="L90" s="116"/>
    </row>
    <row r="91" spans="2:12" ht="24.75">
      <c r="H91" s="115"/>
      <c r="I91" s="115"/>
      <c r="J91" s="115"/>
      <c r="K91" s="115"/>
      <c r="L91" s="116"/>
    </row>
    <row r="92" spans="2:12" ht="24.75">
      <c r="H92" s="115"/>
      <c r="I92" s="115"/>
      <c r="J92" s="115"/>
      <c r="K92" s="115"/>
      <c r="L92" s="116"/>
    </row>
    <row r="93" spans="2:12" ht="24.75">
      <c r="H93" s="115"/>
      <c r="I93" s="115"/>
      <c r="J93" s="115"/>
      <c r="K93" s="115"/>
      <c r="L93" s="116"/>
    </row>
    <row r="94" spans="2:12" ht="24.75">
      <c r="H94" s="115"/>
      <c r="I94" s="115"/>
      <c r="J94" s="115"/>
      <c r="K94" s="115"/>
      <c r="L94" s="116"/>
    </row>
    <row r="95" spans="2:12" ht="24.75">
      <c r="H95" s="115"/>
      <c r="I95" s="115"/>
      <c r="J95" s="115"/>
      <c r="K95" s="115"/>
      <c r="L95" s="116"/>
    </row>
    <row r="96" spans="2:12" ht="24.75">
      <c r="H96" s="115"/>
      <c r="I96" s="115"/>
      <c r="J96" s="115"/>
      <c r="K96" s="115"/>
      <c r="L96" s="116"/>
    </row>
    <row r="97" spans="8:12" ht="24.75">
      <c r="H97" s="115"/>
      <c r="I97" s="115"/>
      <c r="J97" s="115"/>
      <c r="K97" s="115"/>
      <c r="L97" s="116"/>
    </row>
    <row r="98" spans="8:12" ht="24.75">
      <c r="H98" s="115"/>
      <c r="I98" s="115"/>
      <c r="J98" s="115"/>
      <c r="K98" s="115"/>
      <c r="L98" s="116"/>
    </row>
    <row r="99" spans="8:12" ht="24.75">
      <c r="H99" s="115"/>
      <c r="I99" s="115"/>
      <c r="J99" s="115"/>
      <c r="K99" s="115"/>
      <c r="L99" s="116"/>
    </row>
    <row r="100" spans="8:12" ht="24.75">
      <c r="H100" s="115"/>
      <c r="I100" s="115"/>
      <c r="J100" s="115"/>
      <c r="K100" s="115"/>
      <c r="L100" s="116"/>
    </row>
    <row r="101" spans="8:12" ht="24.75">
      <c r="H101" s="115"/>
      <c r="I101" s="115"/>
      <c r="J101" s="115"/>
      <c r="K101" s="115"/>
    </row>
  </sheetData>
  <sheetProtection selectLockedCells="1"/>
  <mergeCells count="10">
    <mergeCell ref="B89:F89"/>
    <mergeCell ref="B81:F81"/>
    <mergeCell ref="B59:F59"/>
    <mergeCell ref="H62:L62"/>
    <mergeCell ref="H50:L50"/>
    <mergeCell ref="B47:F47"/>
    <mergeCell ref="B1:F1"/>
    <mergeCell ref="H1:L1"/>
    <mergeCell ref="B25:F25"/>
    <mergeCell ref="H9:M9"/>
  </mergeCells>
  <phoneticPr fontId="2" type="noConversion"/>
  <pageMargins left="0.7" right="0.7" top="0.75" bottom="0.75" header="0.3" footer="0.3"/>
  <pageSetup orientation="portrait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4"/>
  <sheetViews>
    <sheetView showGridLines="0" zoomScale="90" zoomScaleNormal="90" workbookViewId="0">
      <selection activeCell="F18" sqref="F18"/>
    </sheetView>
  </sheetViews>
  <sheetFormatPr defaultColWidth="9.140625" defaultRowHeight="15"/>
  <cols>
    <col min="1" max="1" width="10.5703125" style="23" customWidth="1"/>
    <col min="2" max="2" width="33" style="23" bestFit="1" customWidth="1"/>
    <col min="3" max="3" width="6.7109375" style="23" customWidth="1"/>
    <col min="4" max="4" width="10.7109375" style="23" customWidth="1"/>
    <col min="5" max="5" width="23.42578125" style="23" bestFit="1" customWidth="1"/>
    <col min="6" max="6" width="22.42578125" style="23" customWidth="1"/>
    <col min="7" max="7" width="12.7109375" style="23" bestFit="1" customWidth="1"/>
    <col min="8" max="8" width="18.5703125" style="23" customWidth="1"/>
    <col min="9" max="9" width="15.42578125" style="23" bestFit="1" customWidth="1"/>
    <col min="10" max="10" width="18.8554687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>
      <c r="B1" s="213" t="s">
        <v>1978</v>
      </c>
      <c r="C1" s="213"/>
      <c r="D1" s="213"/>
      <c r="E1" s="213"/>
      <c r="F1" s="205">
        <v>10</v>
      </c>
      <c r="H1" s="205" t="s">
        <v>1979</v>
      </c>
      <c r="I1" s="163">
        <v>3500</v>
      </c>
    </row>
    <row r="2" spans="1:16" customFormat="1" ht="21.75" customHeight="1"/>
    <row r="3" spans="1:16" customFormat="1" ht="16.5">
      <c r="A3" s="87" t="s">
        <v>74</v>
      </c>
      <c r="B3" s="87" t="s">
        <v>75</v>
      </c>
      <c r="C3" s="87" t="s">
        <v>76</v>
      </c>
      <c r="D3" s="87" t="s">
        <v>77</v>
      </c>
      <c r="E3" s="87" t="s">
        <v>78</v>
      </c>
      <c r="F3" s="87" t="s">
        <v>79</v>
      </c>
      <c r="G3" s="87" t="s">
        <v>80</v>
      </c>
      <c r="H3" s="87" t="s">
        <v>81</v>
      </c>
      <c r="I3" s="87" t="s">
        <v>82</v>
      </c>
      <c r="J3" s="87" t="s">
        <v>83</v>
      </c>
      <c r="K3" t="s">
        <v>1980</v>
      </c>
      <c r="L3" t="s">
        <v>1981</v>
      </c>
      <c r="M3" t="s">
        <v>1982</v>
      </c>
      <c r="N3" t="s">
        <v>1983</v>
      </c>
      <c r="O3" t="s">
        <v>1984</v>
      </c>
      <c r="P3" t="s">
        <v>1985</v>
      </c>
    </row>
    <row r="4" spans="1:16" customFormat="1">
      <c r="A4" s="142" t="s">
        <v>1569</v>
      </c>
      <c r="B4" s="81" t="s">
        <v>1570</v>
      </c>
      <c r="C4" s="81">
        <v>98</v>
      </c>
      <c r="D4" s="138" t="s">
        <v>12</v>
      </c>
      <c r="E4" s="138" t="s">
        <v>1571</v>
      </c>
      <c r="F4" s="139">
        <v>540807523</v>
      </c>
      <c r="G4" s="138" t="s">
        <v>47</v>
      </c>
      <c r="H4" s="140">
        <v>0.66666666666666663</v>
      </c>
      <c r="I4" s="138" t="s">
        <v>18</v>
      </c>
      <c r="J4" s="141">
        <v>46236</v>
      </c>
    </row>
    <row r="5" spans="1:16" customFormat="1">
      <c r="A5" s="142" t="s">
        <v>1572</v>
      </c>
      <c r="B5" s="81" t="s">
        <v>1573</v>
      </c>
      <c r="C5" s="81">
        <v>41</v>
      </c>
      <c r="D5" s="138" t="s">
        <v>11</v>
      </c>
      <c r="E5" s="138" t="s">
        <v>1387</v>
      </c>
      <c r="F5" s="139">
        <v>545721910</v>
      </c>
      <c r="G5" s="138" t="s">
        <v>17</v>
      </c>
      <c r="H5" s="140">
        <v>0.29166666666666669</v>
      </c>
      <c r="I5" s="138" t="s">
        <v>18</v>
      </c>
      <c r="J5" s="141">
        <v>46239</v>
      </c>
    </row>
    <row r="6" spans="1:16" customFormat="1">
      <c r="A6" s="142" t="s">
        <v>1574</v>
      </c>
      <c r="B6" s="81" t="s">
        <v>1575</v>
      </c>
      <c r="C6" s="81">
        <v>55</v>
      </c>
      <c r="D6" s="138" t="s">
        <v>11</v>
      </c>
      <c r="E6" s="138" t="s">
        <v>1576</v>
      </c>
      <c r="F6" s="139">
        <v>550147165</v>
      </c>
      <c r="G6" s="138" t="s">
        <v>15</v>
      </c>
      <c r="H6" s="140">
        <v>0.53125</v>
      </c>
      <c r="I6" s="138" t="s">
        <v>18</v>
      </c>
      <c r="J6" s="141">
        <v>46246</v>
      </c>
    </row>
    <row r="7" spans="1:16" customFormat="1">
      <c r="A7" s="142" t="s">
        <v>1577</v>
      </c>
      <c r="B7" s="81" t="s">
        <v>1578</v>
      </c>
      <c r="C7" s="81">
        <v>43</v>
      </c>
      <c r="D7" s="138" t="s">
        <v>12</v>
      </c>
      <c r="E7" s="138" t="s">
        <v>1579</v>
      </c>
      <c r="F7" s="139">
        <v>245040725</v>
      </c>
      <c r="G7" s="138" t="s">
        <v>13</v>
      </c>
      <c r="H7" s="140">
        <v>0.625</v>
      </c>
      <c r="I7" s="138" t="s">
        <v>18</v>
      </c>
      <c r="J7" s="141">
        <v>46246</v>
      </c>
    </row>
    <row r="8" spans="1:16" customFormat="1">
      <c r="A8" s="142" t="s">
        <v>1580</v>
      </c>
      <c r="B8" s="81" t="s">
        <v>1581</v>
      </c>
      <c r="C8" s="81">
        <v>71</v>
      </c>
      <c r="D8" s="138" t="s">
        <v>11</v>
      </c>
      <c r="E8" s="138" t="s">
        <v>1582</v>
      </c>
      <c r="F8" s="139">
        <v>246254357</v>
      </c>
      <c r="G8" s="138" t="s">
        <v>16</v>
      </c>
      <c r="H8" s="140">
        <v>0.6875</v>
      </c>
      <c r="I8" s="138" t="s">
        <v>20</v>
      </c>
      <c r="J8" s="141">
        <v>46254</v>
      </c>
    </row>
    <row r="9" spans="1:16" customFormat="1">
      <c r="A9" s="142" t="s">
        <v>1583</v>
      </c>
      <c r="B9" s="81" t="s">
        <v>1584</v>
      </c>
      <c r="C9" s="81">
        <v>66</v>
      </c>
      <c r="D9" s="138" t="s">
        <v>12</v>
      </c>
      <c r="E9" s="138" t="s">
        <v>1585</v>
      </c>
      <c r="F9" s="139">
        <v>246287356</v>
      </c>
      <c r="G9" s="138" t="s">
        <v>19</v>
      </c>
      <c r="H9" s="140">
        <v>0.6875</v>
      </c>
      <c r="I9" s="138" t="s">
        <v>18</v>
      </c>
      <c r="J9" s="141">
        <v>46255</v>
      </c>
    </row>
    <row r="10" spans="1:16" customFormat="1">
      <c r="A10" s="142" t="s">
        <v>1586</v>
      </c>
      <c r="B10" s="81" t="s">
        <v>1587</v>
      </c>
      <c r="C10" s="81">
        <v>61</v>
      </c>
      <c r="D10" s="138" t="s">
        <v>11</v>
      </c>
      <c r="E10" s="138" t="s">
        <v>1475</v>
      </c>
      <c r="F10" s="139">
        <v>248085327</v>
      </c>
      <c r="G10" s="138" t="s">
        <v>13</v>
      </c>
      <c r="H10" s="140">
        <v>0.72916666666666663</v>
      </c>
      <c r="I10" s="138" t="s">
        <v>20</v>
      </c>
      <c r="J10" s="141">
        <v>46256</v>
      </c>
    </row>
    <row r="11" spans="1:16" customFormat="1">
      <c r="A11" s="142" t="s">
        <v>1588</v>
      </c>
      <c r="B11" s="81" t="s">
        <v>1589</v>
      </c>
      <c r="C11" s="81">
        <v>74</v>
      </c>
      <c r="D11" s="138" t="s">
        <v>12</v>
      </c>
      <c r="E11" s="138" t="s">
        <v>1590</v>
      </c>
      <c r="F11" s="139">
        <v>247018069</v>
      </c>
      <c r="G11" s="138" t="s">
        <v>13</v>
      </c>
      <c r="H11" s="140">
        <v>0.39583333333333331</v>
      </c>
      <c r="I11" s="138" t="s">
        <v>18</v>
      </c>
      <c r="J11" s="141">
        <v>46257</v>
      </c>
    </row>
    <row r="12" spans="1:16" customFormat="1">
      <c r="A12" s="142" t="s">
        <v>1591</v>
      </c>
      <c r="B12" s="81" t="s">
        <v>1592</v>
      </c>
      <c r="C12" s="81">
        <v>49</v>
      </c>
      <c r="D12" s="138" t="s">
        <v>11</v>
      </c>
      <c r="E12" s="138" t="s">
        <v>1593</v>
      </c>
      <c r="F12" s="139">
        <v>248859249</v>
      </c>
      <c r="G12" s="138" t="s">
        <v>13</v>
      </c>
      <c r="H12" s="140">
        <v>0.6875</v>
      </c>
      <c r="I12" s="138" t="s">
        <v>18</v>
      </c>
      <c r="J12" s="141">
        <v>46258</v>
      </c>
    </row>
    <row r="13" spans="1:16" customFormat="1">
      <c r="A13" s="142" t="s">
        <v>1594</v>
      </c>
      <c r="B13" s="81" t="s">
        <v>1595</v>
      </c>
      <c r="C13" s="81">
        <v>62</v>
      </c>
      <c r="D13" s="138" t="s">
        <v>12</v>
      </c>
      <c r="E13" s="138" t="s">
        <v>1596</v>
      </c>
      <c r="F13" s="139">
        <v>594120618</v>
      </c>
      <c r="G13" s="138" t="s">
        <v>15</v>
      </c>
      <c r="H13" s="140">
        <v>0</v>
      </c>
      <c r="I13" s="138" t="s">
        <v>18</v>
      </c>
      <c r="J13" s="141">
        <v>46259</v>
      </c>
    </row>
    <row r="14" spans="1:16">
      <c r="A14" s="25" t="s">
        <v>1660</v>
      </c>
      <c r="B14" s="25"/>
      <c r="C14" s="25"/>
      <c r="D14" s="25"/>
      <c r="E14" s="25"/>
      <c r="F14" s="25"/>
      <c r="G14" s="25"/>
      <c r="H14" s="25"/>
      <c r="I14" s="25"/>
      <c r="J14" s="25"/>
      <c r="P14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183" priority="57" operator="containsText" text="VIP">
      <formula>NOT(ISERROR(SEARCH("VIP",I3)))</formula>
    </cfRule>
    <cfRule type="containsText" dxfId="182" priority="58" operator="containsText" text="Normal">
      <formula>NOT(ISERROR(SEARCH("Normal",I3)))</formula>
    </cfRule>
  </conditionalFormatting>
  <conditionalFormatting sqref="I4">
    <cfRule type="containsText" dxfId="181" priority="55" operator="containsText" text="VIP">
      <formula>NOT(ISERROR(SEARCH("VIP",I4)))</formula>
    </cfRule>
    <cfRule type="containsText" dxfId="180" priority="56" operator="containsText" text="Normal">
      <formula>NOT(ISERROR(SEARCH("Normal",I4)))</formula>
    </cfRule>
  </conditionalFormatting>
  <conditionalFormatting sqref="D4">
    <cfRule type="cellIs" dxfId="179" priority="53" operator="equal">
      <formula>"Female"</formula>
    </cfRule>
    <cfRule type="cellIs" dxfId="178" priority="54" operator="equal">
      <formula>"Male"</formula>
    </cfRule>
  </conditionalFormatting>
  <conditionalFormatting sqref="I5">
    <cfRule type="containsText" dxfId="177" priority="51" operator="containsText" text="VIP">
      <formula>NOT(ISERROR(SEARCH("VIP",I5)))</formula>
    </cfRule>
    <cfRule type="containsText" dxfId="176" priority="52" operator="containsText" text="Normal">
      <formula>NOT(ISERROR(SEARCH("Normal",I5)))</formula>
    </cfRule>
  </conditionalFormatting>
  <conditionalFormatting sqref="D5">
    <cfRule type="cellIs" dxfId="175" priority="49" operator="equal">
      <formula>"Female"</formula>
    </cfRule>
    <cfRule type="cellIs" dxfId="174" priority="50" operator="equal">
      <formula>"Male"</formula>
    </cfRule>
  </conditionalFormatting>
  <conditionalFormatting sqref="I6">
    <cfRule type="containsText" dxfId="173" priority="47" operator="containsText" text="VIP">
      <formula>NOT(ISERROR(SEARCH("VIP",I6)))</formula>
    </cfRule>
    <cfRule type="containsText" dxfId="172" priority="48" operator="containsText" text="Normal">
      <formula>NOT(ISERROR(SEARCH("Normal",I6)))</formula>
    </cfRule>
  </conditionalFormatting>
  <conditionalFormatting sqref="I6">
    <cfRule type="containsText" dxfId="171" priority="45" operator="containsText" text="VIP">
      <formula>NOT(ISERROR(SEARCH("VIP",I6)))</formula>
    </cfRule>
    <cfRule type="containsText" dxfId="170" priority="46" operator="containsText" text="Normal">
      <formula>NOT(ISERROR(SEARCH("Normal",I6)))</formula>
    </cfRule>
  </conditionalFormatting>
  <conditionalFormatting sqref="D6">
    <cfRule type="cellIs" dxfId="169" priority="43" operator="equal">
      <formula>"Female"</formula>
    </cfRule>
    <cfRule type="cellIs" dxfId="168" priority="44" operator="equal">
      <formula>"Male"</formula>
    </cfRule>
  </conditionalFormatting>
  <conditionalFormatting sqref="I7">
    <cfRule type="containsText" dxfId="167" priority="41" operator="containsText" text="VIP">
      <formula>NOT(ISERROR(SEARCH("VIP",I7)))</formula>
    </cfRule>
    <cfRule type="containsText" dxfId="166" priority="42" operator="containsText" text="Normal">
      <formula>NOT(ISERROR(SEARCH("Normal",I7)))</formula>
    </cfRule>
  </conditionalFormatting>
  <conditionalFormatting sqref="I7">
    <cfRule type="containsText" dxfId="165" priority="39" operator="containsText" text="VIP">
      <formula>NOT(ISERROR(SEARCH("VIP",I7)))</formula>
    </cfRule>
    <cfRule type="containsText" dxfId="164" priority="40" operator="containsText" text="Normal">
      <formula>NOT(ISERROR(SEARCH("Normal",I7)))</formula>
    </cfRule>
  </conditionalFormatting>
  <conditionalFormatting sqref="D7">
    <cfRule type="cellIs" dxfId="163" priority="37" operator="equal">
      <formula>"Female"</formula>
    </cfRule>
    <cfRule type="cellIs" dxfId="162" priority="38" operator="equal">
      <formula>"Male"</formula>
    </cfRule>
  </conditionalFormatting>
  <conditionalFormatting sqref="I8">
    <cfRule type="containsText" dxfId="161" priority="35" operator="containsText" text="VIP">
      <formula>NOT(ISERROR(SEARCH("VIP",I8)))</formula>
    </cfRule>
    <cfRule type="containsText" dxfId="160" priority="36" operator="containsText" text="Normal">
      <formula>NOT(ISERROR(SEARCH("Normal",I8)))</formula>
    </cfRule>
  </conditionalFormatting>
  <conditionalFormatting sqref="I8">
    <cfRule type="containsText" dxfId="159" priority="33" operator="containsText" text="VIP">
      <formula>NOT(ISERROR(SEARCH("VIP",I8)))</formula>
    </cfRule>
    <cfRule type="containsText" dxfId="158" priority="34" operator="containsText" text="Normal">
      <formula>NOT(ISERROR(SEARCH("Normal",I8)))</formula>
    </cfRule>
  </conditionalFormatting>
  <conditionalFormatting sqref="D8">
    <cfRule type="cellIs" dxfId="157" priority="31" operator="equal">
      <formula>"Female"</formula>
    </cfRule>
    <cfRule type="cellIs" dxfId="156" priority="32" operator="equal">
      <formula>"Male"</formula>
    </cfRule>
  </conditionalFormatting>
  <conditionalFormatting sqref="I9">
    <cfRule type="containsText" dxfId="155" priority="29" operator="containsText" text="VIP">
      <formula>NOT(ISERROR(SEARCH("VIP",I9)))</formula>
    </cfRule>
    <cfRule type="containsText" dxfId="154" priority="30" operator="containsText" text="Normal">
      <formula>NOT(ISERROR(SEARCH("Normal",I9)))</formula>
    </cfRule>
  </conditionalFormatting>
  <conditionalFormatting sqref="I9">
    <cfRule type="containsText" dxfId="153" priority="27" operator="containsText" text="VIP">
      <formula>NOT(ISERROR(SEARCH("VIP",I9)))</formula>
    </cfRule>
    <cfRule type="containsText" dxfId="152" priority="28" operator="containsText" text="Normal">
      <formula>NOT(ISERROR(SEARCH("Normal",I9)))</formula>
    </cfRule>
  </conditionalFormatting>
  <conditionalFormatting sqref="D9">
    <cfRule type="cellIs" dxfId="151" priority="25" operator="equal">
      <formula>"Female"</formula>
    </cfRule>
    <cfRule type="cellIs" dxfId="150" priority="26" operator="equal">
      <formula>"Male"</formula>
    </cfRule>
  </conditionalFormatting>
  <conditionalFormatting sqref="I10">
    <cfRule type="containsText" dxfId="149" priority="23" operator="containsText" text="VIP">
      <formula>NOT(ISERROR(SEARCH("VIP",I10)))</formula>
    </cfRule>
    <cfRule type="containsText" dxfId="148" priority="24" operator="containsText" text="Normal">
      <formula>NOT(ISERROR(SEARCH("Normal",I10)))</formula>
    </cfRule>
  </conditionalFormatting>
  <conditionalFormatting sqref="I10">
    <cfRule type="containsText" dxfId="147" priority="21" operator="containsText" text="VIP">
      <formula>NOT(ISERROR(SEARCH("VIP",I10)))</formula>
    </cfRule>
    <cfRule type="containsText" dxfId="146" priority="22" operator="containsText" text="Normal">
      <formula>NOT(ISERROR(SEARCH("Normal",I10)))</formula>
    </cfRule>
  </conditionalFormatting>
  <conditionalFormatting sqref="D10">
    <cfRule type="cellIs" dxfId="145" priority="19" operator="equal">
      <formula>"Female"</formula>
    </cfRule>
    <cfRule type="cellIs" dxfId="144" priority="20" operator="equal">
      <formula>"Male"</formula>
    </cfRule>
  </conditionalFormatting>
  <conditionalFormatting sqref="I11">
    <cfRule type="containsText" dxfId="143" priority="17" operator="containsText" text="VIP">
      <formula>NOT(ISERROR(SEARCH("VIP",I11)))</formula>
    </cfRule>
    <cfRule type="containsText" dxfId="142" priority="18" operator="containsText" text="Normal">
      <formula>NOT(ISERROR(SEARCH("Normal",I11)))</formula>
    </cfRule>
  </conditionalFormatting>
  <conditionalFormatting sqref="I11">
    <cfRule type="containsText" dxfId="141" priority="15" operator="containsText" text="VIP">
      <formula>NOT(ISERROR(SEARCH("VIP",I11)))</formula>
    </cfRule>
    <cfRule type="containsText" dxfId="140" priority="16" operator="containsText" text="Normal">
      <formula>NOT(ISERROR(SEARCH("Normal",I11)))</formula>
    </cfRule>
  </conditionalFormatting>
  <conditionalFormatting sqref="D11">
    <cfRule type="cellIs" dxfId="139" priority="13" operator="equal">
      <formula>"Female"</formula>
    </cfRule>
    <cfRule type="cellIs" dxfId="138" priority="14" operator="equal">
      <formula>"Male"</formula>
    </cfRule>
  </conditionalFormatting>
  <conditionalFormatting sqref="I12">
    <cfRule type="containsText" dxfId="137" priority="11" operator="containsText" text="VIP">
      <formula>NOT(ISERROR(SEARCH("VIP",I12)))</formula>
    </cfRule>
    <cfRule type="containsText" dxfId="136" priority="12" operator="containsText" text="Normal">
      <formula>NOT(ISERROR(SEARCH("Normal",I12)))</formula>
    </cfRule>
  </conditionalFormatting>
  <conditionalFormatting sqref="I12">
    <cfRule type="containsText" dxfId="135" priority="9" operator="containsText" text="VIP">
      <formula>NOT(ISERROR(SEARCH("VIP",I12)))</formula>
    </cfRule>
    <cfRule type="containsText" dxfId="134" priority="10" operator="containsText" text="Normal">
      <formula>NOT(ISERROR(SEARCH("Normal",I12)))</formula>
    </cfRule>
  </conditionalFormatting>
  <conditionalFormatting sqref="D12">
    <cfRule type="cellIs" dxfId="133" priority="7" operator="equal">
      <formula>"Female"</formula>
    </cfRule>
    <cfRule type="cellIs" dxfId="132" priority="8" operator="equal">
      <formula>"Male"</formula>
    </cfRule>
  </conditionalFormatting>
  <conditionalFormatting sqref="I13">
    <cfRule type="containsText" dxfId="131" priority="5" operator="containsText" text="VIP">
      <formula>NOT(ISERROR(SEARCH("VIP",I13)))</formula>
    </cfRule>
    <cfRule type="containsText" dxfId="130" priority="6" operator="containsText" text="Normal">
      <formula>NOT(ISERROR(SEARCH("Normal",I13)))</formula>
    </cfRule>
  </conditionalFormatting>
  <conditionalFormatting sqref="I13">
    <cfRule type="containsText" dxfId="129" priority="3" operator="containsText" text="VIP">
      <formula>NOT(ISERROR(SEARCH("VIP",I13)))</formula>
    </cfRule>
    <cfRule type="containsText" dxfId="128" priority="4" operator="containsText" text="Normal">
      <formula>NOT(ISERROR(SEARCH("Normal",I13)))</formula>
    </cfRule>
  </conditionalFormatting>
  <conditionalFormatting sqref="D13">
    <cfRule type="cellIs" dxfId="127" priority="1" operator="equal">
      <formula>"Female"</formula>
    </cfRule>
    <cfRule type="cellIs" dxfId="126" priority="2" operator="equal">
      <formula>"Male"</formula>
    </cfRule>
  </conditionalFormatting>
  <dataValidations count="1">
    <dataValidation type="list" allowBlank="1" showInputMessage="1" showErrorMessage="1" sqref="I4:I13" xr:uid="{27802DD0-7A85-451E-BE3A-678B62B4539D}">
      <formula1>"Normal,VIP"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69850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9"/>
  <sheetViews>
    <sheetView showGridLines="0" workbookViewId="0">
      <selection activeCell="J14" sqref="J14"/>
    </sheetView>
  </sheetViews>
  <sheetFormatPr defaultColWidth="9.140625" defaultRowHeight="15"/>
  <cols>
    <col min="1" max="1" width="9.85546875" style="23" customWidth="1"/>
    <col min="2" max="2" width="39" style="23" customWidth="1"/>
    <col min="3" max="3" width="6.28515625" style="23" hidden="1" customWidth="1"/>
    <col min="4" max="4" width="9.85546875" style="23" hidden="1" customWidth="1"/>
    <col min="5" max="5" width="18.42578125" style="23" hidden="1" customWidth="1"/>
    <col min="6" max="6" width="20.42578125" style="23" hidden="1" customWidth="1"/>
    <col min="7" max="7" width="10.42578125" style="23" hidden="1" customWidth="1"/>
    <col min="8" max="8" width="17" style="23" hidden="1" customWidth="1"/>
    <col min="9" max="9" width="15" style="23" bestFit="1" customWidth="1"/>
    <col min="10" max="10" width="17.28515625" style="23" customWidth="1"/>
    <col min="11" max="11" width="17.42578125" style="23" customWidth="1"/>
    <col min="12" max="12" width="15.5703125" style="23" customWidth="1"/>
    <col min="13" max="13" width="16.42578125" style="23" hidden="1" customWidth="1"/>
    <col min="14" max="14" width="16.140625" style="23" customWidth="1"/>
    <col min="15" max="15" width="20.28515625" style="23" hidden="1" customWidth="1"/>
    <col min="16" max="16" width="20" style="23" customWidth="1"/>
    <col min="17" max="17" width="13.28515625" style="23" hidden="1" customWidth="1"/>
    <col min="18" max="18" width="16.140625" style="23" hidden="1" customWidth="1"/>
    <col min="19" max="19" width="14.85546875" style="23" hidden="1" customWidth="1"/>
    <col min="20" max="20" width="8.42578125" style="23" hidden="1" customWidth="1"/>
    <col min="21" max="21" width="8.140625" style="23" hidden="1" customWidth="1"/>
    <col min="22" max="22" width="10.28515625" style="23" hidden="1" customWidth="1"/>
    <col min="23" max="23" width="9.28515625" style="23" hidden="1" customWidth="1"/>
    <col min="24" max="24" width="11.28515625" style="23" hidden="1" customWidth="1"/>
    <col min="25" max="16384" width="9.140625" style="23"/>
  </cols>
  <sheetData>
    <row r="1" spans="1:24" customFormat="1" ht="18.75">
      <c r="B1" s="213" t="s">
        <v>1986</v>
      </c>
      <c r="C1" s="213"/>
      <c r="D1" s="213"/>
      <c r="E1" s="213"/>
      <c r="F1" s="205">
        <v>3</v>
      </c>
      <c r="H1" s="163"/>
      <c r="I1" s="163">
        <v>2498</v>
      </c>
    </row>
    <row r="2" spans="1:24" s="53" customFormat="1" ht="28.5" customHeight="1">
      <c r="A2"/>
      <c r="B2"/>
      <c r="C2"/>
      <c r="D2"/>
      <c r="E2"/>
      <c r="F2"/>
      <c r="G2"/>
      <c r="H2"/>
      <c r="I2"/>
    </row>
    <row r="3" spans="1:24" s="27" customFormat="1" ht="16.5" customHeight="1">
      <c r="A3" t="s">
        <v>74</v>
      </c>
      <c r="B3" t="s">
        <v>75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89</v>
      </c>
      <c r="Q3" t="s">
        <v>90</v>
      </c>
      <c r="R3" t="s">
        <v>91</v>
      </c>
      <c r="S3" t="s">
        <v>92</v>
      </c>
      <c r="T3" t="s">
        <v>93</v>
      </c>
      <c r="U3" t="s">
        <v>94</v>
      </c>
      <c r="V3" t="s">
        <v>95</v>
      </c>
      <c r="W3" t="s">
        <v>96</v>
      </c>
      <c r="X3" t="s">
        <v>97</v>
      </c>
    </row>
    <row r="4" spans="1:24" s="27" customFormat="1" ht="16.5" customHeight="1">
      <c r="A4" s="150" t="s">
        <v>1402</v>
      </c>
      <c r="B4" s="151" t="s">
        <v>1403</v>
      </c>
      <c r="C4" s="151">
        <v>90</v>
      </c>
      <c r="D4" s="152" t="s">
        <v>11</v>
      </c>
      <c r="E4" s="152" t="s">
        <v>1022</v>
      </c>
      <c r="F4" s="153">
        <v>246992460</v>
      </c>
      <c r="G4" s="152" t="s">
        <v>32</v>
      </c>
      <c r="H4" s="154">
        <v>0.85416666666666663</v>
      </c>
      <c r="I4" s="152" t="s">
        <v>18</v>
      </c>
      <c r="J4" s="155">
        <v>46128</v>
      </c>
      <c r="K4" s="155">
        <v>46248</v>
      </c>
      <c r="L4" s="151">
        <v>121</v>
      </c>
      <c r="M4" s="156">
        <v>350</v>
      </c>
      <c r="N4" s="156">
        <v>1573</v>
      </c>
      <c r="O4" s="157">
        <v>334</v>
      </c>
      <c r="P4" s="157">
        <v>342</v>
      </c>
      <c r="Q4" s="158">
        <f>IF(DATA[[#This Row],[STORAGE FEE]]=0,"NULL",DATA[[#This Row],[COLDROOM FEE]])-DATA[[#This Row],[STORAGE FEE]]</f>
        <v>0</v>
      </c>
      <c r="R4" s="160">
        <v>1573</v>
      </c>
      <c r="S4" s="71" t="str">
        <f>IF(ISBLANK(DATA[[#This Row],[COLDROOM RECEIPT]]), "IN CUSTODY", "DISCHARGED")</f>
        <v>DISCHARGED</v>
      </c>
      <c r="T4" s="58">
        <f>COUNTA(A:A)-2</f>
        <v>3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6.5" customHeight="1">
      <c r="A5" s="150" t="s">
        <v>1534</v>
      </c>
      <c r="B5" s="151" t="s">
        <v>1535</v>
      </c>
      <c r="C5" s="151">
        <v>34</v>
      </c>
      <c r="D5" s="152" t="s">
        <v>12</v>
      </c>
      <c r="E5" s="152" t="s">
        <v>1536</v>
      </c>
      <c r="F5" s="159">
        <v>241866637</v>
      </c>
      <c r="G5" s="152" t="s">
        <v>13</v>
      </c>
      <c r="H5" s="154">
        <v>0.6875</v>
      </c>
      <c r="I5" s="152" t="s">
        <v>20</v>
      </c>
      <c r="J5" s="155">
        <v>46212</v>
      </c>
      <c r="K5" s="155">
        <v>46241</v>
      </c>
      <c r="L5" s="151">
        <v>30</v>
      </c>
      <c r="M5" s="156">
        <v>350</v>
      </c>
      <c r="N5" s="156">
        <v>600</v>
      </c>
      <c r="O5" s="157">
        <v>381</v>
      </c>
      <c r="P5" s="157">
        <v>341</v>
      </c>
      <c r="Q5" s="158">
        <f>IF(DATA[[#This Row],[STORAGE FEE]]=0,"NULL",DATA[[#This Row],[COLDROOM FEE]])-DATA[[#This Row],[STORAGE FEE]]</f>
        <v>0</v>
      </c>
      <c r="R5" s="160">
        <v>600</v>
      </c>
      <c r="S5" s="71" t="str">
        <f>IF(ISBLANK(DATA[[#This Row],[COLDROOM RECEIPT]]), "IN CUSTODY", "DISCHARGED")</f>
        <v>DISCHARGED</v>
      </c>
      <c r="T5" s="58">
        <f>COUNTA(A:A)-2</f>
        <v>3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</v>
      </c>
    </row>
    <row r="6" spans="1:24" s="27" customFormat="1" ht="16.5" customHeight="1">
      <c r="A6" s="150" t="s">
        <v>1546</v>
      </c>
      <c r="B6" s="151" t="s">
        <v>1547</v>
      </c>
      <c r="C6" s="151">
        <v>53</v>
      </c>
      <c r="D6" s="152" t="s">
        <v>12</v>
      </c>
      <c r="E6" s="152" t="s">
        <v>1548</v>
      </c>
      <c r="F6" s="159">
        <v>246575341</v>
      </c>
      <c r="G6" s="152" t="s">
        <v>13</v>
      </c>
      <c r="H6" s="154">
        <v>0.97916666666666663</v>
      </c>
      <c r="I6" s="152" t="s">
        <v>18</v>
      </c>
      <c r="J6" s="155">
        <v>46222</v>
      </c>
      <c r="K6" s="155">
        <v>46246</v>
      </c>
      <c r="L6" s="151">
        <v>25</v>
      </c>
      <c r="M6" s="156">
        <v>350</v>
      </c>
      <c r="N6" s="156">
        <v>325</v>
      </c>
      <c r="O6" s="157">
        <v>385</v>
      </c>
      <c r="P6" s="157">
        <v>343</v>
      </c>
      <c r="Q6" s="158">
        <f>IF(DATA[[#This Row],[STORAGE FEE]]=0,"NULL",DATA[[#This Row],[COLDROOM FEE]])-DATA[[#This Row],[STORAGE FEE]]</f>
        <v>0</v>
      </c>
      <c r="R6" s="160">
        <v>325</v>
      </c>
      <c r="S6" s="71" t="str">
        <f>IF(ISBLANK(DATA[[#This Row],[COLDROOM RECEIPT]]), "IN CUSTODY", "DISCHARGED")</f>
        <v>DISCHARGED</v>
      </c>
      <c r="T6" s="58">
        <f>COUNTA(A:A)-2</f>
        <v>3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</v>
      </c>
    </row>
    <row r="7" spans="1:24" ht="16.5" customHeight="1">
      <c r="A7" s="25" t="s">
        <v>1660</v>
      </c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32">
        <f>SUBTOTAL(109,DischargesTable[EMBALMING FEE])</f>
        <v>1050</v>
      </c>
      <c r="N7" s="32">
        <f>SUBTOTAL(109,DischargesTable[COLDROOM FEE])</f>
        <v>2498</v>
      </c>
      <c r="O7" s="143"/>
      <c r="P7" s="143"/>
      <c r="Q7" s="144"/>
      <c r="R7" s="145">
        <f>SUBTOTAL(109,DischargesTable[STORAGE FEE])</f>
        <v>2498</v>
      </c>
      <c r="S7" s="25"/>
      <c r="T7" s="27"/>
      <c r="U7" s="146"/>
      <c r="V7" s="147"/>
      <c r="W7" s="146"/>
      <c r="X7" s="147">
        <f>SUBTOTAL(103,DischargesTable[MONTHS2])</f>
        <v>3</v>
      </c>
    </row>
    <row r="8" spans="1:24" ht="16.5" customHeight="1"/>
    <row r="9" spans="1:24" ht="16.5" customHeight="1"/>
    <row r="10" spans="1:24" ht="16.5" customHeight="1"/>
    <row r="11" spans="1:24" ht="16.5" customHeight="1"/>
    <row r="12" spans="1:24" ht="16.5" customHeight="1"/>
    <row r="13" spans="1:24" ht="16.5" customHeight="1"/>
    <row r="14" spans="1:24" ht="16.5" customHeight="1"/>
    <row r="15" spans="1:24" ht="16.5" customHeight="1"/>
    <row r="16" spans="1:24" ht="16.5" customHeight="1"/>
    <row r="17" ht="16.5" customHeight="1"/>
    <row r="18" ht="16.5" customHeight="1"/>
    <row r="19" ht="16.5" customHeight="1"/>
    <row r="20" ht="16.5" customHeight="1"/>
    <row r="21" ht="16.5" customHeight="1"/>
    <row r="22" ht="16.5" customHeight="1"/>
    <row r="23" ht="16.5" customHeight="1"/>
    <row r="24" ht="16.5" customHeight="1"/>
    <row r="25" ht="16.5" customHeight="1"/>
    <row r="26" ht="16.5" customHeight="1"/>
    <row r="27" ht="16.5" customHeight="1"/>
    <row r="28" ht="16.5" customHeight="1"/>
    <row r="29" ht="16.5" customHeight="1"/>
    <row r="30" ht="16.5" customHeight="1"/>
    <row r="31" ht="16.5" customHeight="1"/>
    <row r="32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</sheetData>
  <mergeCells count="1">
    <mergeCell ref="B1:E1"/>
  </mergeCells>
  <conditionalFormatting sqref="I4">
    <cfRule type="containsText" dxfId="97" priority="11" operator="containsText" text="VIP">
      <formula>NOT(ISERROR(SEARCH("VIP",I4)))</formula>
    </cfRule>
    <cfRule type="containsText" dxfId="96" priority="12" operator="containsText" text="Normal">
      <formula>NOT(ISERROR(SEARCH("Normal",I4)))</formula>
    </cfRule>
  </conditionalFormatting>
  <conditionalFormatting sqref="D4">
    <cfRule type="cellIs" dxfId="95" priority="9" operator="equal">
      <formula>"Female"</formula>
    </cfRule>
    <cfRule type="cellIs" dxfId="94" priority="10" operator="equal">
      <formula>"Male"</formula>
    </cfRule>
  </conditionalFormatting>
  <conditionalFormatting sqref="I5">
    <cfRule type="containsText" dxfId="93" priority="7" operator="containsText" text="VIP">
      <formula>NOT(ISERROR(SEARCH("VIP",I5)))</formula>
    </cfRule>
    <cfRule type="containsText" dxfId="92" priority="8" operator="containsText" text="Normal">
      <formula>NOT(ISERROR(SEARCH("Normal",I5)))</formula>
    </cfRule>
  </conditionalFormatting>
  <conditionalFormatting sqref="D5">
    <cfRule type="cellIs" dxfId="91" priority="5" operator="equal">
      <formula>"Female"</formula>
    </cfRule>
    <cfRule type="cellIs" dxfId="90" priority="6" operator="equal">
      <formula>"Male"</formula>
    </cfRule>
  </conditionalFormatting>
  <conditionalFormatting sqref="I6">
    <cfRule type="containsText" dxfId="89" priority="3" operator="containsText" text="VIP">
      <formula>NOT(ISERROR(SEARCH("VIP",I6)))</formula>
    </cfRule>
    <cfRule type="containsText" dxfId="88" priority="4" operator="containsText" text="Normal">
      <formula>NOT(ISERROR(SEARCH("Normal",I6)))</formula>
    </cfRule>
  </conditionalFormatting>
  <conditionalFormatting sqref="D6">
    <cfRule type="cellIs" dxfId="87" priority="1" operator="equal">
      <formula>"Female"</formula>
    </cfRule>
    <cfRule type="cellIs" dxfId="86" priority="2" operator="equal">
      <formula>"Male"</formula>
    </cfRule>
  </conditionalFormatting>
  <dataValidations count="2">
    <dataValidation type="list" allowBlank="1" showInputMessage="1" showErrorMessage="1" sqref="I4:I6" xr:uid="{E4C6DD44-66B8-4E85-BFB7-14AA4FB858DE}">
      <formula1>"Normal,VIP"</formula1>
    </dataValidation>
    <dataValidation type="list" allowBlank="1" showInputMessage="1" showErrorMessage="1" sqref="D4:D6" xr:uid="{251A5AF5-AD1B-4F0A-9C50-9D92C7F02185}">
      <formula1>"Male,Female"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818"/>
  <sheetViews>
    <sheetView topLeftCell="B778" zoomScale="150" zoomScaleNormal="150" workbookViewId="0">
      <selection activeCell="E789" sqref="E789"/>
    </sheetView>
  </sheetViews>
  <sheetFormatPr defaultRowHeight="15"/>
  <cols>
    <col min="1" max="1" width="20.5703125" bestFit="1" customWidth="1"/>
    <col min="2" max="2" width="24.570312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>
      <c r="A1" t="s">
        <v>1987</v>
      </c>
      <c r="B1" s="46">
        <f>COUNTA(DATA!A:A)-2</f>
        <v>419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>
      <c r="A2" t="s">
        <v>36</v>
      </c>
      <c r="B2">
        <f>COUNTIF(DATA!S:S,"IN CUSTODY")</f>
        <v>65</v>
      </c>
      <c r="F2">
        <v>2</v>
      </c>
      <c r="G2" t="str" cm="1">
        <f t="array" ref="G2">_xlfn.IFS(LEN(F2)=1, "00" &amp; F2, (LEN(F2))=2, "0" &amp; F2, (LEN(F2))&gt;=3, F2)</f>
        <v>002</v>
      </c>
    </row>
    <row r="3" spans="1:7">
      <c r="A3" t="s">
        <v>34</v>
      </c>
      <c r="B3">
        <f>COUNTIF(DATA!S:S,"DISCHARGED")</f>
        <v>354</v>
      </c>
      <c r="F3">
        <v>3</v>
      </c>
      <c r="G3" t="str" cm="1">
        <f t="array" ref="G3">_xlfn.IFS(LEN(F3)=1, "00" &amp; F3, (LEN(F3))=2, "0" &amp; F3, (LEN(F3))&gt;=3, F3)</f>
        <v>003</v>
      </c>
    </row>
    <row r="4" spans="1:7">
      <c r="A4" s="214"/>
      <c r="B4" s="214"/>
      <c r="C4" s="214"/>
      <c r="F4">
        <v>4</v>
      </c>
      <c r="G4" t="str" cm="1">
        <f t="array" ref="G4">_xlfn.IFS(LEN(F4)=1, "00" &amp; F4, (LEN(F4))=2, "0" &amp; F4, (LEN(F4))&gt;=3, F4)</f>
        <v>004</v>
      </c>
    </row>
    <row r="5" spans="1:7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>
      <c r="F13">
        <v>13</v>
      </c>
      <c r="G13" t="str" cm="1">
        <f t="array" ref="G13">_xlfn.IFS(LEN(F13)=1, "00" &amp; F13, (LEN(F13))=2, "0" &amp; F13, (LEN(F13))&gt;=3, F13)</f>
        <v>013</v>
      </c>
    </row>
    <row r="14" spans="1:7">
      <c r="F14">
        <v>14</v>
      </c>
      <c r="G14" t="str" cm="1">
        <f t="array" ref="G14">_xlfn.IFS(LEN(F14)=1, "00" &amp; F14, (LEN(F14))=2, "0" &amp; F14, (LEN(F14))&gt;=3, F14)</f>
        <v>014</v>
      </c>
    </row>
    <row r="15" spans="1:7">
      <c r="F15">
        <v>15</v>
      </c>
      <c r="G15" t="str" cm="1">
        <f t="array" ref="G15">_xlfn.IFS(LEN(F15)=1, "00" &amp; F15, (LEN(F15))=2, "0" &amp; F15, (LEN(F15))&gt;=3, F15)</f>
        <v>015</v>
      </c>
    </row>
    <row r="16" spans="1:7">
      <c r="F16">
        <v>16</v>
      </c>
      <c r="G16" t="str" cm="1">
        <f t="array" ref="G16">_xlfn.IFS(LEN(F16)=1, "00" &amp; F16, (LEN(F16))=2, "0" &amp; F16, (LEN(F16))&gt;=3, F16)</f>
        <v>016</v>
      </c>
    </row>
    <row r="17" spans="6:7">
      <c r="F17">
        <v>17</v>
      </c>
      <c r="G17" t="str" cm="1">
        <f t="array" ref="G17">_xlfn.IFS(LEN(F17)=1, "00" &amp; F17, (LEN(F17))=2, "0" &amp; F17, (LEN(F17))&gt;=3, F17)</f>
        <v>017</v>
      </c>
    </row>
    <row r="18" spans="6:7">
      <c r="F18">
        <v>18</v>
      </c>
      <c r="G18" t="str" cm="1">
        <f t="array" ref="G18">_xlfn.IFS(LEN(F18)=1, "00" &amp; F18, (LEN(F18))=2, "0" &amp; F18, (LEN(F18))&gt;=3, F18)</f>
        <v>018</v>
      </c>
    </row>
    <row r="19" spans="6:7">
      <c r="F19">
        <v>19</v>
      </c>
      <c r="G19" t="str" cm="1">
        <f t="array" ref="G19">_xlfn.IFS(LEN(F19)=1, "00" &amp; F19, (LEN(F19))=2, "0" &amp; F19, (LEN(F19))&gt;=3, F19)</f>
        <v>019</v>
      </c>
    </row>
    <row r="20" spans="6:7">
      <c r="F20">
        <v>20</v>
      </c>
      <c r="G20" t="str" cm="1">
        <f t="array" ref="G20">_xlfn.IFS(LEN(F20)=1, "00" &amp; F20, (LEN(F20))=2, "0" &amp; F20, (LEN(F20))&gt;=3, F20)</f>
        <v>020</v>
      </c>
    </row>
    <row r="21" spans="6:7">
      <c r="F21">
        <v>21</v>
      </c>
      <c r="G21" t="str" cm="1">
        <f t="array" ref="G21">_xlfn.IFS(LEN(F21)=1, "00" &amp; F21, (LEN(F21))=2, "0" &amp; F21, (LEN(F21))&gt;=3, F21)</f>
        <v>021</v>
      </c>
    </row>
    <row r="22" spans="6:7">
      <c r="F22">
        <v>22</v>
      </c>
      <c r="G22" t="str" cm="1">
        <f t="array" ref="G22">_xlfn.IFS(LEN(F22)=1, "00" &amp; F22, (LEN(F22))=2, "0" &amp; F22, (LEN(F22))&gt;=3, F22)</f>
        <v>022</v>
      </c>
    </row>
    <row r="23" spans="6:7">
      <c r="F23">
        <v>23</v>
      </c>
      <c r="G23" t="str" cm="1">
        <f t="array" ref="G23">_xlfn.IFS(LEN(F23)=1, "00" &amp; F23, (LEN(F23))=2, "0" &amp; F23, (LEN(F23))&gt;=3, F23)</f>
        <v>023</v>
      </c>
    </row>
    <row r="24" spans="6:7">
      <c r="F24">
        <v>24</v>
      </c>
      <c r="G24" t="str" cm="1">
        <f t="array" ref="G24">_xlfn.IFS(LEN(F24)=1, "00" &amp; F24, (LEN(F24))=2, "0" &amp; F24, (LEN(F24))&gt;=3, F24)</f>
        <v>024</v>
      </c>
    </row>
    <row r="25" spans="6:7">
      <c r="F25">
        <v>25</v>
      </c>
      <c r="G25" t="str" cm="1">
        <f t="array" ref="G25">_xlfn.IFS(LEN(F25)=1, "00" &amp; F25, (LEN(F25))=2, "0" &amp; F25, (LEN(F25))&gt;=3, F25)</f>
        <v>025</v>
      </c>
    </row>
    <row r="26" spans="6:7">
      <c r="F26">
        <v>26</v>
      </c>
      <c r="G26" t="str" cm="1">
        <f t="array" ref="G26">_xlfn.IFS(LEN(F26)=1, "00" &amp; F26, (LEN(F26))=2, "0" &amp; F26, (LEN(F26))&gt;=3, F26)</f>
        <v>026</v>
      </c>
    </row>
    <row r="27" spans="6:7">
      <c r="F27">
        <v>27</v>
      </c>
      <c r="G27" t="str" cm="1">
        <f t="array" ref="G27">_xlfn.IFS(LEN(F27)=1, "00" &amp; F27, (LEN(F27))=2, "0" &amp; F27, (LEN(F27))&gt;=3, F27)</f>
        <v>027</v>
      </c>
    </row>
    <row r="28" spans="6:7">
      <c r="F28">
        <v>28</v>
      </c>
      <c r="G28" t="str" cm="1">
        <f t="array" ref="G28">_xlfn.IFS(LEN(F28)=1, "00" &amp; F28, (LEN(F28))=2, "0" &amp; F28, (LEN(F28))&gt;=3, F28)</f>
        <v>028</v>
      </c>
    </row>
    <row r="29" spans="6:7">
      <c r="F29">
        <v>29</v>
      </c>
      <c r="G29" t="str" cm="1">
        <f t="array" ref="G29">_xlfn.IFS(LEN(F29)=1, "00" &amp; F29, (LEN(F29))=2, "0" &amp; F29, (LEN(F29))&gt;=3, F29)</f>
        <v>029</v>
      </c>
    </row>
    <row r="30" spans="6:7">
      <c r="F30">
        <v>30</v>
      </c>
      <c r="G30" t="str" cm="1">
        <f t="array" ref="G30">_xlfn.IFS(LEN(F30)=1, "00" &amp; F30, (LEN(F30))=2, "0" &amp; F30, (LEN(F30))&gt;=3, F30)</f>
        <v>030</v>
      </c>
    </row>
    <row r="31" spans="6:7">
      <c r="F31">
        <v>31</v>
      </c>
      <c r="G31" t="str" cm="1">
        <f t="array" ref="G31">_xlfn.IFS(LEN(F31)=1, "00" &amp; F31, (LEN(F31))=2, "0" &amp; F31, (LEN(F31))&gt;=3, F31)</f>
        <v>031</v>
      </c>
    </row>
    <row r="32" spans="6:7">
      <c r="F32">
        <v>32</v>
      </c>
      <c r="G32" t="str" cm="1">
        <f t="array" ref="G32">_xlfn.IFS(LEN(F32)=1, "00" &amp; F32, (LEN(F32))=2, "0" &amp; F32, (LEN(F32))&gt;=3, F32)</f>
        <v>032</v>
      </c>
    </row>
    <row r="33" spans="6:7">
      <c r="F33">
        <v>33</v>
      </c>
      <c r="G33" t="str" cm="1">
        <f t="array" ref="G33">_xlfn.IFS(LEN(F33)=1, "00" &amp; F33, (LEN(F33))=2, "0" &amp; F33, (LEN(F33))&gt;=3, F33)</f>
        <v>033</v>
      </c>
    </row>
    <row r="34" spans="6:7">
      <c r="F34">
        <v>34</v>
      </c>
      <c r="G34" t="str" cm="1">
        <f t="array" ref="G34">_xlfn.IFS(LEN(F34)=1, "00" &amp; F34, (LEN(F34))=2, "0" &amp; F34, (LEN(F34))&gt;=3, F34)</f>
        <v>034</v>
      </c>
    </row>
    <row r="35" spans="6:7">
      <c r="F35">
        <v>35</v>
      </c>
      <c r="G35" t="str" cm="1">
        <f t="array" ref="G35">_xlfn.IFS(LEN(F35)=1, "00" &amp; F35, (LEN(F35))=2, "0" &amp; F35, (LEN(F35))&gt;=3, F35)</f>
        <v>035</v>
      </c>
    </row>
    <row r="36" spans="6:7">
      <c r="F36">
        <v>36</v>
      </c>
      <c r="G36" t="str" cm="1">
        <f t="array" ref="G36">_xlfn.IFS(LEN(F36)=1, "00" &amp; F36, (LEN(F36))=2, "0" &amp; F36, (LEN(F36))&gt;=3, F36)</f>
        <v>036</v>
      </c>
    </row>
    <row r="37" spans="6:7">
      <c r="F37">
        <v>37</v>
      </c>
      <c r="G37" t="str" cm="1">
        <f t="array" ref="G37">_xlfn.IFS(LEN(F37)=1, "00" &amp; F37, (LEN(F37))=2, "0" &amp; F37, (LEN(F37))&gt;=3, F37)</f>
        <v>037</v>
      </c>
    </row>
    <row r="38" spans="6:7">
      <c r="F38">
        <v>38</v>
      </c>
      <c r="G38" t="str" cm="1">
        <f t="array" ref="G38">_xlfn.IFS(LEN(F38)=1, "00" &amp; F38, (LEN(F38))=2, "0" &amp; F38, (LEN(F38))&gt;=3, F38)</f>
        <v>038</v>
      </c>
    </row>
    <row r="39" spans="6:7">
      <c r="F39">
        <v>39</v>
      </c>
      <c r="G39" t="str" cm="1">
        <f t="array" ref="G39">_xlfn.IFS(LEN(F39)=1, "00" &amp; F39, (LEN(F39))=2, "0" &amp; F39, (LEN(F39))&gt;=3, F39)</f>
        <v>039</v>
      </c>
    </row>
    <row r="40" spans="6:7">
      <c r="F40">
        <v>40</v>
      </c>
      <c r="G40" t="str" cm="1">
        <f t="array" ref="G40">_xlfn.IFS(LEN(F40)=1, "00" &amp; F40, (LEN(F40))=2, "0" &amp; F40, (LEN(F40))&gt;=3, F40)</f>
        <v>040</v>
      </c>
    </row>
    <row r="41" spans="6:7">
      <c r="F41">
        <v>41</v>
      </c>
      <c r="G41" t="str" cm="1">
        <f t="array" ref="G41">_xlfn.IFS(LEN(F41)=1, "00" &amp; F41, (LEN(F41))=2, "0" &amp; F41, (LEN(F41))&gt;=3, F41)</f>
        <v>041</v>
      </c>
    </row>
    <row r="42" spans="6:7">
      <c r="F42">
        <v>42</v>
      </c>
      <c r="G42" t="str" cm="1">
        <f t="array" ref="G42">_xlfn.IFS(LEN(F42)=1, "00" &amp; F42, (LEN(F42))=2, "0" &amp; F42, (LEN(F42))&gt;=3, F42)</f>
        <v>042</v>
      </c>
    </row>
    <row r="43" spans="6:7">
      <c r="F43">
        <v>43</v>
      </c>
      <c r="G43" t="str" cm="1">
        <f t="array" ref="G43">_xlfn.IFS(LEN(F43)=1, "00" &amp; F43, (LEN(F43))=2, "0" &amp; F43, (LEN(F43))&gt;=3, F43)</f>
        <v>043</v>
      </c>
    </row>
    <row r="44" spans="6:7">
      <c r="F44">
        <v>44</v>
      </c>
      <c r="G44" t="str" cm="1">
        <f t="array" ref="G44">_xlfn.IFS(LEN(F44)=1, "00" &amp; F44, (LEN(F44))=2, "0" &amp; F44, (LEN(F44))&gt;=3, F44)</f>
        <v>044</v>
      </c>
    </row>
    <row r="45" spans="6:7">
      <c r="F45">
        <v>45</v>
      </c>
      <c r="G45" t="str" cm="1">
        <f t="array" ref="G45">_xlfn.IFS(LEN(F45)=1, "00" &amp; F45, (LEN(F45))=2, "0" &amp; F45, (LEN(F45))&gt;=3, F45)</f>
        <v>045</v>
      </c>
    </row>
    <row r="46" spans="6:7">
      <c r="F46">
        <v>46</v>
      </c>
      <c r="G46" t="str" cm="1">
        <f t="array" ref="G46">_xlfn.IFS(LEN(F46)=1, "00" &amp; F46, (LEN(F46))=2, "0" &amp; F46, (LEN(F46))&gt;=3, F46)</f>
        <v>046</v>
      </c>
    </row>
    <row r="47" spans="6:7">
      <c r="F47">
        <v>47</v>
      </c>
      <c r="G47" t="str" cm="1">
        <f t="array" ref="G47">_xlfn.IFS(LEN(F47)=1, "00" &amp; F47, (LEN(F47))=2, "0" &amp; F47, (LEN(F47))&gt;=3, F47)</f>
        <v>047</v>
      </c>
    </row>
    <row r="48" spans="6:7">
      <c r="F48">
        <v>48</v>
      </c>
      <c r="G48" t="str" cm="1">
        <f t="array" ref="G48">_xlfn.IFS(LEN(F48)=1, "00" &amp; F48, (LEN(F48))=2, "0" &amp; F48, (LEN(F48))&gt;=3, F48)</f>
        <v>048</v>
      </c>
    </row>
    <row r="49" spans="6:7">
      <c r="F49">
        <v>49</v>
      </c>
      <c r="G49" t="str" cm="1">
        <f t="array" ref="G49">_xlfn.IFS(LEN(F49)=1, "00" &amp; F49, (LEN(F49))=2, "0" &amp; F49, (LEN(F49))&gt;=3, F49)</f>
        <v>049</v>
      </c>
    </row>
    <row r="50" spans="6:7">
      <c r="F50">
        <v>50</v>
      </c>
      <c r="G50" t="str" cm="1">
        <f t="array" ref="G50">_xlfn.IFS(LEN(F50)=1, "00" &amp; F50, (LEN(F50))=2, "0" &amp; F50, (LEN(F50))&gt;=3, F50)</f>
        <v>050</v>
      </c>
    </row>
    <row r="51" spans="6:7">
      <c r="F51">
        <v>51</v>
      </c>
      <c r="G51" t="str" cm="1">
        <f t="array" ref="G51">_xlfn.IFS(LEN(F51)=1, "00" &amp; F51, (LEN(F51))=2, "0" &amp; F51, (LEN(F51))&gt;=3, F51)</f>
        <v>051</v>
      </c>
    </row>
    <row r="52" spans="6:7">
      <c r="F52">
        <v>52</v>
      </c>
      <c r="G52" t="str" cm="1">
        <f t="array" ref="G52">_xlfn.IFS(LEN(F52)=1, "00" &amp; F52, (LEN(F52))=2, "0" &amp; F52, (LEN(F52))&gt;=3, F52)</f>
        <v>052</v>
      </c>
    </row>
    <row r="53" spans="6:7">
      <c r="F53">
        <v>53</v>
      </c>
      <c r="G53" t="str" cm="1">
        <f t="array" ref="G53">_xlfn.IFS(LEN(F53)=1, "00" &amp; F53, (LEN(F53))=2, "0" &amp; F53, (LEN(F53))&gt;=3, F53)</f>
        <v>053</v>
      </c>
    </row>
    <row r="54" spans="6:7">
      <c r="F54">
        <v>54</v>
      </c>
      <c r="G54" t="str" cm="1">
        <f t="array" ref="G54">_xlfn.IFS(LEN(F54)=1, "00" &amp; F54, (LEN(F54))=2, "0" &amp; F54, (LEN(F54))&gt;=3, F54)</f>
        <v>054</v>
      </c>
    </row>
    <row r="55" spans="6:7">
      <c r="F55">
        <v>55</v>
      </c>
      <c r="G55" t="str" cm="1">
        <f t="array" ref="G55">_xlfn.IFS(LEN(F55)=1, "00" &amp; F55, (LEN(F55))=2, "0" &amp; F55, (LEN(F55))&gt;=3, F55)</f>
        <v>055</v>
      </c>
    </row>
    <row r="56" spans="6:7">
      <c r="F56">
        <v>56</v>
      </c>
      <c r="G56" t="str" cm="1">
        <f t="array" ref="G56">_xlfn.IFS(LEN(F56)=1, "00" &amp; F56, (LEN(F56))=2, "0" &amp; F56, (LEN(F56))&gt;=3, F56)</f>
        <v>056</v>
      </c>
    </row>
    <row r="57" spans="6:7">
      <c r="F57">
        <v>57</v>
      </c>
      <c r="G57" t="str" cm="1">
        <f t="array" ref="G57">_xlfn.IFS(LEN(F57)=1, "00" &amp; F57, (LEN(F57))=2, "0" &amp; F57, (LEN(F57))&gt;=3, F57)</f>
        <v>057</v>
      </c>
    </row>
    <row r="58" spans="6:7">
      <c r="F58">
        <v>58</v>
      </c>
      <c r="G58" t="str" cm="1">
        <f t="array" ref="G58">_xlfn.IFS(LEN(F58)=1, "00" &amp; F58, (LEN(F58))=2, "0" &amp; F58, (LEN(F58))&gt;=3, F58)</f>
        <v>058</v>
      </c>
    </row>
    <row r="59" spans="6:7">
      <c r="F59">
        <v>59</v>
      </c>
      <c r="G59" t="str" cm="1">
        <f t="array" ref="G59">_xlfn.IFS(LEN(F59)=1, "00" &amp; F59, (LEN(F59))=2, "0" &amp; F59, (LEN(F59))&gt;=3, F59)</f>
        <v>059</v>
      </c>
    </row>
    <row r="60" spans="6:7">
      <c r="F60">
        <v>60</v>
      </c>
      <c r="G60" t="str" cm="1">
        <f t="array" ref="G60">_xlfn.IFS(LEN(F60)=1, "00" &amp; F60, (LEN(F60))=2, "0" &amp; F60, (LEN(F60))&gt;=3, F60)</f>
        <v>060</v>
      </c>
    </row>
    <row r="61" spans="6:7">
      <c r="F61">
        <v>61</v>
      </c>
      <c r="G61" t="str" cm="1">
        <f t="array" ref="G61">_xlfn.IFS(LEN(F61)=1, "00" &amp; F61, (LEN(F61))=2, "0" &amp; F61, (LEN(F61))&gt;=3, F61)</f>
        <v>061</v>
      </c>
    </row>
    <row r="62" spans="6:7">
      <c r="F62">
        <v>62</v>
      </c>
      <c r="G62" t="str" cm="1">
        <f t="array" ref="G62">_xlfn.IFS(LEN(F62)=1, "00" &amp; F62, (LEN(F62))=2, "0" &amp; F62, (LEN(F62))&gt;=3, F62)</f>
        <v>062</v>
      </c>
    </row>
    <row r="63" spans="6:7">
      <c r="F63">
        <v>63</v>
      </c>
      <c r="G63" t="str" cm="1">
        <f t="array" ref="G63">_xlfn.IFS(LEN(F63)=1, "00" &amp; F63, (LEN(F63))=2, "0" &amp; F63, (LEN(F63))&gt;=3, F63)</f>
        <v>063</v>
      </c>
    </row>
    <row r="64" spans="6:7">
      <c r="F64">
        <v>64</v>
      </c>
      <c r="G64" t="str" cm="1">
        <f t="array" ref="G64">_xlfn.IFS(LEN(F64)=1, "00" &amp; F64, (LEN(F64))=2, "0" &amp; F64, (LEN(F64))&gt;=3, F64)</f>
        <v>064</v>
      </c>
    </row>
    <row r="65" spans="6:7">
      <c r="F65">
        <v>65</v>
      </c>
      <c r="G65" t="str" cm="1">
        <f t="array" ref="G65">_xlfn.IFS(LEN(F65)=1, "00" &amp; F65, (LEN(F65))=2, "0" &amp; F65, (LEN(F65))&gt;=3, F65)</f>
        <v>065</v>
      </c>
    </row>
    <row r="66" spans="6:7">
      <c r="F66">
        <v>66</v>
      </c>
      <c r="G66" t="str" cm="1">
        <f t="array" ref="G66">_xlfn.IFS(LEN(F66)=1, "00" &amp; F66, (LEN(F66))=2, "0" &amp; F66, (LEN(F66))&gt;=3, F66)</f>
        <v>066</v>
      </c>
    </row>
    <row r="67" spans="6:7">
      <c r="F67">
        <v>67</v>
      </c>
      <c r="G67" t="str" cm="1">
        <f t="array" ref="G67">_xlfn.IFS(LEN(F67)=1, "00" &amp; F67, (LEN(F67))=2, "0" &amp; F67, (LEN(F67))&gt;=3, F67)</f>
        <v>067</v>
      </c>
    </row>
    <row r="68" spans="6:7">
      <c r="F68">
        <v>68</v>
      </c>
      <c r="G68" t="str" cm="1">
        <f t="array" ref="G68">_xlfn.IFS(LEN(F68)=1, "00" &amp; F68, (LEN(F68))=2, "0" &amp; F68, (LEN(F68))&gt;=3, F68)</f>
        <v>068</v>
      </c>
    </row>
    <row r="69" spans="6:7">
      <c r="F69">
        <v>69</v>
      </c>
      <c r="G69" t="str" cm="1">
        <f t="array" ref="G69">_xlfn.IFS(LEN(F69)=1, "00" &amp; F69, (LEN(F69))=2, "0" &amp; F69, (LEN(F69))&gt;=3, F69)</f>
        <v>069</v>
      </c>
    </row>
    <row r="70" spans="6:7">
      <c r="F70">
        <v>70</v>
      </c>
      <c r="G70" t="str" cm="1">
        <f t="array" ref="G70">_xlfn.IFS(LEN(F70)=1, "00" &amp; F70, (LEN(F70))=2, "0" &amp; F70, (LEN(F70))&gt;=3, F70)</f>
        <v>070</v>
      </c>
    </row>
    <row r="71" spans="6:7">
      <c r="F71">
        <v>71</v>
      </c>
      <c r="G71" t="str" cm="1">
        <f t="array" ref="G71">_xlfn.IFS(LEN(F71)=1, "00" &amp; F71, (LEN(F71))=2, "0" &amp; F71, (LEN(F71))&gt;=3, F71)</f>
        <v>071</v>
      </c>
    </row>
    <row r="72" spans="6:7">
      <c r="F72">
        <v>72</v>
      </c>
      <c r="G72" t="str" cm="1">
        <f t="array" ref="G72">_xlfn.IFS(LEN(F72)=1, "00" &amp; F72, (LEN(F72))=2, "0" &amp; F72, (LEN(F72))&gt;=3, F72)</f>
        <v>072</v>
      </c>
    </row>
    <row r="73" spans="6:7">
      <c r="F73">
        <v>73</v>
      </c>
      <c r="G73" t="str" cm="1">
        <f t="array" ref="G73">_xlfn.IFS(LEN(F73)=1, "00" &amp; F73, (LEN(F73))=2, "0" &amp; F73, (LEN(F73))&gt;=3, F73)</f>
        <v>073</v>
      </c>
    </row>
    <row r="74" spans="6:7">
      <c r="F74">
        <v>74</v>
      </c>
      <c r="G74" t="str" cm="1">
        <f t="array" ref="G74">_xlfn.IFS(LEN(F74)=1, "00" &amp; F74, (LEN(F74))=2, "0" &amp; F74, (LEN(F74))&gt;=3, F74)</f>
        <v>074</v>
      </c>
    </row>
    <row r="75" spans="6:7">
      <c r="F75">
        <v>75</v>
      </c>
      <c r="G75" t="str" cm="1">
        <f t="array" ref="G75">_xlfn.IFS(LEN(F75)=1, "00" &amp; F75, (LEN(F75))=2, "0" &amp; F75, (LEN(F75))&gt;=3, F75)</f>
        <v>075</v>
      </c>
    </row>
    <row r="76" spans="6:7">
      <c r="F76">
        <v>76</v>
      </c>
      <c r="G76" t="str" cm="1">
        <f t="array" ref="G76">_xlfn.IFS(LEN(F76)=1, "00" &amp; F76, (LEN(F76))=2, "0" &amp; F76, (LEN(F76))&gt;=3, F76)</f>
        <v>076</v>
      </c>
    </row>
    <row r="77" spans="6:7">
      <c r="F77">
        <v>77</v>
      </c>
      <c r="G77" t="str" cm="1">
        <f t="array" ref="G77">_xlfn.IFS(LEN(F77)=1, "00" &amp; F77, (LEN(F77))=2, "0" &amp; F77, (LEN(F77))&gt;=3, F77)</f>
        <v>077</v>
      </c>
    </row>
    <row r="78" spans="6:7">
      <c r="F78">
        <v>78</v>
      </c>
      <c r="G78" t="str" cm="1">
        <f t="array" ref="G78">_xlfn.IFS(LEN(F78)=1, "00" &amp; F78, (LEN(F78))=2, "0" &amp; F78, (LEN(F78))&gt;=3, F78)</f>
        <v>078</v>
      </c>
    </row>
    <row r="79" spans="6:7">
      <c r="F79">
        <v>79</v>
      </c>
      <c r="G79" t="str" cm="1">
        <f t="array" ref="G79">_xlfn.IFS(LEN(F79)=1, "00" &amp; F79, (LEN(F79))=2, "0" &amp; F79, (LEN(F79))&gt;=3, F79)</f>
        <v>079</v>
      </c>
    </row>
    <row r="80" spans="6:7">
      <c r="F80">
        <v>80</v>
      </c>
      <c r="G80" t="str" cm="1">
        <f t="array" ref="G80">_xlfn.IFS(LEN(F80)=1, "00" &amp; F80, (LEN(F80))=2, "0" &amp; F80, (LEN(F80))&gt;=3, F80)</f>
        <v>080</v>
      </c>
    </row>
    <row r="81" spans="6:7">
      <c r="F81">
        <v>81</v>
      </c>
      <c r="G81" t="str" cm="1">
        <f t="array" ref="G81">_xlfn.IFS(LEN(F81)=1, "00" &amp; F81, (LEN(F81))=2, "0" &amp; F81, (LEN(F81))&gt;=3, F81)</f>
        <v>081</v>
      </c>
    </row>
    <row r="82" spans="6:7">
      <c r="F82">
        <v>82</v>
      </c>
      <c r="G82" t="str" cm="1">
        <f t="array" ref="G82">_xlfn.IFS(LEN(F82)=1, "00" &amp; F82, (LEN(F82))=2, "0" &amp; F82, (LEN(F82))&gt;=3, F82)</f>
        <v>082</v>
      </c>
    </row>
    <row r="83" spans="6:7">
      <c r="F83">
        <v>83</v>
      </c>
      <c r="G83" t="str" cm="1">
        <f t="array" ref="G83">_xlfn.IFS(LEN(F83)=1, "00" &amp; F83, (LEN(F83))=2, "0" &amp; F83, (LEN(F83))&gt;=3, F83)</f>
        <v>083</v>
      </c>
    </row>
    <row r="84" spans="6:7">
      <c r="F84">
        <v>84</v>
      </c>
      <c r="G84" t="str" cm="1">
        <f t="array" ref="G84">_xlfn.IFS(LEN(F84)=1, "00" &amp; F84, (LEN(F84))=2, "0" &amp; F84, (LEN(F84))&gt;=3, F84)</f>
        <v>084</v>
      </c>
    </row>
    <row r="85" spans="6:7">
      <c r="F85">
        <v>85</v>
      </c>
      <c r="G85" t="str" cm="1">
        <f t="array" ref="G85">_xlfn.IFS(LEN(F85)=1, "00" &amp; F85, (LEN(F85))=2, "0" &amp; F85, (LEN(F85))&gt;=3, F85)</f>
        <v>085</v>
      </c>
    </row>
    <row r="86" spans="6:7">
      <c r="F86">
        <v>86</v>
      </c>
      <c r="G86" t="str" cm="1">
        <f t="array" ref="G86">_xlfn.IFS(LEN(F86)=1, "00" &amp; F86, (LEN(F86))=2, "0" &amp; F86, (LEN(F86))&gt;=3, F86)</f>
        <v>086</v>
      </c>
    </row>
    <row r="87" spans="6:7">
      <c r="F87">
        <v>87</v>
      </c>
      <c r="G87" t="str" cm="1">
        <f t="array" ref="G87">_xlfn.IFS(LEN(F87)=1, "00" &amp; F87, (LEN(F87))=2, "0" &amp; F87, (LEN(F87))&gt;=3, F87)</f>
        <v>087</v>
      </c>
    </row>
    <row r="88" spans="6:7">
      <c r="F88">
        <v>88</v>
      </c>
      <c r="G88" t="str" cm="1">
        <f t="array" ref="G88">_xlfn.IFS(LEN(F88)=1, "00" &amp; F88, (LEN(F88))=2, "0" &amp; F88, (LEN(F88))&gt;=3, F88)</f>
        <v>088</v>
      </c>
    </row>
    <row r="89" spans="6:7">
      <c r="F89">
        <v>89</v>
      </c>
      <c r="G89" t="str" cm="1">
        <f t="array" ref="G89">_xlfn.IFS(LEN(F89)=1, "00" &amp; F89, (LEN(F89))=2, "0" &amp; F89, (LEN(F89))&gt;=3, F89)</f>
        <v>089</v>
      </c>
    </row>
    <row r="90" spans="6:7">
      <c r="F90">
        <v>90</v>
      </c>
      <c r="G90" t="str" cm="1">
        <f t="array" ref="G90">_xlfn.IFS(LEN(F90)=1, "00" &amp; F90, (LEN(F90))=2, "0" &amp; F90, (LEN(F90))&gt;=3, F90)</f>
        <v>090</v>
      </c>
    </row>
    <row r="91" spans="6:7">
      <c r="F91">
        <v>91</v>
      </c>
      <c r="G91" t="str" cm="1">
        <f t="array" ref="G91">_xlfn.IFS(LEN(F91)=1, "00" &amp; F91, (LEN(F91))=2, "0" &amp; F91, (LEN(F91))&gt;=3, F91)</f>
        <v>091</v>
      </c>
    </row>
    <row r="92" spans="6:7">
      <c r="F92">
        <v>92</v>
      </c>
      <c r="G92" t="str" cm="1">
        <f t="array" ref="G92">_xlfn.IFS(LEN(F92)=1, "00" &amp; F92, (LEN(F92))=2, "0" &amp; F92, (LEN(F92))&gt;=3, F92)</f>
        <v>092</v>
      </c>
    </row>
    <row r="93" spans="6:7">
      <c r="F93">
        <v>93</v>
      </c>
      <c r="G93" t="str" cm="1">
        <f t="array" ref="G93">_xlfn.IFS(LEN(F93)=1, "00" &amp; F93, (LEN(F93))=2, "0" &amp; F93, (LEN(F93))&gt;=3, F93)</f>
        <v>093</v>
      </c>
    </row>
    <row r="94" spans="6:7">
      <c r="F94">
        <v>94</v>
      </c>
      <c r="G94" t="str" cm="1">
        <f t="array" ref="G94">_xlfn.IFS(LEN(F94)=1, "00" &amp; F94, (LEN(F94))=2, "0" &amp; F94, (LEN(F94))&gt;=3, F94)</f>
        <v>094</v>
      </c>
    </row>
    <row r="95" spans="6:7">
      <c r="F95">
        <v>95</v>
      </c>
      <c r="G95" t="str" cm="1">
        <f t="array" ref="G95">_xlfn.IFS(LEN(F95)=1, "00" &amp; F95, (LEN(F95))=2, "0" &amp; F95, (LEN(F95))&gt;=3, F95)</f>
        <v>095</v>
      </c>
    </row>
    <row r="96" spans="6:7">
      <c r="F96">
        <v>96</v>
      </c>
      <c r="G96" t="str" cm="1">
        <f t="array" ref="G96">_xlfn.IFS(LEN(F96)=1, "00" &amp; F96, (LEN(F96))=2, "0" &amp; F96, (LEN(F96))&gt;=3, F96)</f>
        <v>096</v>
      </c>
    </row>
    <row r="97" spans="6:7">
      <c r="F97">
        <v>97</v>
      </c>
      <c r="G97" t="str" cm="1">
        <f t="array" ref="G97">_xlfn.IFS(LEN(F97)=1, "00" &amp; F97, (LEN(F97))=2, "0" &amp; F97, (LEN(F97))&gt;=3, F97)</f>
        <v>097</v>
      </c>
    </row>
    <row r="98" spans="6:7">
      <c r="F98">
        <v>98</v>
      </c>
      <c r="G98" t="str" cm="1">
        <f t="array" ref="G98">_xlfn.IFS(LEN(F98)=1, "00" &amp; F98, (LEN(F98))=2, "0" &amp; F98, (LEN(F98))&gt;=3, F98)</f>
        <v>098</v>
      </c>
    </row>
    <row r="99" spans="6:7">
      <c r="F99">
        <v>99</v>
      </c>
      <c r="G99" t="str" cm="1">
        <f t="array" ref="G99">_xlfn.IFS(LEN(F99)=1, "00" &amp; F99, (LEN(F99))=2, "0" &amp; F99, (LEN(F99))&gt;=3, F99)</f>
        <v>099</v>
      </c>
    </row>
    <row r="100" spans="6:7">
      <c r="F100">
        <v>100</v>
      </c>
      <c r="G100" cm="1">
        <f t="array" ref="G100">_xlfn.IFS(LEN(F100)=1, "00" &amp; F100, (LEN(F100))=2, "0" &amp; F100, (LEN(F100))&gt;=3, F100)</f>
        <v>100</v>
      </c>
    </row>
    <row r="101" spans="6:7">
      <c r="F101">
        <v>101</v>
      </c>
      <c r="G101" cm="1">
        <f t="array" ref="G101">_xlfn.IFS(LEN(F101)=1, "00" &amp; F101, (LEN(F101))=2, "0" &amp; F101, (LEN(F101))&gt;=3, F101)</f>
        <v>101</v>
      </c>
    </row>
    <row r="102" spans="6:7">
      <c r="F102">
        <v>102</v>
      </c>
      <c r="G102" cm="1">
        <f t="array" ref="G102">_xlfn.IFS(LEN(F102)=1, "00" &amp; F102, (LEN(F102))=2, "0" &amp; F102, (LEN(F102))&gt;=3, F102)</f>
        <v>102</v>
      </c>
    </row>
    <row r="103" spans="6:7">
      <c r="F103">
        <v>103</v>
      </c>
      <c r="G103" cm="1">
        <f t="array" ref="G103">_xlfn.IFS(LEN(F103)=1, "00" &amp; F103, (LEN(F103))=2, "0" &amp; F103, (LEN(F103))&gt;=3, F103)</f>
        <v>103</v>
      </c>
    </row>
    <row r="104" spans="6:7">
      <c r="F104">
        <v>104</v>
      </c>
      <c r="G104" cm="1">
        <f t="array" ref="G104">_xlfn.IFS(LEN(F104)=1, "00" &amp; F104, (LEN(F104))=2, "0" &amp; F104, (LEN(F104))&gt;=3, F104)</f>
        <v>104</v>
      </c>
    </row>
    <row r="105" spans="6:7">
      <c r="F105">
        <v>105</v>
      </c>
      <c r="G105" cm="1">
        <f t="array" ref="G105">_xlfn.IFS(LEN(F105)=1, "00" &amp; F105, (LEN(F105))=2, "0" &amp; F105, (LEN(F105))&gt;=3, F105)</f>
        <v>105</v>
      </c>
    </row>
    <row r="106" spans="6:7">
      <c r="F106">
        <v>106</v>
      </c>
      <c r="G106" cm="1">
        <f t="array" ref="G106">_xlfn.IFS(LEN(F106)=1, "00" &amp; F106, (LEN(F106))=2, "0" &amp; F106, (LEN(F106))&gt;=3, F106)</f>
        <v>106</v>
      </c>
    </row>
    <row r="107" spans="6:7">
      <c r="F107">
        <v>107</v>
      </c>
      <c r="G107" cm="1">
        <f t="array" ref="G107">_xlfn.IFS(LEN(F107)=1, "00" &amp; F107, (LEN(F107))=2, "0" &amp; F107, (LEN(F107))&gt;=3, F107)</f>
        <v>107</v>
      </c>
    </row>
    <row r="108" spans="6:7">
      <c r="F108">
        <v>108</v>
      </c>
      <c r="G108" cm="1">
        <f t="array" ref="G108">_xlfn.IFS(LEN(F108)=1, "00" &amp; F108, (LEN(F108))=2, "0" &amp; F108, (LEN(F108))&gt;=3, F108)</f>
        <v>108</v>
      </c>
    </row>
    <row r="109" spans="6:7">
      <c r="F109">
        <v>109</v>
      </c>
      <c r="G109" cm="1">
        <f t="array" ref="G109">_xlfn.IFS(LEN(F109)=1, "00" &amp; F109, (LEN(F109))=2, "0" &amp; F109, (LEN(F109))&gt;=3, F109)</f>
        <v>109</v>
      </c>
    </row>
    <row r="110" spans="6:7">
      <c r="F110">
        <v>110</v>
      </c>
      <c r="G110" cm="1">
        <f t="array" ref="G110">_xlfn.IFS(LEN(F110)=1, "00" &amp; F110, (LEN(F110))=2, "0" &amp; F110, (LEN(F110))&gt;=3, F110)</f>
        <v>110</v>
      </c>
    </row>
    <row r="111" spans="6:7">
      <c r="F111">
        <v>111</v>
      </c>
      <c r="G111" cm="1">
        <f t="array" ref="G111">_xlfn.IFS(LEN(F111)=1, "00" &amp; F111, (LEN(F111))=2, "0" &amp; F111, (LEN(F111))&gt;=3, F111)</f>
        <v>111</v>
      </c>
    </row>
    <row r="112" spans="6:7">
      <c r="F112">
        <v>112</v>
      </c>
      <c r="G112" cm="1">
        <f t="array" ref="G112">_xlfn.IFS(LEN(F112)=1, "00" &amp; F112, (LEN(F112))=2, "0" &amp; F112, (LEN(F112))&gt;=3, F112)</f>
        <v>112</v>
      </c>
    </row>
    <row r="113" spans="6:7">
      <c r="F113">
        <v>113</v>
      </c>
      <c r="G113" cm="1">
        <f t="array" ref="G113">_xlfn.IFS(LEN(F113)=1, "00" &amp; F113, (LEN(F113))=2, "0" &amp; F113, (LEN(F113))&gt;=3, F113)</f>
        <v>113</v>
      </c>
    </row>
    <row r="114" spans="6:7">
      <c r="F114">
        <v>114</v>
      </c>
      <c r="G114" cm="1">
        <f t="array" ref="G114">_xlfn.IFS(LEN(F114)=1, "00" &amp; F114, (LEN(F114))=2, "0" &amp; F114, (LEN(F114))&gt;=3, F114)</f>
        <v>114</v>
      </c>
    </row>
    <row r="115" spans="6:7">
      <c r="F115">
        <v>115</v>
      </c>
      <c r="G115" cm="1">
        <f t="array" ref="G115">_xlfn.IFS(LEN(F115)=1, "00" &amp; F115, (LEN(F115))=2, "0" &amp; F115, (LEN(F115))&gt;=3, F115)</f>
        <v>115</v>
      </c>
    </row>
    <row r="116" spans="6:7">
      <c r="F116">
        <v>116</v>
      </c>
      <c r="G116" cm="1">
        <f t="array" ref="G116">_xlfn.IFS(LEN(F116)=1, "00" &amp; F116, (LEN(F116))=2, "0" &amp; F116, (LEN(F116))&gt;=3, F116)</f>
        <v>116</v>
      </c>
    </row>
    <row r="117" spans="6:7">
      <c r="F117">
        <v>117</v>
      </c>
      <c r="G117" cm="1">
        <f t="array" ref="G117">_xlfn.IFS(LEN(F117)=1, "00" &amp; F117, (LEN(F117))=2, "0" &amp; F117, (LEN(F117))&gt;=3, F117)</f>
        <v>117</v>
      </c>
    </row>
    <row r="118" spans="6:7">
      <c r="F118">
        <v>118</v>
      </c>
      <c r="G118" cm="1">
        <f t="array" ref="G118">_xlfn.IFS(LEN(F118)=1, "00" &amp; F118, (LEN(F118))=2, "0" &amp; F118, (LEN(F118))&gt;=3, F118)</f>
        <v>118</v>
      </c>
    </row>
    <row r="119" spans="6:7">
      <c r="F119">
        <v>119</v>
      </c>
      <c r="G119" cm="1">
        <f t="array" ref="G119">_xlfn.IFS(LEN(F119)=1, "00" &amp; F119, (LEN(F119))=2, "0" &amp; F119, (LEN(F119))&gt;=3, F119)</f>
        <v>119</v>
      </c>
    </row>
    <row r="120" spans="6:7">
      <c r="F120">
        <v>120</v>
      </c>
      <c r="G120" cm="1">
        <f t="array" ref="G120">_xlfn.IFS(LEN(F120)=1, "00" &amp; F120, (LEN(F120))=2, "0" &amp; F120, (LEN(F120))&gt;=3, F120)</f>
        <v>120</v>
      </c>
    </row>
    <row r="121" spans="6:7">
      <c r="F121">
        <v>121</v>
      </c>
      <c r="G121" cm="1">
        <f t="array" ref="G121">_xlfn.IFS(LEN(F121)=1, "00" &amp; F121, (LEN(F121))=2, "0" &amp; F121, (LEN(F121))&gt;=3, F121)</f>
        <v>121</v>
      </c>
    </row>
    <row r="122" spans="6:7">
      <c r="F122">
        <v>122</v>
      </c>
      <c r="G122" cm="1">
        <f t="array" ref="G122">_xlfn.IFS(LEN(F122)=1, "00" &amp; F122, (LEN(F122))=2, "0" &amp; F122, (LEN(F122))&gt;=3, F122)</f>
        <v>122</v>
      </c>
    </row>
    <row r="123" spans="6:7">
      <c r="F123">
        <v>123</v>
      </c>
      <c r="G123" cm="1">
        <f t="array" ref="G123">_xlfn.IFS(LEN(F123)=1, "00" &amp; F123, (LEN(F123))=2, "0" &amp; F123, (LEN(F123))&gt;=3, F123)</f>
        <v>123</v>
      </c>
    </row>
    <row r="124" spans="6:7">
      <c r="F124">
        <v>124</v>
      </c>
      <c r="G124" cm="1">
        <f t="array" ref="G124">_xlfn.IFS(LEN(F124)=1, "00" &amp; F124, (LEN(F124))=2, "0" &amp; F124, (LEN(F124))&gt;=3, F124)</f>
        <v>124</v>
      </c>
    </row>
    <row r="125" spans="6:7">
      <c r="F125">
        <v>125</v>
      </c>
      <c r="G125" cm="1">
        <f t="array" ref="G125">_xlfn.IFS(LEN(F125)=1, "00" &amp; F125, (LEN(F125))=2, "0" &amp; F125, (LEN(F125))&gt;=3, F125)</f>
        <v>125</v>
      </c>
    </row>
    <row r="126" spans="6:7">
      <c r="F126">
        <v>126</v>
      </c>
      <c r="G126" cm="1">
        <f t="array" ref="G126">_xlfn.IFS(LEN(F126)=1, "00" &amp; F126, (LEN(F126))=2, "0" &amp; F126, (LEN(F126))&gt;=3, F126)</f>
        <v>126</v>
      </c>
    </row>
    <row r="127" spans="6:7">
      <c r="F127">
        <v>127</v>
      </c>
      <c r="G127" cm="1">
        <f t="array" ref="G127">_xlfn.IFS(LEN(F127)=1, "00" &amp; F127, (LEN(F127))=2, "0" &amp; F127, (LEN(F127))&gt;=3, F127)</f>
        <v>127</v>
      </c>
    </row>
    <row r="128" spans="6:7">
      <c r="F128">
        <v>128</v>
      </c>
      <c r="G128" cm="1">
        <f t="array" ref="G128">_xlfn.IFS(LEN(F128)=1, "00" &amp; F128, (LEN(F128))=2, "0" &amp; F128, (LEN(F128))&gt;=3, F128)</f>
        <v>128</v>
      </c>
    </row>
    <row r="129" spans="6:7">
      <c r="F129">
        <v>129</v>
      </c>
      <c r="G129" cm="1">
        <f t="array" ref="G129">_xlfn.IFS(LEN(F129)=1, "00" &amp; F129, (LEN(F129))=2, "0" &amp; F129, (LEN(F129))&gt;=3, F129)</f>
        <v>129</v>
      </c>
    </row>
    <row r="130" spans="6:7">
      <c r="F130">
        <v>130</v>
      </c>
      <c r="G130" cm="1">
        <f t="array" ref="G130">_xlfn.IFS(LEN(F130)=1, "00" &amp; F130, (LEN(F130))=2, "0" &amp; F130, (LEN(F130))&gt;=3, F130)</f>
        <v>130</v>
      </c>
    </row>
    <row r="131" spans="6:7">
      <c r="F131">
        <v>131</v>
      </c>
      <c r="G131" cm="1">
        <f t="array" ref="G131">_xlfn.IFS(LEN(F131)=1, "00" &amp; F131, (LEN(F131))=2, "0" &amp; F131, (LEN(F131))&gt;=3, F131)</f>
        <v>131</v>
      </c>
    </row>
    <row r="132" spans="6:7">
      <c r="F132">
        <v>132</v>
      </c>
      <c r="G132" cm="1">
        <f t="array" ref="G132">_xlfn.IFS(LEN(F132)=1, "00" &amp; F132, (LEN(F132))=2, "0" &amp; F132, (LEN(F132))&gt;=3, F132)</f>
        <v>132</v>
      </c>
    </row>
    <row r="133" spans="6:7">
      <c r="F133">
        <v>133</v>
      </c>
      <c r="G133" cm="1">
        <f t="array" ref="G133">_xlfn.IFS(LEN(F133)=1, "00" &amp; F133, (LEN(F133))=2, "0" &amp; F133, (LEN(F133))&gt;=3, F133)</f>
        <v>133</v>
      </c>
    </row>
    <row r="134" spans="6:7">
      <c r="F134">
        <v>134</v>
      </c>
      <c r="G134" cm="1">
        <f t="array" ref="G134">_xlfn.IFS(LEN(F134)=1, "00" &amp; F134, (LEN(F134))=2, "0" &amp; F134, (LEN(F134))&gt;=3, F134)</f>
        <v>134</v>
      </c>
    </row>
    <row r="135" spans="6:7">
      <c r="F135">
        <v>135</v>
      </c>
      <c r="G135" cm="1">
        <f t="array" ref="G135">_xlfn.IFS(LEN(F135)=1, "00" &amp; F135, (LEN(F135))=2, "0" &amp; F135, (LEN(F135))&gt;=3, F135)</f>
        <v>135</v>
      </c>
    </row>
    <row r="136" spans="6:7">
      <c r="F136">
        <v>136</v>
      </c>
      <c r="G136" cm="1">
        <f t="array" ref="G136">_xlfn.IFS(LEN(F136)=1, "00" &amp; F136, (LEN(F136))=2, "0" &amp; F136, (LEN(F136))&gt;=3, F136)</f>
        <v>136</v>
      </c>
    </row>
    <row r="137" spans="6:7">
      <c r="F137">
        <v>137</v>
      </c>
      <c r="G137" cm="1">
        <f t="array" ref="G137">_xlfn.IFS(LEN(F137)=1, "00" &amp; F137, (LEN(F137))=2, "0" &amp; F137, (LEN(F137))&gt;=3, F137)</f>
        <v>137</v>
      </c>
    </row>
    <row r="138" spans="6:7">
      <c r="F138">
        <v>138</v>
      </c>
      <c r="G138" cm="1">
        <f t="array" ref="G138">_xlfn.IFS(LEN(F138)=1, "00" &amp; F138, (LEN(F138))=2, "0" &amp; F138, (LEN(F138))&gt;=3, F138)</f>
        <v>138</v>
      </c>
    </row>
    <row r="139" spans="6:7">
      <c r="F139">
        <v>139</v>
      </c>
      <c r="G139" cm="1">
        <f t="array" ref="G139">_xlfn.IFS(LEN(F139)=1, "00" &amp; F139, (LEN(F139))=2, "0" &amp; F139, (LEN(F139))&gt;=3, F139)</f>
        <v>139</v>
      </c>
    </row>
    <row r="140" spans="6:7">
      <c r="F140">
        <v>140</v>
      </c>
      <c r="G140" cm="1">
        <f t="array" ref="G140">_xlfn.IFS(LEN(F140)=1, "00" &amp; F140, (LEN(F140))=2, "0" &amp; F140, (LEN(F140))&gt;=3, F140)</f>
        <v>140</v>
      </c>
    </row>
    <row r="141" spans="6:7">
      <c r="F141">
        <v>141</v>
      </c>
      <c r="G141" cm="1">
        <f t="array" ref="G141">_xlfn.IFS(LEN(F141)=1, "00" &amp; F141, (LEN(F141))=2, "0" &amp; F141, (LEN(F141))&gt;=3, F141)</f>
        <v>141</v>
      </c>
    </row>
    <row r="142" spans="6:7">
      <c r="F142">
        <v>142</v>
      </c>
      <c r="G142" cm="1">
        <f t="array" ref="G142">_xlfn.IFS(LEN(F142)=1, "00" &amp; F142, (LEN(F142))=2, "0" &amp; F142, (LEN(F142))&gt;=3, F142)</f>
        <v>142</v>
      </c>
    </row>
    <row r="143" spans="6:7">
      <c r="F143">
        <v>143</v>
      </c>
      <c r="G143" cm="1">
        <f t="array" ref="G143">_xlfn.IFS(LEN(F143)=1, "00" &amp; F143, (LEN(F143))=2, "0" &amp; F143, (LEN(F143))&gt;=3, F143)</f>
        <v>143</v>
      </c>
    </row>
    <row r="144" spans="6:7">
      <c r="F144">
        <v>144</v>
      </c>
      <c r="G144" cm="1">
        <f t="array" ref="G144">_xlfn.IFS(LEN(F144)=1, "00" &amp; F144, (LEN(F144))=2, "0" &amp; F144, (LEN(F144))&gt;=3, F144)</f>
        <v>144</v>
      </c>
    </row>
    <row r="145" spans="6:7">
      <c r="F145">
        <v>145</v>
      </c>
      <c r="G145" cm="1">
        <f t="array" ref="G145">_xlfn.IFS(LEN(F145)=1, "00" &amp; F145, (LEN(F145))=2, "0" &amp; F145, (LEN(F145))&gt;=3, F145)</f>
        <v>145</v>
      </c>
    </row>
    <row r="146" spans="6:7">
      <c r="F146">
        <v>146</v>
      </c>
      <c r="G146" cm="1">
        <f t="array" ref="G146">_xlfn.IFS(LEN(F146)=1, "00" &amp; F146, (LEN(F146))=2, "0" &amp; F146, (LEN(F146))&gt;=3, F146)</f>
        <v>146</v>
      </c>
    </row>
    <row r="147" spans="6:7">
      <c r="F147">
        <v>147</v>
      </c>
      <c r="G147" cm="1">
        <f t="array" ref="G147">_xlfn.IFS(LEN(F147)=1, "00" &amp; F147, (LEN(F147))=2, "0" &amp; F147, (LEN(F147))&gt;=3, F147)</f>
        <v>147</v>
      </c>
    </row>
    <row r="148" spans="6:7">
      <c r="F148">
        <v>148</v>
      </c>
      <c r="G148" cm="1">
        <f t="array" ref="G148">_xlfn.IFS(LEN(F148)=1, "00" &amp; F148, (LEN(F148))=2, "0" &amp; F148, (LEN(F148))&gt;=3, F148)</f>
        <v>148</v>
      </c>
    </row>
    <row r="149" spans="6:7">
      <c r="F149">
        <v>149</v>
      </c>
      <c r="G149" cm="1">
        <f t="array" ref="G149">_xlfn.IFS(LEN(F149)=1, "00" &amp; F149, (LEN(F149))=2, "0" &amp; F149, (LEN(F149))&gt;=3, F149)</f>
        <v>149</v>
      </c>
    </row>
    <row r="150" spans="6:7">
      <c r="F150">
        <v>150</v>
      </c>
      <c r="G150" cm="1">
        <f t="array" ref="G150">_xlfn.IFS(LEN(F150)=1, "00" &amp; F150, (LEN(F150))=2, "0" &amp; F150, (LEN(F150))&gt;=3, F150)</f>
        <v>150</v>
      </c>
    </row>
    <row r="151" spans="6:7">
      <c r="F151">
        <v>151</v>
      </c>
      <c r="G151" cm="1">
        <f t="array" ref="G151">_xlfn.IFS(LEN(F151)=1, "00" &amp; F151, (LEN(F151))=2, "0" &amp; F151, (LEN(F151))&gt;=3, F151)</f>
        <v>151</v>
      </c>
    </row>
    <row r="152" spans="6:7">
      <c r="F152">
        <v>152</v>
      </c>
      <c r="G152" cm="1">
        <f t="array" ref="G152">_xlfn.IFS(LEN(F152)=1, "00" &amp; F152, (LEN(F152))=2, "0" &amp; F152, (LEN(F152))&gt;=3, F152)</f>
        <v>152</v>
      </c>
    </row>
    <row r="153" spans="6:7">
      <c r="F153">
        <v>153</v>
      </c>
      <c r="G153" cm="1">
        <f t="array" ref="G153">_xlfn.IFS(LEN(F153)=1, "00" &amp; F153, (LEN(F153))=2, "0" &amp; F153, (LEN(F153))&gt;=3, F153)</f>
        <v>153</v>
      </c>
    </row>
    <row r="154" spans="6:7">
      <c r="F154">
        <v>154</v>
      </c>
      <c r="G154" cm="1">
        <f t="array" ref="G154">_xlfn.IFS(LEN(F154)=1, "00" &amp; F154, (LEN(F154))=2, "0" &amp; F154, (LEN(F154))&gt;=3, F154)</f>
        <v>154</v>
      </c>
    </row>
    <row r="155" spans="6:7">
      <c r="F155">
        <v>155</v>
      </c>
      <c r="G155" cm="1">
        <f t="array" ref="G155">_xlfn.IFS(LEN(F155)=1, "00" &amp; F155, (LEN(F155))=2, "0" &amp; F155, (LEN(F155))&gt;=3, F155)</f>
        <v>155</v>
      </c>
    </row>
    <row r="156" spans="6:7">
      <c r="F156">
        <v>156</v>
      </c>
      <c r="G156" cm="1">
        <f t="array" ref="G156">_xlfn.IFS(LEN(F156)=1, "00" &amp; F156, (LEN(F156))=2, "0" &amp; F156, (LEN(F156))&gt;=3, F156)</f>
        <v>156</v>
      </c>
    </row>
    <row r="157" spans="6:7">
      <c r="F157">
        <v>157</v>
      </c>
      <c r="G157" cm="1">
        <f t="array" ref="G157">_xlfn.IFS(LEN(F157)=1, "00" &amp; F157, (LEN(F157))=2, "0" &amp; F157, (LEN(F157))&gt;=3, F157)</f>
        <v>157</v>
      </c>
    </row>
    <row r="158" spans="6:7">
      <c r="F158">
        <v>158</v>
      </c>
      <c r="G158" cm="1">
        <f t="array" ref="G158">_xlfn.IFS(LEN(F158)=1, "00" &amp; F158, (LEN(F158))=2, "0" &amp; F158, (LEN(F158))&gt;=3, F158)</f>
        <v>158</v>
      </c>
    </row>
    <row r="159" spans="6:7">
      <c r="F159">
        <v>159</v>
      </c>
      <c r="G159" cm="1">
        <f t="array" ref="G159">_xlfn.IFS(LEN(F159)=1, "00" &amp; F159, (LEN(F159))=2, "0" &amp; F159, (LEN(F159))&gt;=3, F159)</f>
        <v>159</v>
      </c>
    </row>
    <row r="160" spans="6:7">
      <c r="F160">
        <v>160</v>
      </c>
      <c r="G160" cm="1">
        <f t="array" ref="G160">_xlfn.IFS(LEN(F160)=1, "00" &amp; F160, (LEN(F160))=2, "0" &amp; F160, (LEN(F160))&gt;=3, F160)</f>
        <v>160</v>
      </c>
    </row>
    <row r="161" spans="6:7">
      <c r="F161">
        <v>161</v>
      </c>
      <c r="G161" cm="1">
        <f t="array" ref="G161">_xlfn.IFS(LEN(F161)=1, "00" &amp; F161, (LEN(F161))=2, "0" &amp; F161, (LEN(F161))&gt;=3, F161)</f>
        <v>161</v>
      </c>
    </row>
    <row r="162" spans="6:7">
      <c r="F162">
        <v>162</v>
      </c>
      <c r="G162" cm="1">
        <f t="array" ref="G162">_xlfn.IFS(LEN(F162)=1, "00" &amp; F162, (LEN(F162))=2, "0" &amp; F162, (LEN(F162))&gt;=3, F162)</f>
        <v>162</v>
      </c>
    </row>
    <row r="163" spans="6:7">
      <c r="F163">
        <v>163</v>
      </c>
      <c r="G163" cm="1">
        <f t="array" ref="G163">_xlfn.IFS(LEN(F163)=1, "00" &amp; F163, (LEN(F163))=2, "0" &amp; F163, (LEN(F163))&gt;=3, F163)</f>
        <v>163</v>
      </c>
    </row>
    <row r="164" spans="6:7">
      <c r="F164">
        <v>164</v>
      </c>
      <c r="G164" cm="1">
        <f t="array" ref="G164">_xlfn.IFS(LEN(F164)=1, "00" &amp; F164, (LEN(F164))=2, "0" &amp; F164, (LEN(F164))&gt;=3, F164)</f>
        <v>164</v>
      </c>
    </row>
    <row r="165" spans="6:7">
      <c r="F165">
        <v>165</v>
      </c>
      <c r="G165" cm="1">
        <f t="array" ref="G165">_xlfn.IFS(LEN(F165)=1, "00" &amp; F165, (LEN(F165))=2, "0" &amp; F165, (LEN(F165))&gt;=3, F165)</f>
        <v>165</v>
      </c>
    </row>
    <row r="166" spans="6:7">
      <c r="F166">
        <v>166</v>
      </c>
      <c r="G166" cm="1">
        <f t="array" ref="G166">_xlfn.IFS(LEN(F166)=1, "00" &amp; F166, (LEN(F166))=2, "0" &amp; F166, (LEN(F166))&gt;=3, F166)</f>
        <v>166</v>
      </c>
    </row>
    <row r="167" spans="6:7">
      <c r="F167">
        <v>167</v>
      </c>
      <c r="G167" cm="1">
        <f t="array" ref="G167">_xlfn.IFS(LEN(F167)=1, "00" &amp; F167, (LEN(F167))=2, "0" &amp; F167, (LEN(F167))&gt;=3, F167)</f>
        <v>167</v>
      </c>
    </row>
    <row r="168" spans="6:7">
      <c r="F168">
        <v>168</v>
      </c>
      <c r="G168" cm="1">
        <f t="array" ref="G168">_xlfn.IFS(LEN(F168)=1, "00" &amp; F168, (LEN(F168))=2, "0" &amp; F168, (LEN(F168))&gt;=3, F168)</f>
        <v>168</v>
      </c>
    </row>
    <row r="169" spans="6:7">
      <c r="F169">
        <v>169</v>
      </c>
      <c r="G169" cm="1">
        <f t="array" ref="G169">_xlfn.IFS(LEN(F169)=1, "00" &amp; F169, (LEN(F169))=2, "0" &amp; F169, (LEN(F169))&gt;=3, F169)</f>
        <v>169</v>
      </c>
    </row>
    <row r="170" spans="6:7">
      <c r="F170">
        <v>170</v>
      </c>
      <c r="G170" cm="1">
        <f t="array" ref="G170">_xlfn.IFS(LEN(F170)=1, "00" &amp; F170, (LEN(F170))=2, "0" &amp; F170, (LEN(F170))&gt;=3, F170)</f>
        <v>170</v>
      </c>
    </row>
    <row r="171" spans="6:7">
      <c r="F171">
        <v>171</v>
      </c>
      <c r="G171" cm="1">
        <f t="array" ref="G171">_xlfn.IFS(LEN(F171)=1, "00" &amp; F171, (LEN(F171))=2, "0" &amp; F171, (LEN(F171))&gt;=3, F171)</f>
        <v>171</v>
      </c>
    </row>
    <row r="172" spans="6:7">
      <c r="F172">
        <v>172</v>
      </c>
      <c r="G172" cm="1">
        <f t="array" ref="G172">_xlfn.IFS(LEN(F172)=1, "00" &amp; F172, (LEN(F172))=2, "0" &amp; F172, (LEN(F172))&gt;=3, F172)</f>
        <v>172</v>
      </c>
    </row>
    <row r="173" spans="6:7">
      <c r="F173">
        <v>173</v>
      </c>
      <c r="G173" cm="1">
        <f t="array" ref="G173">_xlfn.IFS(LEN(F173)=1, "00" &amp; F173, (LEN(F173))=2, "0" &amp; F173, (LEN(F173))&gt;=3, F173)</f>
        <v>173</v>
      </c>
    </row>
    <row r="174" spans="6:7">
      <c r="F174">
        <v>174</v>
      </c>
      <c r="G174" cm="1">
        <f t="array" ref="G174">_xlfn.IFS(LEN(F174)=1, "00" &amp; F174, (LEN(F174))=2, "0" &amp; F174, (LEN(F174))&gt;=3, F174)</f>
        <v>174</v>
      </c>
    </row>
    <row r="175" spans="6:7">
      <c r="F175">
        <v>175</v>
      </c>
      <c r="G175" cm="1">
        <f t="array" ref="G175">_xlfn.IFS(LEN(F175)=1, "00" &amp; F175, (LEN(F175))=2, "0" &amp; F175, (LEN(F175))&gt;=3, F175)</f>
        <v>175</v>
      </c>
    </row>
    <row r="176" spans="6:7">
      <c r="F176">
        <v>176</v>
      </c>
      <c r="G176" cm="1">
        <f t="array" ref="G176">_xlfn.IFS(LEN(F176)=1, "00" &amp; F176, (LEN(F176))=2, "0" &amp; F176, (LEN(F176))&gt;=3, F176)</f>
        <v>176</v>
      </c>
    </row>
    <row r="177" spans="6:7">
      <c r="F177">
        <v>177</v>
      </c>
      <c r="G177" cm="1">
        <f t="array" ref="G177">_xlfn.IFS(LEN(F177)=1, "00" &amp; F177, (LEN(F177))=2, "0" &amp; F177, (LEN(F177))&gt;=3, F177)</f>
        <v>177</v>
      </c>
    </row>
    <row r="178" spans="6:7">
      <c r="F178">
        <v>178</v>
      </c>
      <c r="G178" cm="1">
        <f t="array" ref="G178">_xlfn.IFS(LEN(F178)=1, "00" &amp; F178, (LEN(F178))=2, "0" &amp; F178, (LEN(F178))&gt;=3, F178)</f>
        <v>178</v>
      </c>
    </row>
    <row r="179" spans="6:7">
      <c r="F179">
        <v>179</v>
      </c>
      <c r="G179" cm="1">
        <f t="array" ref="G179">_xlfn.IFS(LEN(F179)=1, "00" &amp; F179, (LEN(F179))=2, "0" &amp; F179, (LEN(F179))&gt;=3, F179)</f>
        <v>179</v>
      </c>
    </row>
    <row r="180" spans="6:7">
      <c r="F180">
        <v>180</v>
      </c>
      <c r="G180" cm="1">
        <f t="array" ref="G180">_xlfn.IFS(LEN(F180)=1, "00" &amp; F180, (LEN(F180))=2, "0" &amp; F180, (LEN(F180))&gt;=3, F180)</f>
        <v>180</v>
      </c>
    </row>
    <row r="181" spans="6:7">
      <c r="F181">
        <v>181</v>
      </c>
      <c r="G181" cm="1">
        <f t="array" ref="G181">_xlfn.IFS(LEN(F181)=1, "00" &amp; F181, (LEN(F181))=2, "0" &amp; F181, (LEN(F181))&gt;=3, F181)</f>
        <v>181</v>
      </c>
    </row>
    <row r="182" spans="6:7">
      <c r="F182">
        <v>182</v>
      </c>
      <c r="G182" cm="1">
        <f t="array" ref="G182">_xlfn.IFS(LEN(F182)=1, "00" &amp; F182, (LEN(F182))=2, "0" &amp; F182, (LEN(F182))&gt;=3, F182)</f>
        <v>182</v>
      </c>
    </row>
    <row r="183" spans="6:7">
      <c r="F183">
        <v>183</v>
      </c>
      <c r="G183" cm="1">
        <f t="array" ref="G183">_xlfn.IFS(LEN(F183)=1, "00" &amp; F183, (LEN(F183))=2, "0" &amp; F183, (LEN(F183))&gt;=3, F183)</f>
        <v>183</v>
      </c>
    </row>
    <row r="184" spans="6:7">
      <c r="F184">
        <v>184</v>
      </c>
      <c r="G184" cm="1">
        <f t="array" ref="G184">_xlfn.IFS(LEN(F184)=1, "00" &amp; F184, (LEN(F184))=2, "0" &amp; F184, (LEN(F184))&gt;=3, F184)</f>
        <v>184</v>
      </c>
    </row>
    <row r="185" spans="6:7">
      <c r="F185">
        <v>185</v>
      </c>
      <c r="G185" cm="1">
        <f t="array" ref="G185">_xlfn.IFS(LEN(F185)=1, "00" &amp; F185, (LEN(F185))=2, "0" &amp; F185, (LEN(F185))&gt;=3, F185)</f>
        <v>185</v>
      </c>
    </row>
    <row r="186" spans="6:7">
      <c r="F186">
        <v>186</v>
      </c>
      <c r="G186" cm="1">
        <f t="array" ref="G186">_xlfn.IFS(LEN(F186)=1, "00" &amp; F186, (LEN(F186))=2, "0" &amp; F186, (LEN(F186))&gt;=3, F186)</f>
        <v>186</v>
      </c>
    </row>
    <row r="187" spans="6:7">
      <c r="F187">
        <v>187</v>
      </c>
      <c r="G187" cm="1">
        <f t="array" ref="G187">_xlfn.IFS(LEN(F187)=1, "00" &amp; F187, (LEN(F187))=2, "0" &amp; F187, (LEN(F187))&gt;=3, F187)</f>
        <v>187</v>
      </c>
    </row>
    <row r="188" spans="6:7">
      <c r="F188">
        <v>188</v>
      </c>
      <c r="G188" cm="1">
        <f t="array" ref="G188">_xlfn.IFS(LEN(F188)=1, "00" &amp; F188, (LEN(F188))=2, "0" &amp; F188, (LEN(F188))&gt;=3, F188)</f>
        <v>188</v>
      </c>
    </row>
    <row r="189" spans="6:7">
      <c r="F189">
        <v>189</v>
      </c>
      <c r="G189" cm="1">
        <f t="array" ref="G189">_xlfn.IFS(LEN(F189)=1, "00" &amp; F189, (LEN(F189))=2, "0" &amp; F189, (LEN(F189))&gt;=3, F189)</f>
        <v>189</v>
      </c>
    </row>
    <row r="190" spans="6:7">
      <c r="F190">
        <v>190</v>
      </c>
      <c r="G190" cm="1">
        <f t="array" ref="G190">_xlfn.IFS(LEN(F190)=1, "00" &amp; F190, (LEN(F190))=2, "0" &amp; F190, (LEN(F190))&gt;=3, F190)</f>
        <v>190</v>
      </c>
    </row>
    <row r="191" spans="6:7">
      <c r="F191">
        <v>191</v>
      </c>
      <c r="G191" cm="1">
        <f t="array" ref="G191">_xlfn.IFS(LEN(F191)=1, "00" &amp; F191, (LEN(F191))=2, "0" &amp; F191, (LEN(F191))&gt;=3, F191)</f>
        <v>191</v>
      </c>
    </row>
    <row r="192" spans="6:7">
      <c r="F192">
        <v>192</v>
      </c>
      <c r="G192" cm="1">
        <f t="array" ref="G192">_xlfn.IFS(LEN(F192)=1, "00" &amp; F192, (LEN(F192))=2, "0" &amp; F192, (LEN(F192))&gt;=3, F192)</f>
        <v>192</v>
      </c>
    </row>
    <row r="193" spans="6:7">
      <c r="F193">
        <v>193</v>
      </c>
      <c r="G193" cm="1">
        <f t="array" ref="G193">_xlfn.IFS(LEN(F193)=1, "00" &amp; F193, (LEN(F193))=2, "0" &amp; F193, (LEN(F193))&gt;=3, F193)</f>
        <v>193</v>
      </c>
    </row>
    <row r="194" spans="6:7">
      <c r="F194">
        <v>194</v>
      </c>
      <c r="G194" cm="1">
        <f t="array" ref="G194">_xlfn.IFS(LEN(F194)=1, "00" &amp; F194, (LEN(F194))=2, "0" &amp; F194, (LEN(F194))&gt;=3, F194)</f>
        <v>194</v>
      </c>
    </row>
    <row r="195" spans="6:7">
      <c r="F195">
        <v>195</v>
      </c>
      <c r="G195" cm="1">
        <f t="array" ref="G195">_xlfn.IFS(LEN(F195)=1, "00" &amp; F195, (LEN(F195))=2, "0" &amp; F195, (LEN(F195))&gt;=3, F195)</f>
        <v>195</v>
      </c>
    </row>
    <row r="196" spans="6:7">
      <c r="F196">
        <v>196</v>
      </c>
      <c r="G196" cm="1">
        <f t="array" ref="G196">_xlfn.IFS(LEN(F196)=1, "00" &amp; F196, (LEN(F196))=2, "0" &amp; F196, (LEN(F196))&gt;=3, F196)</f>
        <v>196</v>
      </c>
    </row>
    <row r="197" spans="6:7">
      <c r="F197">
        <v>197</v>
      </c>
      <c r="G197" cm="1">
        <f t="array" ref="G197">_xlfn.IFS(LEN(F197)=1, "00" &amp; F197, (LEN(F197))=2, "0" &amp; F197, (LEN(F197))&gt;=3, F197)</f>
        <v>197</v>
      </c>
    </row>
    <row r="198" spans="6:7">
      <c r="F198">
        <v>198</v>
      </c>
      <c r="G198" cm="1">
        <f t="array" ref="G198">_xlfn.IFS(LEN(F198)=1, "00" &amp; F198, (LEN(F198))=2, "0" &amp; F198, (LEN(F198))&gt;=3, F198)</f>
        <v>198</v>
      </c>
    </row>
    <row r="199" spans="6:7">
      <c r="F199">
        <v>199</v>
      </c>
      <c r="G199" cm="1">
        <f t="array" ref="G199">_xlfn.IFS(LEN(F199)=1, "00" &amp; F199, (LEN(F199))=2, "0" &amp; F199, (LEN(F199))&gt;=3, F199)</f>
        <v>199</v>
      </c>
    </row>
    <row r="200" spans="6:7">
      <c r="F200">
        <v>200</v>
      </c>
      <c r="G200" cm="1">
        <f t="array" ref="G200">_xlfn.IFS(LEN(F200)=1, "00" &amp; F200, (LEN(F200))=2, "0" &amp; F200, (LEN(F200))&gt;=3, F200)</f>
        <v>200</v>
      </c>
    </row>
    <row r="201" spans="6:7">
      <c r="F201">
        <v>201</v>
      </c>
      <c r="G201" cm="1">
        <f t="array" ref="G201">_xlfn.IFS(LEN(F201)=1, "00" &amp; F201, (LEN(F201))=2, "0" &amp; F201, (LEN(F201))&gt;=3, F201)</f>
        <v>201</v>
      </c>
    </row>
    <row r="202" spans="6:7">
      <c r="F202">
        <v>202</v>
      </c>
      <c r="G202" cm="1">
        <f t="array" ref="G202">_xlfn.IFS(LEN(F202)=1, "00" &amp; F202, (LEN(F202))=2, "0" &amp; F202, (LEN(F202))&gt;=3, F202)</f>
        <v>202</v>
      </c>
    </row>
    <row r="203" spans="6:7">
      <c r="F203">
        <v>203</v>
      </c>
      <c r="G203" cm="1">
        <f t="array" ref="G203">_xlfn.IFS(LEN(F203)=1, "00" &amp; F203, (LEN(F203))=2, "0" &amp; F203, (LEN(F203))&gt;=3, F203)</f>
        <v>203</v>
      </c>
    </row>
    <row r="204" spans="6:7">
      <c r="F204">
        <v>204</v>
      </c>
      <c r="G204" cm="1">
        <f t="array" ref="G204">_xlfn.IFS(LEN(F204)=1, "00" &amp; F204, (LEN(F204))=2, "0" &amp; F204, (LEN(F204))&gt;=3, F204)</f>
        <v>204</v>
      </c>
    </row>
    <row r="205" spans="6:7">
      <c r="F205">
        <v>205</v>
      </c>
      <c r="G205" cm="1">
        <f t="array" ref="G205">_xlfn.IFS(LEN(F205)=1, "00" &amp; F205, (LEN(F205))=2, "0" &amp; F205, (LEN(F205))&gt;=3, F205)</f>
        <v>205</v>
      </c>
    </row>
    <row r="206" spans="6:7">
      <c r="F206">
        <v>206</v>
      </c>
      <c r="G206" cm="1">
        <f t="array" ref="G206">_xlfn.IFS(LEN(F206)=1, "00" &amp; F206, (LEN(F206))=2, "0" &amp; F206, (LEN(F206))&gt;=3, F206)</f>
        <v>206</v>
      </c>
    </row>
    <row r="207" spans="6:7">
      <c r="F207">
        <v>207</v>
      </c>
      <c r="G207" cm="1">
        <f t="array" ref="G207">_xlfn.IFS(LEN(F207)=1, "00" &amp; F207, (LEN(F207))=2, "0" &amp; F207, (LEN(F207))&gt;=3, F207)</f>
        <v>207</v>
      </c>
    </row>
    <row r="208" spans="6:7">
      <c r="F208">
        <v>208</v>
      </c>
      <c r="G208" cm="1">
        <f t="array" ref="G208">_xlfn.IFS(LEN(F208)=1, "00" &amp; F208, (LEN(F208))=2, "0" &amp; F208, (LEN(F208))&gt;=3, F208)</f>
        <v>208</v>
      </c>
    </row>
    <row r="209" spans="6:7">
      <c r="F209">
        <v>209</v>
      </c>
      <c r="G209" cm="1">
        <f t="array" ref="G209">_xlfn.IFS(LEN(F209)=1, "00" &amp; F209, (LEN(F209))=2, "0" &amp; F209, (LEN(F209))&gt;=3, F209)</f>
        <v>209</v>
      </c>
    </row>
    <row r="210" spans="6:7">
      <c r="F210">
        <v>210</v>
      </c>
      <c r="G210" cm="1">
        <f t="array" ref="G210">_xlfn.IFS(LEN(F210)=1, "00" &amp; F210, (LEN(F210))=2, "0" &amp; F210, (LEN(F210))&gt;=3, F210)</f>
        <v>210</v>
      </c>
    </row>
    <row r="211" spans="6:7">
      <c r="F211">
        <v>211</v>
      </c>
      <c r="G211" cm="1">
        <f t="array" ref="G211">_xlfn.IFS(LEN(F211)=1, "00" &amp; F211, (LEN(F211))=2, "0" &amp; F211, (LEN(F211))&gt;=3, F211)</f>
        <v>211</v>
      </c>
    </row>
    <row r="212" spans="6:7">
      <c r="F212">
        <v>212</v>
      </c>
      <c r="G212" cm="1">
        <f t="array" ref="G212">_xlfn.IFS(LEN(F212)=1, "00" &amp; F212, (LEN(F212))=2, "0" &amp; F212, (LEN(F212))&gt;=3, F212)</f>
        <v>212</v>
      </c>
    </row>
    <row r="213" spans="6:7">
      <c r="F213">
        <v>213</v>
      </c>
      <c r="G213" cm="1">
        <f t="array" ref="G213">_xlfn.IFS(LEN(F213)=1, "00" &amp; F213, (LEN(F213))=2, "0" &amp; F213, (LEN(F213))&gt;=3, F213)</f>
        <v>213</v>
      </c>
    </row>
    <row r="214" spans="6:7">
      <c r="F214">
        <v>214</v>
      </c>
      <c r="G214" cm="1">
        <f t="array" ref="G214">_xlfn.IFS(LEN(F214)=1, "00" &amp; F214, (LEN(F214))=2, "0" &amp; F214, (LEN(F214))&gt;=3, F214)</f>
        <v>214</v>
      </c>
    </row>
    <row r="215" spans="6:7">
      <c r="F215">
        <v>215</v>
      </c>
      <c r="G215" cm="1">
        <f t="array" ref="G215">_xlfn.IFS(LEN(F215)=1, "00" &amp; F215, (LEN(F215))=2, "0" &amp; F215, (LEN(F215))&gt;=3, F215)</f>
        <v>215</v>
      </c>
    </row>
    <row r="216" spans="6:7">
      <c r="F216">
        <v>216</v>
      </c>
      <c r="G216" cm="1">
        <f t="array" ref="G216">_xlfn.IFS(LEN(F216)=1, "00" &amp; F216, (LEN(F216))=2, "0" &amp; F216, (LEN(F216))&gt;=3, F216)</f>
        <v>216</v>
      </c>
    </row>
    <row r="217" spans="6:7">
      <c r="F217">
        <v>217</v>
      </c>
      <c r="G217" cm="1">
        <f t="array" ref="G217">_xlfn.IFS(LEN(F217)=1, "00" &amp; F217, (LEN(F217))=2, "0" &amp; F217, (LEN(F217))&gt;=3, F217)</f>
        <v>217</v>
      </c>
    </row>
    <row r="218" spans="6:7">
      <c r="F218">
        <v>218</v>
      </c>
      <c r="G218" cm="1">
        <f t="array" ref="G218">_xlfn.IFS(LEN(F218)=1, "00" &amp; F218, (LEN(F218))=2, "0" &amp; F218, (LEN(F218))&gt;=3, F218)</f>
        <v>218</v>
      </c>
    </row>
    <row r="219" spans="6:7">
      <c r="F219">
        <v>219</v>
      </c>
      <c r="G219" cm="1">
        <f t="array" ref="G219">_xlfn.IFS(LEN(F219)=1, "00" &amp; F219, (LEN(F219))=2, "0" &amp; F219, (LEN(F219))&gt;=3, F219)</f>
        <v>219</v>
      </c>
    </row>
    <row r="220" spans="6:7">
      <c r="F220">
        <v>220</v>
      </c>
      <c r="G220" cm="1">
        <f t="array" ref="G220">_xlfn.IFS(LEN(F220)=1, "00" &amp; F220, (LEN(F220))=2, "0" &amp; F220, (LEN(F220))&gt;=3, F220)</f>
        <v>220</v>
      </c>
    </row>
    <row r="221" spans="6:7">
      <c r="F221">
        <v>221</v>
      </c>
      <c r="G221" cm="1">
        <f t="array" ref="G221">_xlfn.IFS(LEN(F221)=1, "00" &amp; F221, (LEN(F221))=2, "0" &amp; F221, (LEN(F221))&gt;=3, F221)</f>
        <v>221</v>
      </c>
    </row>
    <row r="222" spans="6:7">
      <c r="F222">
        <v>222</v>
      </c>
      <c r="G222" cm="1">
        <f t="array" ref="G222">_xlfn.IFS(LEN(F222)=1, "00" &amp; F222, (LEN(F222))=2, "0" &amp; F222, (LEN(F222))&gt;=3, F222)</f>
        <v>222</v>
      </c>
    </row>
    <row r="223" spans="6:7">
      <c r="F223">
        <v>223</v>
      </c>
      <c r="G223" cm="1">
        <f t="array" ref="G223">_xlfn.IFS(LEN(F223)=1, "00" &amp; F223, (LEN(F223))=2, "0" &amp; F223, (LEN(F223))&gt;=3, F223)</f>
        <v>223</v>
      </c>
    </row>
    <row r="224" spans="6:7">
      <c r="F224">
        <v>224</v>
      </c>
      <c r="G224" cm="1">
        <f t="array" ref="G224">_xlfn.IFS(LEN(F224)=1, "00" &amp; F224, (LEN(F224))=2, "0" &amp; F224, (LEN(F224))&gt;=3, F224)</f>
        <v>224</v>
      </c>
    </row>
    <row r="225" spans="6:7">
      <c r="F225">
        <v>225</v>
      </c>
      <c r="G225" cm="1">
        <f t="array" ref="G225">_xlfn.IFS(LEN(F225)=1, "00" &amp; F225, (LEN(F225))=2, "0" &amp; F225, (LEN(F225))&gt;=3, F225)</f>
        <v>225</v>
      </c>
    </row>
    <row r="226" spans="6:7">
      <c r="F226">
        <v>226</v>
      </c>
      <c r="G226" cm="1">
        <f t="array" ref="G226">_xlfn.IFS(LEN(F226)=1, "00" &amp; F226, (LEN(F226))=2, "0" &amp; F226, (LEN(F226))&gt;=3, F226)</f>
        <v>226</v>
      </c>
    </row>
    <row r="227" spans="6:7">
      <c r="F227">
        <v>227</v>
      </c>
      <c r="G227" cm="1">
        <f t="array" ref="G227">_xlfn.IFS(LEN(F227)=1, "00" &amp; F227, (LEN(F227))=2, "0" &amp; F227, (LEN(F227))&gt;=3, F227)</f>
        <v>227</v>
      </c>
    </row>
    <row r="228" spans="6:7">
      <c r="F228">
        <v>228</v>
      </c>
      <c r="G228" cm="1">
        <f t="array" ref="G228">_xlfn.IFS(LEN(F228)=1, "00" &amp; F228, (LEN(F228))=2, "0" &amp; F228, (LEN(F228))&gt;=3, F228)</f>
        <v>228</v>
      </c>
    </row>
    <row r="229" spans="6:7">
      <c r="F229">
        <v>229</v>
      </c>
      <c r="G229" cm="1">
        <f t="array" ref="G229">_xlfn.IFS(LEN(F229)=1, "00" &amp; F229, (LEN(F229))=2, "0" &amp; F229, (LEN(F229))&gt;=3, F229)</f>
        <v>229</v>
      </c>
    </row>
    <row r="230" spans="6:7">
      <c r="F230">
        <v>230</v>
      </c>
      <c r="G230" cm="1">
        <f t="array" ref="G230">_xlfn.IFS(LEN(F230)=1, "00" &amp; F230, (LEN(F230))=2, "0" &amp; F230, (LEN(F230))&gt;=3, F230)</f>
        <v>230</v>
      </c>
    </row>
    <row r="231" spans="6:7">
      <c r="F231">
        <v>231</v>
      </c>
      <c r="G231" cm="1">
        <f t="array" ref="G231">_xlfn.IFS(LEN(F231)=1, "00" &amp; F231, (LEN(F231))=2, "0" &amp; F231, (LEN(F231))&gt;=3, F231)</f>
        <v>231</v>
      </c>
    </row>
    <row r="232" spans="6:7">
      <c r="F232">
        <v>232</v>
      </c>
      <c r="G232" cm="1">
        <f t="array" ref="G232">_xlfn.IFS(LEN(F232)=1, "00" &amp; F232, (LEN(F232))=2, "0" &amp; F232, (LEN(F232))&gt;=3, F232)</f>
        <v>232</v>
      </c>
    </row>
    <row r="233" spans="6:7">
      <c r="F233">
        <v>233</v>
      </c>
      <c r="G233" cm="1">
        <f t="array" ref="G233">_xlfn.IFS(LEN(F233)=1, "00" &amp; F233, (LEN(F233))=2, "0" &amp; F233, (LEN(F233))&gt;=3, F233)</f>
        <v>233</v>
      </c>
    </row>
    <row r="234" spans="6:7">
      <c r="F234">
        <v>234</v>
      </c>
      <c r="G234" cm="1">
        <f t="array" ref="G234">_xlfn.IFS(LEN(F234)=1, "00" &amp; F234, (LEN(F234))=2, "0" &amp; F234, (LEN(F234))&gt;=3, F234)</f>
        <v>234</v>
      </c>
    </row>
    <row r="235" spans="6:7">
      <c r="F235">
        <v>235</v>
      </c>
      <c r="G235" cm="1">
        <f t="array" ref="G235">_xlfn.IFS(LEN(F235)=1, "00" &amp; F235, (LEN(F235))=2, "0" &amp; F235, (LEN(F235))&gt;=3, F235)</f>
        <v>235</v>
      </c>
    </row>
    <row r="236" spans="6:7">
      <c r="F236">
        <v>236</v>
      </c>
      <c r="G236" cm="1">
        <f t="array" ref="G236">_xlfn.IFS(LEN(F236)=1, "00" &amp; F236, (LEN(F236))=2, "0" &amp; F236, (LEN(F236))&gt;=3, F236)</f>
        <v>236</v>
      </c>
    </row>
    <row r="237" spans="6:7">
      <c r="F237">
        <v>237</v>
      </c>
      <c r="G237" cm="1">
        <f t="array" ref="G237">_xlfn.IFS(LEN(F237)=1, "00" &amp; F237, (LEN(F237))=2, "0" &amp; F237, (LEN(F237))&gt;=3, F237)</f>
        <v>237</v>
      </c>
    </row>
    <row r="238" spans="6:7">
      <c r="F238">
        <v>238</v>
      </c>
      <c r="G238" cm="1">
        <f t="array" ref="G238">_xlfn.IFS(LEN(F238)=1, "00" &amp; F238, (LEN(F238))=2, "0" &amp; F238, (LEN(F238))&gt;=3, F238)</f>
        <v>238</v>
      </c>
    </row>
    <row r="239" spans="6:7">
      <c r="F239">
        <v>239</v>
      </c>
      <c r="G239" cm="1">
        <f t="array" ref="G239">_xlfn.IFS(LEN(F239)=1, "00" &amp; F239, (LEN(F239))=2, "0" &amp; F239, (LEN(F239))&gt;=3, F239)</f>
        <v>239</v>
      </c>
    </row>
    <row r="240" spans="6:7">
      <c r="F240">
        <v>240</v>
      </c>
      <c r="G240" cm="1">
        <f t="array" ref="G240">_xlfn.IFS(LEN(F240)=1, "00" &amp; F240, (LEN(F240))=2, "0" &amp; F240, (LEN(F240))&gt;=3, F240)</f>
        <v>240</v>
      </c>
    </row>
    <row r="241" spans="6:7">
      <c r="F241">
        <v>241</v>
      </c>
      <c r="G241" cm="1">
        <f t="array" ref="G241">_xlfn.IFS(LEN(F241)=1, "00" &amp; F241, (LEN(F241))=2, "0" &amp; F241, (LEN(F241))&gt;=3, F241)</f>
        <v>241</v>
      </c>
    </row>
    <row r="242" spans="6:7">
      <c r="F242">
        <v>242</v>
      </c>
      <c r="G242" cm="1">
        <f t="array" ref="G242">_xlfn.IFS(LEN(F242)=1, "00" &amp; F242, (LEN(F242))=2, "0" &amp; F242, (LEN(F242))&gt;=3, F242)</f>
        <v>242</v>
      </c>
    </row>
    <row r="243" spans="6:7">
      <c r="F243">
        <v>243</v>
      </c>
      <c r="G243" cm="1">
        <f t="array" ref="G243">_xlfn.IFS(LEN(F243)=1, "00" &amp; F243, (LEN(F243))=2, "0" &amp; F243, (LEN(F243))&gt;=3, F243)</f>
        <v>243</v>
      </c>
    </row>
    <row r="244" spans="6:7">
      <c r="F244">
        <v>244</v>
      </c>
      <c r="G244" cm="1">
        <f t="array" ref="G244">_xlfn.IFS(LEN(F244)=1, "00" &amp; F244, (LEN(F244))=2, "0" &amp; F244, (LEN(F244))&gt;=3, F244)</f>
        <v>244</v>
      </c>
    </row>
    <row r="245" spans="6:7">
      <c r="F245">
        <v>245</v>
      </c>
      <c r="G245" cm="1">
        <f t="array" ref="G245">_xlfn.IFS(LEN(F245)=1, "00" &amp; F245, (LEN(F245))=2, "0" &amp; F245, (LEN(F245))&gt;=3, F245)</f>
        <v>245</v>
      </c>
    </row>
    <row r="246" spans="6:7">
      <c r="F246">
        <v>246</v>
      </c>
      <c r="G246" cm="1">
        <f t="array" ref="G246">_xlfn.IFS(LEN(F246)=1, "00" &amp; F246, (LEN(F246))=2, "0" &amp; F246, (LEN(F246))&gt;=3, F246)</f>
        <v>246</v>
      </c>
    </row>
    <row r="247" spans="6:7">
      <c r="F247">
        <v>247</v>
      </c>
      <c r="G247" cm="1">
        <f t="array" ref="G247">_xlfn.IFS(LEN(F247)=1, "00" &amp; F247, (LEN(F247))=2, "0" &amp; F247, (LEN(F247))&gt;=3, F247)</f>
        <v>247</v>
      </c>
    </row>
    <row r="248" spans="6:7">
      <c r="F248">
        <v>248</v>
      </c>
      <c r="G248" cm="1">
        <f t="array" ref="G248">_xlfn.IFS(LEN(F248)=1, "00" &amp; F248, (LEN(F248))=2, "0" &amp; F248, (LEN(F248))&gt;=3, F248)</f>
        <v>248</v>
      </c>
    </row>
    <row r="249" spans="6:7">
      <c r="F249">
        <v>249</v>
      </c>
      <c r="G249" cm="1">
        <f t="array" ref="G249">_xlfn.IFS(LEN(F249)=1, "00" &amp; F249, (LEN(F249))=2, "0" &amp; F249, (LEN(F249))&gt;=3, F249)</f>
        <v>249</v>
      </c>
    </row>
    <row r="250" spans="6:7">
      <c r="F250">
        <v>250</v>
      </c>
      <c r="G250" cm="1">
        <f t="array" ref="G250">_xlfn.IFS(LEN(F250)=1, "00" &amp; F250, (LEN(F250))=2, "0" &amp; F250, (LEN(F250))&gt;=3, F250)</f>
        <v>250</v>
      </c>
    </row>
    <row r="251" spans="6:7">
      <c r="F251">
        <v>251</v>
      </c>
      <c r="G251" cm="1">
        <f t="array" ref="G251">_xlfn.IFS(LEN(F251)=1, "00" &amp; F251, (LEN(F251))=2, "0" &amp; F251, (LEN(F251))&gt;=3, F251)</f>
        <v>251</v>
      </c>
    </row>
    <row r="252" spans="6:7">
      <c r="F252">
        <v>252</v>
      </c>
      <c r="G252" cm="1">
        <f t="array" ref="G252">_xlfn.IFS(LEN(F252)=1, "00" &amp; F252, (LEN(F252))=2, "0" &amp; F252, (LEN(F252))&gt;=3, F252)</f>
        <v>252</v>
      </c>
    </row>
    <row r="253" spans="6:7">
      <c r="F253">
        <v>253</v>
      </c>
      <c r="G253" cm="1">
        <f t="array" ref="G253">_xlfn.IFS(LEN(F253)=1, "00" &amp; F253, (LEN(F253))=2, "0" &amp; F253, (LEN(F253))&gt;=3, F253)</f>
        <v>253</v>
      </c>
    </row>
    <row r="254" spans="6:7">
      <c r="F254">
        <v>254</v>
      </c>
      <c r="G254" cm="1">
        <f t="array" ref="G254">_xlfn.IFS(LEN(F254)=1, "00" &amp; F254, (LEN(F254))=2, "0" &amp; F254, (LEN(F254))&gt;=3, F254)</f>
        <v>254</v>
      </c>
    </row>
    <row r="255" spans="6:7">
      <c r="F255">
        <v>255</v>
      </c>
      <c r="G255" cm="1">
        <f t="array" ref="G255">_xlfn.IFS(LEN(F255)=1, "00" &amp; F255, (LEN(F255))=2, "0" &amp; F255, (LEN(F255))&gt;=3, F255)</f>
        <v>255</v>
      </c>
    </row>
    <row r="256" spans="6:7">
      <c r="F256">
        <v>256</v>
      </c>
      <c r="G256" cm="1">
        <f t="array" ref="G256">_xlfn.IFS(LEN(F256)=1, "00" &amp; F256, (LEN(F256))=2, "0" &amp; F256, (LEN(F256))&gt;=3, F256)</f>
        <v>256</v>
      </c>
    </row>
    <row r="257" spans="6:7">
      <c r="F257">
        <v>257</v>
      </c>
      <c r="G257" cm="1">
        <f t="array" ref="G257">_xlfn.IFS(LEN(F257)=1, "00" &amp; F257, (LEN(F257))=2, "0" &amp; F257, (LEN(F257))&gt;=3, F257)</f>
        <v>257</v>
      </c>
    </row>
    <row r="258" spans="6:7">
      <c r="F258">
        <v>258</v>
      </c>
      <c r="G258" cm="1">
        <f t="array" ref="G258">_xlfn.IFS(LEN(F258)=1, "00" &amp; F258, (LEN(F258))=2, "0" &amp; F258, (LEN(F258))&gt;=3, F258)</f>
        <v>258</v>
      </c>
    </row>
    <row r="259" spans="6:7">
      <c r="F259">
        <v>259</v>
      </c>
      <c r="G259" cm="1">
        <f t="array" ref="G259">_xlfn.IFS(LEN(F259)=1, "00" &amp; F259, (LEN(F259))=2, "0" &amp; F259, (LEN(F259))&gt;=3, F259)</f>
        <v>259</v>
      </c>
    </row>
    <row r="260" spans="6:7">
      <c r="F260">
        <v>260</v>
      </c>
      <c r="G260" cm="1">
        <f t="array" ref="G260">_xlfn.IFS(LEN(F260)=1, "00" &amp; F260, (LEN(F260))=2, "0" &amp; F260, (LEN(F260))&gt;=3, F260)</f>
        <v>260</v>
      </c>
    </row>
    <row r="261" spans="6:7">
      <c r="F261">
        <v>261</v>
      </c>
      <c r="G261" cm="1">
        <f t="array" ref="G261">_xlfn.IFS(LEN(F261)=1, "00" &amp; F261, (LEN(F261))=2, "0" &amp; F261, (LEN(F261))&gt;=3, F261)</f>
        <v>261</v>
      </c>
    </row>
    <row r="262" spans="6:7">
      <c r="F262">
        <v>262</v>
      </c>
      <c r="G262" cm="1">
        <f t="array" ref="G262">_xlfn.IFS(LEN(F262)=1, "00" &amp; F262, (LEN(F262))=2, "0" &amp; F262, (LEN(F262))&gt;=3, F262)</f>
        <v>262</v>
      </c>
    </row>
    <row r="263" spans="6:7">
      <c r="F263">
        <v>263</v>
      </c>
      <c r="G263" cm="1">
        <f t="array" ref="G263">_xlfn.IFS(LEN(F263)=1, "00" &amp; F263, (LEN(F263))=2, "0" &amp; F263, (LEN(F263))&gt;=3, F263)</f>
        <v>263</v>
      </c>
    </row>
    <row r="264" spans="6:7">
      <c r="F264">
        <v>264</v>
      </c>
      <c r="G264" cm="1">
        <f t="array" ref="G264">_xlfn.IFS(LEN(F264)=1, "00" &amp; F264, (LEN(F264))=2, "0" &amp; F264, (LEN(F264))&gt;=3, F264)</f>
        <v>264</v>
      </c>
    </row>
    <row r="265" spans="6:7">
      <c r="F265">
        <v>265</v>
      </c>
      <c r="G265" cm="1">
        <f t="array" ref="G265">_xlfn.IFS(LEN(F265)=1, "00" &amp; F265, (LEN(F265))=2, "0" &amp; F265, (LEN(F265))&gt;=3, F265)</f>
        <v>265</v>
      </c>
    </row>
    <row r="266" spans="6:7">
      <c r="F266">
        <v>266</v>
      </c>
      <c r="G266" cm="1">
        <f t="array" ref="G266">_xlfn.IFS(LEN(F266)=1, "00" &amp; F266, (LEN(F266))=2, "0" &amp; F266, (LEN(F266))&gt;=3, F266)</f>
        <v>266</v>
      </c>
    </row>
    <row r="267" spans="6:7">
      <c r="F267">
        <v>267</v>
      </c>
      <c r="G267" cm="1">
        <f t="array" ref="G267">_xlfn.IFS(LEN(F267)=1, "00" &amp; F267, (LEN(F267))=2, "0" &amp; F267, (LEN(F267))&gt;=3, F267)</f>
        <v>267</v>
      </c>
    </row>
    <row r="268" spans="6:7">
      <c r="F268">
        <v>268</v>
      </c>
      <c r="G268" cm="1">
        <f t="array" ref="G268">_xlfn.IFS(LEN(F268)=1, "00" &amp; F268, (LEN(F268))=2, "0" &amp; F268, (LEN(F268))&gt;=3, F268)</f>
        <v>268</v>
      </c>
    </row>
    <row r="269" spans="6:7">
      <c r="F269">
        <v>269</v>
      </c>
      <c r="G269" cm="1">
        <f t="array" ref="G269">_xlfn.IFS(LEN(F269)=1, "00" &amp; F269, (LEN(F269))=2, "0" &amp; F269, (LEN(F269))&gt;=3, F269)</f>
        <v>269</v>
      </c>
    </row>
    <row r="270" spans="6:7">
      <c r="F270">
        <v>270</v>
      </c>
      <c r="G270" cm="1">
        <f t="array" ref="G270">_xlfn.IFS(LEN(F270)=1, "00" &amp; F270, (LEN(F270))=2, "0" &amp; F270, (LEN(F270))&gt;=3, F270)</f>
        <v>270</v>
      </c>
    </row>
    <row r="271" spans="6:7">
      <c r="F271">
        <v>271</v>
      </c>
      <c r="G271" cm="1">
        <f t="array" ref="G271">_xlfn.IFS(LEN(F271)=1, "00" &amp; F271, (LEN(F271))=2, "0" &amp; F271, (LEN(F271))&gt;=3, F271)</f>
        <v>271</v>
      </c>
    </row>
    <row r="272" spans="6:7">
      <c r="F272">
        <v>272</v>
      </c>
      <c r="G272" cm="1">
        <f t="array" ref="G272">_xlfn.IFS(LEN(F272)=1, "00" &amp; F272, (LEN(F272))=2, "0" &amp; F272, (LEN(F272))&gt;=3, F272)</f>
        <v>272</v>
      </c>
    </row>
    <row r="273" spans="6:7">
      <c r="F273">
        <v>273</v>
      </c>
      <c r="G273" cm="1">
        <f t="array" ref="G273">_xlfn.IFS(LEN(F273)=1, "00" &amp; F273, (LEN(F273))=2, "0" &amp; F273, (LEN(F273))&gt;=3, F273)</f>
        <v>273</v>
      </c>
    </row>
    <row r="274" spans="6:7">
      <c r="F274">
        <v>274</v>
      </c>
      <c r="G274" cm="1">
        <f t="array" ref="G274">_xlfn.IFS(LEN(F274)=1, "00" &amp; F274, (LEN(F274))=2, "0" &amp; F274, (LEN(F274))&gt;=3, F274)</f>
        <v>274</v>
      </c>
    </row>
    <row r="275" spans="6:7">
      <c r="F275">
        <v>275</v>
      </c>
      <c r="G275" cm="1">
        <f t="array" ref="G275">_xlfn.IFS(LEN(F275)=1, "00" &amp; F275, (LEN(F275))=2, "0" &amp; F275, (LEN(F275))&gt;=3, F275)</f>
        <v>275</v>
      </c>
    </row>
    <row r="276" spans="6:7">
      <c r="F276">
        <v>276</v>
      </c>
      <c r="G276" cm="1">
        <f t="array" ref="G276">_xlfn.IFS(LEN(F276)=1, "00" &amp; F276, (LEN(F276))=2, "0" &amp; F276, (LEN(F276))&gt;=3, F276)</f>
        <v>276</v>
      </c>
    </row>
    <row r="277" spans="6:7">
      <c r="F277">
        <v>277</v>
      </c>
      <c r="G277" cm="1">
        <f t="array" ref="G277">_xlfn.IFS(LEN(F277)=1, "00" &amp; F277, (LEN(F277))=2, "0" &amp; F277, (LEN(F277))&gt;=3, F277)</f>
        <v>277</v>
      </c>
    </row>
    <row r="278" spans="6:7">
      <c r="F278">
        <v>278</v>
      </c>
      <c r="G278" cm="1">
        <f t="array" ref="G278">_xlfn.IFS(LEN(F278)=1, "00" &amp; F278, (LEN(F278))=2, "0" &amp; F278, (LEN(F278))&gt;=3, F278)</f>
        <v>278</v>
      </c>
    </row>
    <row r="279" spans="6:7">
      <c r="F279">
        <v>279</v>
      </c>
      <c r="G279" cm="1">
        <f t="array" ref="G279">_xlfn.IFS(LEN(F279)=1, "00" &amp; F279, (LEN(F279))=2, "0" &amp; F279, (LEN(F279))&gt;=3, F279)</f>
        <v>279</v>
      </c>
    </row>
    <row r="280" spans="6:7">
      <c r="F280">
        <v>280</v>
      </c>
      <c r="G280" cm="1">
        <f t="array" ref="G280">_xlfn.IFS(LEN(F280)=1, "00" &amp; F280, (LEN(F280))=2, "0" &amp; F280, (LEN(F280))&gt;=3, F280)</f>
        <v>280</v>
      </c>
    </row>
    <row r="281" spans="6:7">
      <c r="F281">
        <v>281</v>
      </c>
      <c r="G281" cm="1">
        <f t="array" ref="G281">_xlfn.IFS(LEN(F281)=1, "00" &amp; F281, (LEN(F281))=2, "0" &amp; F281, (LEN(F281))&gt;=3, F281)</f>
        <v>281</v>
      </c>
    </row>
    <row r="282" spans="6:7">
      <c r="F282">
        <v>282</v>
      </c>
      <c r="G282" cm="1">
        <f t="array" ref="G282">_xlfn.IFS(LEN(F282)=1, "00" &amp; F282, (LEN(F282))=2, "0" &amp; F282, (LEN(F282))&gt;=3, F282)</f>
        <v>282</v>
      </c>
    </row>
    <row r="283" spans="6:7">
      <c r="F283">
        <v>283</v>
      </c>
      <c r="G283" cm="1">
        <f t="array" ref="G283">_xlfn.IFS(LEN(F283)=1, "00" &amp; F283, (LEN(F283))=2, "0" &amp; F283, (LEN(F283))&gt;=3, F283)</f>
        <v>283</v>
      </c>
    </row>
    <row r="284" spans="6:7">
      <c r="F284">
        <v>284</v>
      </c>
      <c r="G284" cm="1">
        <f t="array" ref="G284">_xlfn.IFS(LEN(F284)=1, "00" &amp; F284, (LEN(F284))=2, "0" &amp; F284, (LEN(F284))&gt;=3, F284)</f>
        <v>284</v>
      </c>
    </row>
    <row r="285" spans="6:7">
      <c r="F285">
        <v>285</v>
      </c>
      <c r="G285" cm="1">
        <f t="array" ref="G285">_xlfn.IFS(LEN(F285)=1, "00" &amp; F285, (LEN(F285))=2, "0" &amp; F285, (LEN(F285))&gt;=3, F285)</f>
        <v>285</v>
      </c>
    </row>
    <row r="286" spans="6:7">
      <c r="F286">
        <v>286</v>
      </c>
      <c r="G286" cm="1">
        <f t="array" ref="G286">_xlfn.IFS(LEN(F286)=1, "00" &amp; F286, (LEN(F286))=2, "0" &amp; F286, (LEN(F286))&gt;=3, F286)</f>
        <v>286</v>
      </c>
    </row>
    <row r="287" spans="6:7">
      <c r="F287">
        <v>287</v>
      </c>
      <c r="G287" cm="1">
        <f t="array" ref="G287">_xlfn.IFS(LEN(F287)=1, "00" &amp; F287, (LEN(F287))=2, "0" &amp; F287, (LEN(F287))&gt;=3, F287)</f>
        <v>287</v>
      </c>
    </row>
    <row r="288" spans="6:7">
      <c r="F288">
        <v>288</v>
      </c>
      <c r="G288" cm="1">
        <f t="array" ref="G288">_xlfn.IFS(LEN(F288)=1, "00" &amp; F288, (LEN(F288))=2, "0" &amp; F288, (LEN(F288))&gt;=3, F288)</f>
        <v>288</v>
      </c>
    </row>
    <row r="289" spans="6:7">
      <c r="F289">
        <v>289</v>
      </c>
      <c r="G289" cm="1">
        <f t="array" ref="G289">_xlfn.IFS(LEN(F289)=1, "00" &amp; F289, (LEN(F289))=2, "0" &amp; F289, (LEN(F289))&gt;=3, F289)</f>
        <v>289</v>
      </c>
    </row>
    <row r="290" spans="6:7">
      <c r="F290">
        <v>290</v>
      </c>
      <c r="G290" cm="1">
        <f t="array" ref="G290">_xlfn.IFS(LEN(F290)=1, "00" &amp; F290, (LEN(F290))=2, "0" &amp; F290, (LEN(F290))&gt;=3, F290)</f>
        <v>290</v>
      </c>
    </row>
    <row r="291" spans="6:7">
      <c r="F291">
        <v>291</v>
      </c>
      <c r="G291" cm="1">
        <f t="array" ref="G291">_xlfn.IFS(LEN(F291)=1, "00" &amp; F291, (LEN(F291))=2, "0" &amp; F291, (LEN(F291))&gt;=3, F291)</f>
        <v>291</v>
      </c>
    </row>
    <row r="292" spans="6:7">
      <c r="F292">
        <v>292</v>
      </c>
      <c r="G292" cm="1">
        <f t="array" ref="G292">_xlfn.IFS(LEN(F292)=1, "00" &amp; F292, (LEN(F292))=2, "0" &amp; F292, (LEN(F292))&gt;=3, F292)</f>
        <v>292</v>
      </c>
    </row>
    <row r="293" spans="6:7">
      <c r="F293">
        <v>293</v>
      </c>
      <c r="G293" cm="1">
        <f t="array" ref="G293">_xlfn.IFS(LEN(F293)=1, "00" &amp; F293, (LEN(F293))=2, "0" &amp; F293, (LEN(F293))&gt;=3, F293)</f>
        <v>293</v>
      </c>
    </row>
    <row r="294" spans="6:7">
      <c r="F294">
        <v>294</v>
      </c>
      <c r="G294" cm="1">
        <f t="array" ref="G294">_xlfn.IFS(LEN(F294)=1, "00" &amp; F294, (LEN(F294))=2, "0" &amp; F294, (LEN(F294))&gt;=3, F294)</f>
        <v>294</v>
      </c>
    </row>
    <row r="295" spans="6:7">
      <c r="F295">
        <v>295</v>
      </c>
      <c r="G295" cm="1">
        <f t="array" ref="G295">_xlfn.IFS(LEN(F295)=1, "00" &amp; F295, (LEN(F295))=2, "0" &amp; F295, (LEN(F295))&gt;=3, F295)</f>
        <v>295</v>
      </c>
    </row>
    <row r="296" spans="6:7">
      <c r="F296">
        <v>296</v>
      </c>
      <c r="G296" cm="1">
        <f t="array" ref="G296">_xlfn.IFS(LEN(F296)=1, "00" &amp; F296, (LEN(F296))=2, "0" &amp; F296, (LEN(F296))&gt;=3, F296)</f>
        <v>296</v>
      </c>
    </row>
    <row r="297" spans="6:7">
      <c r="F297">
        <v>297</v>
      </c>
      <c r="G297" cm="1">
        <f t="array" ref="G297">_xlfn.IFS(LEN(F297)=1, "00" &amp; F297, (LEN(F297))=2, "0" &amp; F297, (LEN(F297))&gt;=3, F297)</f>
        <v>297</v>
      </c>
    </row>
    <row r="298" spans="6:7">
      <c r="F298">
        <v>298</v>
      </c>
      <c r="G298" cm="1">
        <f t="array" ref="G298">_xlfn.IFS(LEN(F298)=1, "00" &amp; F298, (LEN(F298))=2, "0" &amp; F298, (LEN(F298))&gt;=3, F298)</f>
        <v>298</v>
      </c>
    </row>
    <row r="299" spans="6:7">
      <c r="F299">
        <v>299</v>
      </c>
      <c r="G299" cm="1">
        <f t="array" ref="G299">_xlfn.IFS(LEN(F299)=1, "00" &amp; F299, (LEN(F299))=2, "0" &amp; F299, (LEN(F299))&gt;=3, F299)</f>
        <v>299</v>
      </c>
    </row>
    <row r="300" spans="6:7">
      <c r="F300">
        <v>300</v>
      </c>
      <c r="G300" cm="1">
        <f t="array" ref="G300">_xlfn.IFS(LEN(F300)=1, "00" &amp; F300, (LEN(F300))=2, "0" &amp; F300, (LEN(F300))&gt;=3, F300)</f>
        <v>300</v>
      </c>
    </row>
    <row r="301" spans="6:7">
      <c r="F301">
        <v>301</v>
      </c>
      <c r="G301" cm="1">
        <f t="array" ref="G301">_xlfn.IFS(LEN(F301)=1, "00" &amp; F301, (LEN(F301))=2, "0" &amp; F301, (LEN(F301))&gt;=3, F301)</f>
        <v>301</v>
      </c>
    </row>
    <row r="302" spans="6:7">
      <c r="F302">
        <v>302</v>
      </c>
      <c r="G302" cm="1">
        <f t="array" ref="G302">_xlfn.IFS(LEN(F302)=1, "00" &amp; F302, (LEN(F302))=2, "0" &amp; F302, (LEN(F302))&gt;=3, F302)</f>
        <v>302</v>
      </c>
    </row>
    <row r="303" spans="6:7">
      <c r="F303">
        <v>303</v>
      </c>
      <c r="G303" cm="1">
        <f t="array" ref="G303">_xlfn.IFS(LEN(F303)=1, "00" &amp; F303, (LEN(F303))=2, "0" &amp; F303, (LEN(F303))&gt;=3, F303)</f>
        <v>303</v>
      </c>
    </row>
    <row r="304" spans="6:7">
      <c r="F304">
        <v>304</v>
      </c>
      <c r="G304" cm="1">
        <f t="array" ref="G304">_xlfn.IFS(LEN(F304)=1, "00" &amp; F304, (LEN(F304))=2, "0" &amp; F304, (LEN(F304))&gt;=3, F304)</f>
        <v>304</v>
      </c>
    </row>
    <row r="305" spans="6:7">
      <c r="F305">
        <v>305</v>
      </c>
      <c r="G305" cm="1">
        <f t="array" ref="G305">_xlfn.IFS(LEN(F305)=1, "00" &amp; F305, (LEN(F305))=2, "0" &amp; F305, (LEN(F305))&gt;=3, F305)</f>
        <v>305</v>
      </c>
    </row>
    <row r="306" spans="6:7">
      <c r="F306">
        <v>306</v>
      </c>
      <c r="G306" cm="1">
        <f t="array" ref="G306">_xlfn.IFS(LEN(F306)=1, "00" &amp; F306, (LEN(F306))=2, "0" &amp; F306, (LEN(F306))&gt;=3, F306)</f>
        <v>306</v>
      </c>
    </row>
    <row r="307" spans="6:7">
      <c r="F307">
        <v>307</v>
      </c>
      <c r="G307" cm="1">
        <f t="array" ref="G307">_xlfn.IFS(LEN(F307)=1, "00" &amp; F307, (LEN(F307))=2, "0" &amp; F307, (LEN(F307))&gt;=3, F307)</f>
        <v>307</v>
      </c>
    </row>
    <row r="308" spans="6:7">
      <c r="F308">
        <v>308</v>
      </c>
      <c r="G308" cm="1">
        <f t="array" ref="G308">_xlfn.IFS(LEN(F308)=1, "00" &amp; F308, (LEN(F308))=2, "0" &amp; F308, (LEN(F308))&gt;=3, F308)</f>
        <v>308</v>
      </c>
    </row>
    <row r="309" spans="6:7">
      <c r="F309">
        <v>309</v>
      </c>
      <c r="G309" cm="1">
        <f t="array" ref="G309">_xlfn.IFS(LEN(F309)=1, "00" &amp; F309, (LEN(F309))=2, "0" &amp; F309, (LEN(F309))&gt;=3, F309)</f>
        <v>309</v>
      </c>
    </row>
    <row r="310" spans="6:7">
      <c r="F310">
        <v>310</v>
      </c>
      <c r="G310" cm="1">
        <f t="array" ref="G310">_xlfn.IFS(LEN(F310)=1, "00" &amp; F310, (LEN(F310))=2, "0" &amp; F310, (LEN(F310))&gt;=3, F310)</f>
        <v>310</v>
      </c>
    </row>
    <row r="311" spans="6:7">
      <c r="F311">
        <v>311</v>
      </c>
      <c r="G311" cm="1">
        <f t="array" ref="G311">_xlfn.IFS(LEN(F311)=1, "00" &amp; F311, (LEN(F311))=2, "0" &amp; F311, (LEN(F311))&gt;=3, F311)</f>
        <v>311</v>
      </c>
    </row>
    <row r="312" spans="6:7">
      <c r="F312">
        <v>312</v>
      </c>
      <c r="G312" cm="1">
        <f t="array" ref="G312">_xlfn.IFS(LEN(F312)=1, "00" &amp; F312, (LEN(F312))=2, "0" &amp; F312, (LEN(F312))&gt;=3, F312)</f>
        <v>312</v>
      </c>
    </row>
    <row r="313" spans="6:7">
      <c r="F313">
        <v>313</v>
      </c>
      <c r="G313" cm="1">
        <f t="array" ref="G313">_xlfn.IFS(LEN(F313)=1, "00" &amp; F313, (LEN(F313))=2, "0" &amp; F313, (LEN(F313))&gt;=3, F313)</f>
        <v>313</v>
      </c>
    </row>
    <row r="314" spans="6:7">
      <c r="F314">
        <v>314</v>
      </c>
      <c r="G314" cm="1">
        <f t="array" ref="G314">_xlfn.IFS(LEN(F314)=1, "00" &amp; F314, (LEN(F314))=2, "0" &amp; F314, (LEN(F314))&gt;=3, F314)</f>
        <v>314</v>
      </c>
    </row>
    <row r="315" spans="6:7">
      <c r="F315">
        <v>315</v>
      </c>
      <c r="G315" cm="1">
        <f t="array" ref="G315">_xlfn.IFS(LEN(F315)=1, "00" &amp; F315, (LEN(F315))=2, "0" &amp; F315, (LEN(F315))&gt;=3, F315)</f>
        <v>315</v>
      </c>
    </row>
    <row r="316" spans="6:7">
      <c r="F316">
        <v>316</v>
      </c>
      <c r="G316" cm="1">
        <f t="array" ref="G316">_xlfn.IFS(LEN(F316)=1, "00" &amp; F316, (LEN(F316))=2, "0" &amp; F316, (LEN(F316))&gt;=3, F316)</f>
        <v>316</v>
      </c>
    </row>
    <row r="317" spans="6:7">
      <c r="F317">
        <v>317</v>
      </c>
      <c r="G317" cm="1">
        <f t="array" ref="G317">_xlfn.IFS(LEN(F317)=1, "00" &amp; F317, (LEN(F317))=2, "0" &amp; F317, (LEN(F317))&gt;=3, F317)</f>
        <v>317</v>
      </c>
    </row>
    <row r="318" spans="6:7">
      <c r="F318">
        <v>318</v>
      </c>
      <c r="G318" cm="1">
        <f t="array" ref="G318">_xlfn.IFS(LEN(F318)=1, "00" &amp; F318, (LEN(F318))=2, "0" &amp; F318, (LEN(F318))&gt;=3, F318)</f>
        <v>318</v>
      </c>
    </row>
    <row r="319" spans="6:7">
      <c r="F319">
        <v>319</v>
      </c>
      <c r="G319" cm="1">
        <f t="array" ref="G319">_xlfn.IFS(LEN(F319)=1, "00" &amp; F319, (LEN(F319))=2, "0" &amp; F319, (LEN(F319))&gt;=3, F319)</f>
        <v>319</v>
      </c>
    </row>
    <row r="320" spans="6:7">
      <c r="F320">
        <v>320</v>
      </c>
      <c r="G320" cm="1">
        <f t="array" ref="G320">_xlfn.IFS(LEN(F320)=1, "00" &amp; F320, (LEN(F320))=2, "0" &amp; F320, (LEN(F320))&gt;=3, F320)</f>
        <v>320</v>
      </c>
    </row>
    <row r="321" spans="6:7">
      <c r="F321">
        <v>321</v>
      </c>
      <c r="G321" cm="1">
        <f t="array" ref="G321">_xlfn.IFS(LEN(F321)=1, "00" &amp; F321, (LEN(F321))=2, "0" &amp; F321, (LEN(F321))&gt;=3, F321)</f>
        <v>321</v>
      </c>
    </row>
    <row r="322" spans="6:7">
      <c r="F322">
        <v>322</v>
      </c>
      <c r="G322" cm="1">
        <f t="array" ref="G322">_xlfn.IFS(LEN(F322)=1, "00" &amp; F322, (LEN(F322))=2, "0" &amp; F322, (LEN(F322))&gt;=3, F322)</f>
        <v>322</v>
      </c>
    </row>
    <row r="323" spans="6:7">
      <c r="F323">
        <v>323</v>
      </c>
      <c r="G323" cm="1">
        <f t="array" ref="G323">_xlfn.IFS(LEN(F323)=1, "00" &amp; F323, (LEN(F323))=2, "0" &amp; F323, (LEN(F323))&gt;=3, F323)</f>
        <v>323</v>
      </c>
    </row>
    <row r="324" spans="6:7">
      <c r="F324">
        <v>324</v>
      </c>
      <c r="G324" cm="1">
        <f t="array" ref="G324">_xlfn.IFS(LEN(F324)=1, "00" &amp; F324, (LEN(F324))=2, "0" &amp; F324, (LEN(F324))&gt;=3, F324)</f>
        <v>324</v>
      </c>
    </row>
    <row r="325" spans="6:7">
      <c r="F325">
        <v>325</v>
      </c>
      <c r="G325" cm="1">
        <f t="array" ref="G325">_xlfn.IFS(LEN(F325)=1, "00" &amp; F325, (LEN(F325))=2, "0" &amp; F325, (LEN(F325))&gt;=3, F325)</f>
        <v>325</v>
      </c>
    </row>
    <row r="326" spans="6:7">
      <c r="F326">
        <v>326</v>
      </c>
      <c r="G326" cm="1">
        <f t="array" ref="G326">_xlfn.IFS(LEN(F326)=1, "00" &amp; F326, (LEN(F326))=2, "0" &amp; F326, (LEN(F326))&gt;=3, F326)</f>
        <v>326</v>
      </c>
    </row>
    <row r="327" spans="6:7">
      <c r="F327">
        <v>327</v>
      </c>
      <c r="G327" cm="1">
        <f t="array" ref="G327">_xlfn.IFS(LEN(F327)=1, "00" &amp; F327, (LEN(F327))=2, "0" &amp; F327, (LEN(F327))&gt;=3, F327)</f>
        <v>327</v>
      </c>
    </row>
    <row r="328" spans="6:7">
      <c r="F328">
        <v>328</v>
      </c>
      <c r="G328" cm="1">
        <f t="array" ref="G328">_xlfn.IFS(LEN(F328)=1, "00" &amp; F328, (LEN(F328))=2, "0" &amp; F328, (LEN(F328))&gt;=3, F328)</f>
        <v>328</v>
      </c>
    </row>
    <row r="329" spans="6:7">
      <c r="F329">
        <v>329</v>
      </c>
      <c r="G329" cm="1">
        <f t="array" ref="G329">_xlfn.IFS(LEN(F329)=1, "00" &amp; F329, (LEN(F329))=2, "0" &amp; F329, (LEN(F329))&gt;=3, F329)</f>
        <v>329</v>
      </c>
    </row>
    <row r="330" spans="6:7">
      <c r="F330">
        <v>330</v>
      </c>
      <c r="G330" cm="1">
        <f t="array" ref="G330">_xlfn.IFS(LEN(F330)=1, "00" &amp; F330, (LEN(F330))=2, "0" &amp; F330, (LEN(F330))&gt;=3, F330)</f>
        <v>330</v>
      </c>
    </row>
    <row r="331" spans="6:7">
      <c r="F331">
        <v>331</v>
      </c>
      <c r="G331" cm="1">
        <f t="array" ref="G331">_xlfn.IFS(LEN(F331)=1, "00" &amp; F331, (LEN(F331))=2, "0" &amp; F331, (LEN(F331))&gt;=3, F331)</f>
        <v>331</v>
      </c>
    </row>
    <row r="332" spans="6:7">
      <c r="F332">
        <v>332</v>
      </c>
      <c r="G332" cm="1">
        <f t="array" ref="G332">_xlfn.IFS(LEN(F332)=1, "00" &amp; F332, (LEN(F332))=2, "0" &amp; F332, (LEN(F332))&gt;=3, F332)</f>
        <v>332</v>
      </c>
    </row>
    <row r="333" spans="6:7">
      <c r="F333">
        <v>333</v>
      </c>
      <c r="G333" cm="1">
        <f t="array" ref="G333">_xlfn.IFS(LEN(F333)=1, "00" &amp; F333, (LEN(F333))=2, "0" &amp; F333, (LEN(F333))&gt;=3, F333)</f>
        <v>333</v>
      </c>
    </row>
    <row r="334" spans="6:7">
      <c r="F334">
        <v>334</v>
      </c>
      <c r="G334" cm="1">
        <f t="array" ref="G334">_xlfn.IFS(LEN(F334)=1, "00" &amp; F334, (LEN(F334))=2, "0" &amp; F334, (LEN(F334))&gt;=3, F334)</f>
        <v>334</v>
      </c>
    </row>
    <row r="335" spans="6:7">
      <c r="F335">
        <v>335</v>
      </c>
      <c r="G335" cm="1">
        <f t="array" ref="G335">_xlfn.IFS(LEN(F335)=1, "00" &amp; F335, (LEN(F335))=2, "0" &amp; F335, (LEN(F335))&gt;=3, F335)</f>
        <v>335</v>
      </c>
    </row>
    <row r="336" spans="6:7">
      <c r="F336">
        <v>336</v>
      </c>
      <c r="G336" cm="1">
        <f t="array" ref="G336">_xlfn.IFS(LEN(F336)=1, "00" &amp; F336, (LEN(F336))=2, "0" &amp; F336, (LEN(F336))&gt;=3, F336)</f>
        <v>336</v>
      </c>
    </row>
    <row r="337" spans="6:7">
      <c r="F337">
        <v>337</v>
      </c>
      <c r="G337" cm="1">
        <f t="array" ref="G337">_xlfn.IFS(LEN(F337)=1, "00" &amp; F337, (LEN(F337))=2, "0" &amp; F337, (LEN(F337))&gt;=3, F337)</f>
        <v>337</v>
      </c>
    </row>
    <row r="338" spans="6:7">
      <c r="F338">
        <v>338</v>
      </c>
      <c r="G338" cm="1">
        <f t="array" ref="G338">_xlfn.IFS(LEN(F338)=1, "00" &amp; F338, (LEN(F338))=2, "0" &amp; F338, (LEN(F338))&gt;=3, F338)</f>
        <v>338</v>
      </c>
    </row>
    <row r="339" spans="6:7">
      <c r="F339">
        <v>339</v>
      </c>
      <c r="G339" cm="1">
        <f t="array" ref="G339">_xlfn.IFS(LEN(F339)=1, "00" &amp; F339, (LEN(F339))=2, "0" &amp; F339, (LEN(F339))&gt;=3, F339)</f>
        <v>339</v>
      </c>
    </row>
    <row r="340" spans="6:7">
      <c r="F340">
        <v>340</v>
      </c>
      <c r="G340" cm="1">
        <f t="array" ref="G340">_xlfn.IFS(LEN(F340)=1, "00" &amp; F340, (LEN(F340))=2, "0" &amp; F340, (LEN(F340))&gt;=3, F340)</f>
        <v>340</v>
      </c>
    </row>
    <row r="341" spans="6:7">
      <c r="F341">
        <v>341</v>
      </c>
      <c r="G341" cm="1">
        <f t="array" ref="G341">_xlfn.IFS(LEN(F341)=1, "00" &amp; F341, (LEN(F341))=2, "0" &amp; F341, (LEN(F341))&gt;=3, F341)</f>
        <v>341</v>
      </c>
    </row>
    <row r="342" spans="6:7">
      <c r="F342">
        <v>342</v>
      </c>
      <c r="G342" cm="1">
        <f t="array" ref="G342">_xlfn.IFS(LEN(F342)=1, "00" &amp; F342, (LEN(F342))=2, "0" &amp; F342, (LEN(F342))&gt;=3, F342)</f>
        <v>342</v>
      </c>
    </row>
    <row r="343" spans="6:7">
      <c r="F343">
        <v>343</v>
      </c>
      <c r="G343" cm="1">
        <f t="array" ref="G343">_xlfn.IFS(LEN(F343)=1, "00" &amp; F343, (LEN(F343))=2, "0" &amp; F343, (LEN(F343))&gt;=3, F343)</f>
        <v>343</v>
      </c>
    </row>
    <row r="344" spans="6:7">
      <c r="F344">
        <v>344</v>
      </c>
      <c r="G344" cm="1">
        <f t="array" ref="G344">_xlfn.IFS(LEN(F344)=1, "00" &amp; F344, (LEN(F344))=2, "0" &amp; F344, (LEN(F344))&gt;=3, F344)</f>
        <v>344</v>
      </c>
    </row>
    <row r="345" spans="6:7">
      <c r="F345">
        <v>345</v>
      </c>
      <c r="G345" cm="1">
        <f t="array" ref="G345">_xlfn.IFS(LEN(F345)=1, "00" &amp; F345, (LEN(F345))=2, "0" &amp; F345, (LEN(F345))&gt;=3, F345)</f>
        <v>345</v>
      </c>
    </row>
    <row r="346" spans="6:7">
      <c r="F346">
        <v>346</v>
      </c>
      <c r="G346" cm="1">
        <f t="array" ref="G346">_xlfn.IFS(LEN(F346)=1, "00" &amp; F346, (LEN(F346))=2, "0" &amp; F346, (LEN(F346))&gt;=3, F346)</f>
        <v>346</v>
      </c>
    </row>
    <row r="347" spans="6:7">
      <c r="F347">
        <v>347</v>
      </c>
      <c r="G347" cm="1">
        <f t="array" ref="G347">_xlfn.IFS(LEN(F347)=1, "00" &amp; F347, (LEN(F347))=2, "0" &amp; F347, (LEN(F347))&gt;=3, F347)</f>
        <v>347</v>
      </c>
    </row>
    <row r="348" spans="6:7">
      <c r="F348">
        <v>348</v>
      </c>
      <c r="G348" cm="1">
        <f t="array" ref="G348">_xlfn.IFS(LEN(F348)=1, "00" &amp; F348, (LEN(F348))=2, "0" &amp; F348, (LEN(F348))&gt;=3, F348)</f>
        <v>348</v>
      </c>
    </row>
    <row r="349" spans="6:7">
      <c r="F349">
        <v>349</v>
      </c>
      <c r="G349" cm="1">
        <f t="array" ref="G349">_xlfn.IFS(LEN(F349)=1, "00" &amp; F349, (LEN(F349))=2, "0" &amp; F349, (LEN(F349))&gt;=3, F349)</f>
        <v>349</v>
      </c>
    </row>
    <row r="350" spans="6:7">
      <c r="F350">
        <v>350</v>
      </c>
      <c r="G350" cm="1">
        <f t="array" ref="G350">_xlfn.IFS(LEN(F350)=1, "00" &amp; F350, (LEN(F350))=2, "0" &amp; F350, (LEN(F350))&gt;=3, F350)</f>
        <v>350</v>
      </c>
    </row>
    <row r="351" spans="6:7">
      <c r="F351">
        <v>351</v>
      </c>
      <c r="G351" cm="1">
        <f t="array" ref="G351">_xlfn.IFS(LEN(F351)=1, "00" &amp; F351, (LEN(F351))=2, "0" &amp; F351, (LEN(F351))&gt;=3, F351)</f>
        <v>351</v>
      </c>
    </row>
    <row r="352" spans="6:7">
      <c r="F352">
        <v>352</v>
      </c>
      <c r="G352" cm="1">
        <f t="array" ref="G352">_xlfn.IFS(LEN(F352)=1, "00" &amp; F352, (LEN(F352))=2, "0" &amp; F352, (LEN(F352))&gt;=3, F352)</f>
        <v>352</v>
      </c>
    </row>
    <row r="353" spans="6:7">
      <c r="F353">
        <v>353</v>
      </c>
      <c r="G353" cm="1">
        <f t="array" ref="G353">_xlfn.IFS(LEN(F353)=1, "00" &amp; F353, (LEN(F353))=2, "0" &amp; F353, (LEN(F353))&gt;=3, F353)</f>
        <v>353</v>
      </c>
    </row>
    <row r="354" spans="6:7">
      <c r="F354">
        <v>354</v>
      </c>
      <c r="G354" cm="1">
        <f t="array" ref="G354">_xlfn.IFS(LEN(F354)=1, "00" &amp; F354, (LEN(F354))=2, "0" &amp; F354, (LEN(F354))&gt;=3, F354)</f>
        <v>354</v>
      </c>
    </row>
    <row r="355" spans="6:7">
      <c r="F355">
        <v>355</v>
      </c>
      <c r="G355" cm="1">
        <f t="array" ref="G355">_xlfn.IFS(LEN(F355)=1, "00" &amp; F355, (LEN(F355))=2, "0" &amp; F355, (LEN(F355))&gt;=3, F355)</f>
        <v>355</v>
      </c>
    </row>
    <row r="356" spans="6:7">
      <c r="F356">
        <v>356</v>
      </c>
      <c r="G356" cm="1">
        <f t="array" ref="G356">_xlfn.IFS(LEN(F356)=1, "00" &amp; F356, (LEN(F356))=2, "0" &amp; F356, (LEN(F356))&gt;=3, F356)</f>
        <v>356</v>
      </c>
    </row>
    <row r="357" spans="6:7">
      <c r="F357">
        <v>357</v>
      </c>
      <c r="G357" cm="1">
        <f t="array" ref="G357">_xlfn.IFS(LEN(F357)=1, "00" &amp; F357, (LEN(F357))=2, "0" &amp; F357, (LEN(F357))&gt;=3, F357)</f>
        <v>357</v>
      </c>
    </row>
    <row r="358" spans="6:7">
      <c r="F358">
        <v>358</v>
      </c>
      <c r="G358" cm="1">
        <f t="array" ref="G358">_xlfn.IFS(LEN(F358)=1, "00" &amp; F358, (LEN(F358))=2, "0" &amp; F358, (LEN(F358))&gt;=3, F358)</f>
        <v>358</v>
      </c>
    </row>
    <row r="359" spans="6:7">
      <c r="F359">
        <v>359</v>
      </c>
      <c r="G359" cm="1">
        <f t="array" ref="G359">_xlfn.IFS(LEN(F359)=1, "00" &amp; F359, (LEN(F359))=2, "0" &amp; F359, (LEN(F359))&gt;=3, F359)</f>
        <v>359</v>
      </c>
    </row>
    <row r="360" spans="6:7">
      <c r="F360">
        <v>360</v>
      </c>
      <c r="G360" cm="1">
        <f t="array" ref="G360">_xlfn.IFS(LEN(F360)=1, "00" &amp; F360, (LEN(F360))=2, "0" &amp; F360, (LEN(F360))&gt;=3, F360)</f>
        <v>360</v>
      </c>
    </row>
    <row r="361" spans="6:7">
      <c r="F361">
        <v>361</v>
      </c>
      <c r="G361" cm="1">
        <f t="array" ref="G361">_xlfn.IFS(LEN(F361)=1, "00" &amp; F361, (LEN(F361))=2, "0" &amp; F361, (LEN(F361))&gt;=3, F361)</f>
        <v>361</v>
      </c>
    </row>
    <row r="362" spans="6:7">
      <c r="F362">
        <v>362</v>
      </c>
      <c r="G362" cm="1">
        <f t="array" ref="G362">_xlfn.IFS(LEN(F362)=1, "00" &amp; F362, (LEN(F362))=2, "0" &amp; F362, (LEN(F362))&gt;=3, F362)</f>
        <v>362</v>
      </c>
    </row>
    <row r="363" spans="6:7">
      <c r="F363">
        <v>363</v>
      </c>
      <c r="G363" cm="1">
        <f t="array" ref="G363">_xlfn.IFS(LEN(F363)=1, "00" &amp; F363, (LEN(F363))=2, "0" &amp; F363, (LEN(F363))&gt;=3, F363)</f>
        <v>363</v>
      </c>
    </row>
    <row r="364" spans="6:7">
      <c r="F364">
        <v>364</v>
      </c>
      <c r="G364" cm="1">
        <f t="array" ref="G364">_xlfn.IFS(LEN(F364)=1, "00" &amp; F364, (LEN(F364))=2, "0" &amp; F364, (LEN(F364))&gt;=3, F364)</f>
        <v>364</v>
      </c>
    </row>
    <row r="365" spans="6:7">
      <c r="F365">
        <v>365</v>
      </c>
      <c r="G365" cm="1">
        <f t="array" ref="G365">_xlfn.IFS(LEN(F365)=1, "00" &amp; F365, (LEN(F365))=2, "0" &amp; F365, (LEN(F365))&gt;=3, F365)</f>
        <v>365</v>
      </c>
    </row>
    <row r="366" spans="6:7">
      <c r="F366">
        <v>366</v>
      </c>
      <c r="G366" cm="1">
        <f t="array" ref="G366">_xlfn.IFS(LEN(F366)=1, "00" &amp; F366, (LEN(F366))=2, "0" &amp; F366, (LEN(F366))&gt;=3, F366)</f>
        <v>366</v>
      </c>
    </row>
    <row r="367" spans="6:7">
      <c r="F367">
        <v>367</v>
      </c>
      <c r="G367" cm="1">
        <f t="array" ref="G367">_xlfn.IFS(LEN(F367)=1, "00" &amp; F367, (LEN(F367))=2, "0" &amp; F367, (LEN(F367))&gt;=3, F367)</f>
        <v>367</v>
      </c>
    </row>
    <row r="368" spans="6:7">
      <c r="F368">
        <v>368</v>
      </c>
      <c r="G368" cm="1">
        <f t="array" ref="G368">_xlfn.IFS(LEN(F368)=1, "00" &amp; F368, (LEN(F368))=2, "0" &amp; F368, (LEN(F368))&gt;=3, F368)</f>
        <v>368</v>
      </c>
    </row>
    <row r="369" spans="6:7">
      <c r="F369">
        <v>369</v>
      </c>
      <c r="G369" cm="1">
        <f t="array" ref="G369">_xlfn.IFS(LEN(F369)=1, "00" &amp; F369, (LEN(F369))=2, "0" &amp; F369, (LEN(F369))&gt;=3, F369)</f>
        <v>369</v>
      </c>
    </row>
    <row r="370" spans="6:7">
      <c r="F370">
        <v>370</v>
      </c>
      <c r="G370" cm="1">
        <f t="array" ref="G370">_xlfn.IFS(LEN(F370)=1, "00" &amp; F370, (LEN(F370))=2, "0" &amp; F370, (LEN(F370))&gt;=3, F370)</f>
        <v>370</v>
      </c>
    </row>
    <row r="371" spans="6:7">
      <c r="F371">
        <v>371</v>
      </c>
      <c r="G371" cm="1">
        <f t="array" ref="G371">_xlfn.IFS(LEN(F371)=1, "00" &amp; F371, (LEN(F371))=2, "0" &amp; F371, (LEN(F371))&gt;=3, F371)</f>
        <v>371</v>
      </c>
    </row>
    <row r="372" spans="6:7">
      <c r="F372">
        <v>372</v>
      </c>
      <c r="G372" cm="1">
        <f t="array" ref="G372">_xlfn.IFS(LEN(F372)=1, "00" &amp; F372, (LEN(F372))=2, "0" &amp; F372, (LEN(F372))&gt;=3, F372)</f>
        <v>372</v>
      </c>
    </row>
    <row r="373" spans="6:7">
      <c r="F373">
        <v>373</v>
      </c>
      <c r="G373" cm="1">
        <f t="array" ref="G373">_xlfn.IFS(LEN(F373)=1, "00" &amp; F373, (LEN(F373))=2, "0" &amp; F373, (LEN(F373))&gt;=3, F373)</f>
        <v>373</v>
      </c>
    </row>
    <row r="374" spans="6:7">
      <c r="F374">
        <v>374</v>
      </c>
      <c r="G374" cm="1">
        <f t="array" ref="G374">_xlfn.IFS(LEN(F374)=1, "00" &amp; F374, (LEN(F374))=2, "0" &amp; F374, (LEN(F374))&gt;=3, F374)</f>
        <v>374</v>
      </c>
    </row>
    <row r="375" spans="6:7">
      <c r="F375">
        <v>375</v>
      </c>
      <c r="G375" cm="1">
        <f t="array" ref="G375">_xlfn.IFS(LEN(F375)=1, "00" &amp; F375, (LEN(F375))=2, "0" &amp; F375, (LEN(F375))&gt;=3, F375)</f>
        <v>375</v>
      </c>
    </row>
    <row r="376" spans="6:7">
      <c r="F376">
        <v>376</v>
      </c>
      <c r="G376" cm="1">
        <f t="array" ref="G376">_xlfn.IFS(LEN(F376)=1, "00" &amp; F376, (LEN(F376))=2, "0" &amp; F376, (LEN(F376))&gt;=3, F376)</f>
        <v>376</v>
      </c>
    </row>
    <row r="377" spans="6:7">
      <c r="F377">
        <v>377</v>
      </c>
      <c r="G377" cm="1">
        <f t="array" ref="G377">_xlfn.IFS(LEN(F377)=1, "00" &amp; F377, (LEN(F377))=2, "0" &amp; F377, (LEN(F377))&gt;=3, F377)</f>
        <v>377</v>
      </c>
    </row>
    <row r="378" spans="6:7">
      <c r="F378">
        <v>378</v>
      </c>
      <c r="G378" cm="1">
        <f t="array" ref="G378">_xlfn.IFS(LEN(F378)=1, "00" &amp; F378, (LEN(F378))=2, "0" &amp; F378, (LEN(F378))&gt;=3, F378)</f>
        <v>378</v>
      </c>
    </row>
    <row r="379" spans="6:7">
      <c r="F379">
        <v>379</v>
      </c>
      <c r="G379" cm="1">
        <f t="array" ref="G379">_xlfn.IFS(LEN(F379)=1, "00" &amp; F379, (LEN(F379))=2, "0" &amp; F379, (LEN(F379))&gt;=3, F379)</f>
        <v>379</v>
      </c>
    </row>
    <row r="380" spans="6:7">
      <c r="F380">
        <v>380</v>
      </c>
      <c r="G380" cm="1">
        <f t="array" ref="G380">_xlfn.IFS(LEN(F380)=1, "00" &amp; F380, (LEN(F380))=2, "0" &amp; F380, (LEN(F380))&gt;=3, F380)</f>
        <v>380</v>
      </c>
    </row>
    <row r="381" spans="6:7">
      <c r="F381">
        <v>381</v>
      </c>
      <c r="G381" cm="1">
        <f t="array" ref="G381">_xlfn.IFS(LEN(F381)=1, "00" &amp; F381, (LEN(F381))=2, "0" &amp; F381, (LEN(F381))&gt;=3, F381)</f>
        <v>381</v>
      </c>
    </row>
    <row r="382" spans="6:7">
      <c r="F382">
        <v>382</v>
      </c>
      <c r="G382" cm="1">
        <f t="array" ref="G382">_xlfn.IFS(LEN(F382)=1, "00" &amp; F382, (LEN(F382))=2, "0" &amp; F382, (LEN(F382))&gt;=3, F382)</f>
        <v>382</v>
      </c>
    </row>
    <row r="383" spans="6:7">
      <c r="F383">
        <v>383</v>
      </c>
      <c r="G383" cm="1">
        <f t="array" ref="G383">_xlfn.IFS(LEN(F383)=1, "00" &amp; F383, (LEN(F383))=2, "0" &amp; F383, (LEN(F383))&gt;=3, F383)</f>
        <v>383</v>
      </c>
    </row>
    <row r="384" spans="6:7">
      <c r="F384">
        <v>384</v>
      </c>
      <c r="G384" cm="1">
        <f t="array" ref="G384">_xlfn.IFS(LEN(F384)=1, "00" &amp; F384, (LEN(F384))=2, "0" &amp; F384, (LEN(F384))&gt;=3, F384)</f>
        <v>384</v>
      </c>
    </row>
    <row r="385" spans="6:7">
      <c r="F385">
        <v>385</v>
      </c>
      <c r="G385" cm="1">
        <f t="array" ref="G385">_xlfn.IFS(LEN(F385)=1, "00" &amp; F385, (LEN(F385))=2, "0" &amp; F385, (LEN(F385))&gt;=3, F385)</f>
        <v>385</v>
      </c>
    </row>
    <row r="386" spans="6:7">
      <c r="F386">
        <v>386</v>
      </c>
      <c r="G386" cm="1">
        <f t="array" ref="G386">_xlfn.IFS(LEN(F386)=1, "00" &amp; F386, (LEN(F386))=2, "0" &amp; F386, (LEN(F386))&gt;=3, F386)</f>
        <v>386</v>
      </c>
    </row>
    <row r="387" spans="6:7">
      <c r="F387">
        <v>387</v>
      </c>
      <c r="G387" cm="1">
        <f t="array" ref="G387">_xlfn.IFS(LEN(F387)=1, "00" &amp; F387, (LEN(F387))=2, "0" &amp; F387, (LEN(F387))&gt;=3, F387)</f>
        <v>387</v>
      </c>
    </row>
    <row r="388" spans="6:7">
      <c r="F388">
        <v>388</v>
      </c>
      <c r="G388" cm="1">
        <f t="array" ref="G388">_xlfn.IFS(LEN(F388)=1, "00" &amp; F388, (LEN(F388))=2, "0" &amp; F388, (LEN(F388))&gt;=3, F388)</f>
        <v>388</v>
      </c>
    </row>
    <row r="389" spans="6:7">
      <c r="F389">
        <v>389</v>
      </c>
      <c r="G389" cm="1">
        <f t="array" ref="G389">_xlfn.IFS(LEN(F389)=1, "00" &amp; F389, (LEN(F389))=2, "0" &amp; F389, (LEN(F389))&gt;=3, F389)</f>
        <v>389</v>
      </c>
    </row>
    <row r="390" spans="6:7">
      <c r="F390">
        <v>390</v>
      </c>
      <c r="G390" cm="1">
        <f t="array" ref="G390">_xlfn.IFS(LEN(F390)=1, "00" &amp; F390, (LEN(F390))=2, "0" &amp; F390, (LEN(F390))&gt;=3, F390)</f>
        <v>390</v>
      </c>
    </row>
    <row r="391" spans="6:7">
      <c r="F391">
        <v>391</v>
      </c>
      <c r="G391" cm="1">
        <f t="array" ref="G391">_xlfn.IFS(LEN(F391)=1, "00" &amp; F391, (LEN(F391))=2, "0" &amp; F391, (LEN(F391))&gt;=3, F391)</f>
        <v>391</v>
      </c>
    </row>
    <row r="392" spans="6:7">
      <c r="F392">
        <v>392</v>
      </c>
      <c r="G392" cm="1">
        <f t="array" ref="G392">_xlfn.IFS(LEN(F392)=1, "00" &amp; F392, (LEN(F392))=2, "0" &amp; F392, (LEN(F392))&gt;=3, F392)</f>
        <v>392</v>
      </c>
    </row>
    <row r="393" spans="6:7">
      <c r="F393">
        <v>393</v>
      </c>
      <c r="G393" cm="1">
        <f t="array" ref="G393">_xlfn.IFS(LEN(F393)=1, "00" &amp; F393, (LEN(F393))=2, "0" &amp; F393, (LEN(F393))&gt;=3, F393)</f>
        <v>393</v>
      </c>
    </row>
    <row r="394" spans="6:7">
      <c r="F394">
        <v>394</v>
      </c>
      <c r="G394" cm="1">
        <f t="array" ref="G394">_xlfn.IFS(LEN(F394)=1, "00" &amp; F394, (LEN(F394))=2, "0" &amp; F394, (LEN(F394))&gt;=3, F394)</f>
        <v>394</v>
      </c>
    </row>
    <row r="395" spans="6:7">
      <c r="F395">
        <v>395</v>
      </c>
      <c r="G395" cm="1">
        <f t="array" ref="G395">_xlfn.IFS(LEN(F395)=1, "00" &amp; F395, (LEN(F395))=2, "0" &amp; F395, (LEN(F395))&gt;=3, F395)</f>
        <v>395</v>
      </c>
    </row>
    <row r="396" spans="6:7">
      <c r="F396">
        <v>396</v>
      </c>
      <c r="G396" cm="1">
        <f t="array" ref="G396">_xlfn.IFS(LEN(F396)=1, "00" &amp; F396, (LEN(F396))=2, "0" &amp; F396, (LEN(F396))&gt;=3, F396)</f>
        <v>396</v>
      </c>
    </row>
    <row r="397" spans="6:7">
      <c r="F397">
        <v>397</v>
      </c>
      <c r="G397" cm="1">
        <f t="array" ref="G397">_xlfn.IFS(LEN(F397)=1, "00" &amp; F397, (LEN(F397))=2, "0" &amp; F397, (LEN(F397))&gt;=3, F397)</f>
        <v>397</v>
      </c>
    </row>
    <row r="398" spans="6:7">
      <c r="F398">
        <v>398</v>
      </c>
      <c r="G398" cm="1">
        <f t="array" ref="G398">_xlfn.IFS(LEN(F398)=1, "00" &amp; F398, (LEN(F398))=2, "0" &amp; F398, (LEN(F398))&gt;=3, F398)</f>
        <v>398</v>
      </c>
    </row>
    <row r="399" spans="6:7">
      <c r="F399">
        <v>399</v>
      </c>
      <c r="G399" cm="1">
        <f t="array" ref="G399">_xlfn.IFS(LEN(F399)=1, "00" &amp; F399, (LEN(F399))=2, "0" &amp; F399, (LEN(F399))&gt;=3, F399)</f>
        <v>399</v>
      </c>
    </row>
    <row r="400" spans="6:7">
      <c r="F400">
        <v>400</v>
      </c>
      <c r="G400" cm="1">
        <f t="array" ref="G400">_xlfn.IFS(LEN(F400)=1, "00" &amp; F400, (LEN(F400))=2, "0" &amp; F400, (LEN(F400))&gt;=3, F400)</f>
        <v>400</v>
      </c>
    </row>
    <row r="401" spans="6:7">
      <c r="F401">
        <v>401</v>
      </c>
      <c r="G401" cm="1">
        <f t="array" ref="G401">_xlfn.IFS(LEN(F401)=1, "00" &amp; F401, (LEN(F401))=2, "0" &amp; F401, (LEN(F401))&gt;=3, F401)</f>
        <v>401</v>
      </c>
    </row>
    <row r="402" spans="6:7">
      <c r="F402">
        <v>402</v>
      </c>
      <c r="G402" cm="1">
        <f t="array" ref="G402">_xlfn.IFS(LEN(F402)=1, "00" &amp; F402, (LEN(F402))=2, "0" &amp; F402, (LEN(F402))&gt;=3, F402)</f>
        <v>402</v>
      </c>
    </row>
    <row r="403" spans="6:7">
      <c r="F403">
        <v>403</v>
      </c>
      <c r="G403" cm="1">
        <f t="array" ref="G403">_xlfn.IFS(LEN(F403)=1, "00" &amp; F403, (LEN(F403))=2, "0" &amp; F403, (LEN(F403))&gt;=3, F403)</f>
        <v>403</v>
      </c>
    </row>
    <row r="404" spans="6:7">
      <c r="F404">
        <v>404</v>
      </c>
      <c r="G404" cm="1">
        <f t="array" ref="G404">_xlfn.IFS(LEN(F404)=1, "00" &amp; F404, (LEN(F404))=2, "0" &amp; F404, (LEN(F404))&gt;=3, F404)</f>
        <v>404</v>
      </c>
    </row>
    <row r="405" spans="6:7">
      <c r="F405">
        <v>405</v>
      </c>
      <c r="G405" cm="1">
        <f t="array" ref="G405">_xlfn.IFS(LEN(F405)=1, "00" &amp; F405, (LEN(F405))=2, "0" &amp; F405, (LEN(F405))&gt;=3, F405)</f>
        <v>405</v>
      </c>
    </row>
    <row r="406" spans="6:7">
      <c r="F406">
        <v>406</v>
      </c>
      <c r="G406" cm="1">
        <f t="array" ref="G406">_xlfn.IFS(LEN(F406)=1, "00" &amp; F406, (LEN(F406))=2, "0" &amp; F406, (LEN(F406))&gt;=3, F406)</f>
        <v>406</v>
      </c>
    </row>
    <row r="407" spans="6:7">
      <c r="F407">
        <v>407</v>
      </c>
      <c r="G407" cm="1">
        <f t="array" ref="G407">_xlfn.IFS(LEN(F407)=1, "00" &amp; F407, (LEN(F407))=2, "0" &amp; F407, (LEN(F407))&gt;=3, F407)</f>
        <v>407</v>
      </c>
    </row>
    <row r="408" spans="6:7">
      <c r="F408">
        <v>408</v>
      </c>
      <c r="G408" cm="1">
        <f t="array" ref="G408">_xlfn.IFS(LEN(F408)=1, "00" &amp; F408, (LEN(F408))=2, "0" &amp; F408, (LEN(F408))&gt;=3, F408)</f>
        <v>408</v>
      </c>
    </row>
    <row r="409" spans="6:7">
      <c r="F409">
        <v>409</v>
      </c>
      <c r="G409" cm="1">
        <f t="array" ref="G409">_xlfn.IFS(LEN(F409)=1, "00" &amp; F409, (LEN(F409))=2, "0" &amp; F409, (LEN(F409))&gt;=3, F409)</f>
        <v>409</v>
      </c>
    </row>
    <row r="410" spans="6:7">
      <c r="F410" t="s">
        <v>99</v>
      </c>
      <c r="G410" t="str" cm="1">
        <f t="array" ref="G410">_xlfn.IFS(LEN(F410)=1, "00" &amp; F410, (LEN(F410))=2, "0" &amp; F410, (LEN(F410))&gt;=3, F410)</f>
        <v>Kwame Agbanyi</v>
      </c>
    </row>
    <row r="411" spans="6:7">
      <c r="F411" t="s">
        <v>103</v>
      </c>
      <c r="G411" t="str" cm="1">
        <f t="array" ref="G411">_xlfn.IFS(LEN(F411)=1, "00" &amp; F411, (LEN(F411))=2, "0" &amp; F411, (LEN(F411))&gt;=3, F411)</f>
        <v>Kwabena Nyame</v>
      </c>
    </row>
    <row r="412" spans="6:7">
      <c r="F412" t="s">
        <v>107</v>
      </c>
      <c r="G412" t="str" cm="1">
        <f t="array" ref="G412">_xlfn.IFS(LEN(F412)=1, "00" &amp; F412, (LEN(F412))=2, "0" &amp; F412, (LEN(F412))&gt;=3, F412)</f>
        <v>Joseph Awuah Gyimah</v>
      </c>
    </row>
    <row r="413" spans="6:7">
      <c r="F413" t="s">
        <v>112</v>
      </c>
      <c r="G413" t="str" cm="1">
        <f t="array" ref="G413">_xlfn.IFS(LEN(F413)=1, "00" &amp; F413, (LEN(F413))=2, "0" &amp; F413, (LEN(F413))&gt;=3, F413)</f>
        <v>Akos Aboagyewaa</v>
      </c>
    </row>
    <row r="414" spans="6:7">
      <c r="F414" t="s">
        <v>117</v>
      </c>
      <c r="G414" t="str" cm="1">
        <f t="array" ref="G414">_xlfn.IFS(LEN(F414)=1, "00" &amp; F414, (LEN(F414))=2, "0" &amp; F414, (LEN(F414))&gt;=3, F414)</f>
        <v>Kwame</v>
      </c>
    </row>
    <row r="415" spans="6:7">
      <c r="F415" t="s">
        <v>120</v>
      </c>
      <c r="G415" t="str" cm="1">
        <f t="array" ref="G415">_xlfn.IFS(LEN(F415)=1, "00" &amp; F415, (LEN(F415))=2, "0" &amp; F415, (LEN(F415))&gt;=3, F415)</f>
        <v>Emmanuel Osei</v>
      </c>
    </row>
    <row r="416" spans="6:7">
      <c r="F416" t="s">
        <v>125</v>
      </c>
      <c r="G416" t="str" cm="1">
        <f t="array" ref="G416">_xlfn.IFS(LEN(F416)=1, "00" &amp; F416, (LEN(F416))=2, "0" &amp; F416, (LEN(F416))&gt;=3, F416)</f>
        <v>Kwabena Asiamah</v>
      </c>
    </row>
    <row r="417" spans="6:7">
      <c r="F417" t="s">
        <v>130</v>
      </c>
      <c r="G417" t="str" cm="1">
        <f t="array" ref="G417">_xlfn.IFS(LEN(F417)=1, "00" &amp; F417, (LEN(F417))=2, "0" &amp; F417, (LEN(F417))&gt;=3, F417)</f>
        <v>Dorothy Koranteng</v>
      </c>
    </row>
    <row r="418" spans="6:7">
      <c r="F418" t="s">
        <v>134</v>
      </c>
      <c r="G418" t="str" cm="1">
        <f t="array" ref="G418">_xlfn.IFS(LEN(F418)=1, "00" &amp; F418, (LEN(F418))=2, "0" &amp; F418, (LEN(F418))&gt;=3, F418)</f>
        <v xml:space="preserve">Nicholas Appiah </v>
      </c>
    </row>
    <row r="419" spans="6:7">
      <c r="F419" t="s">
        <v>139</v>
      </c>
      <c r="G419" t="str" cm="1">
        <f t="array" ref="G419">_xlfn.IFS(LEN(F419)=1, "00" &amp; F419, (LEN(F419))=2, "0" &amp; F419, (LEN(F419))&gt;=3, F419)</f>
        <v>Frimpong Manso</v>
      </c>
    </row>
    <row r="420" spans="6:7">
      <c r="F420" t="s">
        <v>144</v>
      </c>
      <c r="G420" t="str" cm="1">
        <f t="array" ref="G420">_xlfn.IFS(LEN(F420)=1, "00" &amp; F420, (LEN(F420))=2, "0" &amp; F420, (LEN(F420))&gt;=3, F420)</f>
        <v>Ama Asiedua</v>
      </c>
    </row>
    <row r="421" spans="6:7">
      <c r="F421" t="s">
        <v>149</v>
      </c>
      <c r="G421" t="str" cm="1">
        <f t="array" ref="G421">_xlfn.IFS(LEN(F421)=1, "00" &amp; F421, (LEN(F421))=2, "0" &amp; F421, (LEN(F421))&gt;=3, F421)</f>
        <v>Elizabeth Anane</v>
      </c>
    </row>
    <row r="422" spans="6:7">
      <c r="F422" t="s">
        <v>153</v>
      </c>
      <c r="G422" t="str" cm="1">
        <f t="array" ref="G422">_xlfn.IFS(LEN(F422)=1, "00" &amp; F422, (LEN(F422))=2, "0" &amp; F422, (LEN(F422))&gt;=3, F422)</f>
        <v>Alex Yeboah</v>
      </c>
    </row>
    <row r="423" spans="6:7">
      <c r="F423" t="s">
        <v>157</v>
      </c>
      <c r="G423" t="str" cm="1">
        <f t="array" ref="G423">_xlfn.IFS(LEN(F423)=1, "00" &amp; F423, (LEN(F423))=2, "0" &amp; F423, (LEN(F423))&gt;=3, F423)</f>
        <v>Teye Louis</v>
      </c>
    </row>
    <row r="424" spans="6:7">
      <c r="F424" t="s">
        <v>161</v>
      </c>
      <c r="G424" t="str" cm="1">
        <f t="array" ref="G424">_xlfn.IFS(LEN(F424)=1, "00" &amp; F424, (LEN(F424))=2, "0" &amp; F424, (LEN(F424))&gt;=3, F424)</f>
        <v>Kwaku Aboagye</v>
      </c>
    </row>
    <row r="425" spans="6:7">
      <c r="F425" t="s">
        <v>166</v>
      </c>
      <c r="G425" t="str" cm="1">
        <f t="array" ref="G425">_xlfn.IFS(LEN(F425)=1, "00" &amp; F425, (LEN(F425))=2, "0" &amp; F425, (LEN(F425))&gt;=3, F425)</f>
        <v>Evans Kyei</v>
      </c>
    </row>
    <row r="426" spans="6:7">
      <c r="F426" t="s">
        <v>171</v>
      </c>
      <c r="G426" t="str" cm="1">
        <f t="array" ref="G426">_xlfn.IFS(LEN(F426)=1, "00" &amp; F426, (LEN(F426))=2, "0" &amp; F426, (LEN(F426))&gt;=3, F426)</f>
        <v>Eric Obeng</v>
      </c>
    </row>
    <row r="427" spans="6:7">
      <c r="F427" t="s">
        <v>174</v>
      </c>
      <c r="G427" t="str" cm="1">
        <f t="array" ref="G427">_xlfn.IFS(LEN(F427)=1, "00" &amp; F427, (LEN(F427))=2, "0" &amp; F427, (LEN(F427))&gt;=3, F427)</f>
        <v>Kojo Sarfo</v>
      </c>
    </row>
    <row r="428" spans="6:7">
      <c r="F428" t="s">
        <v>177</v>
      </c>
      <c r="G428" t="str" cm="1">
        <f t="array" ref="G428">_xlfn.IFS(LEN(F428)=1, "00" &amp; F428, (LEN(F428))=2, "0" &amp; F428, (LEN(F428))&gt;=3, F428)</f>
        <v>Mary Tikromah</v>
      </c>
    </row>
    <row r="429" spans="6:7">
      <c r="F429" t="s">
        <v>181</v>
      </c>
      <c r="G429" t="str" cm="1">
        <f t="array" ref="G429">_xlfn.IFS(LEN(F429)=1, "00" &amp; F429, (LEN(F429))=2, "0" &amp; F429, (LEN(F429))&gt;=3, F429)</f>
        <v>Kwasi Fenting</v>
      </c>
    </row>
    <row r="430" spans="6:7">
      <c r="F430" t="s">
        <v>186</v>
      </c>
      <c r="G430" t="str" cm="1">
        <f t="array" ref="G430">_xlfn.IFS(LEN(F430)=1, "00" &amp; F430, (LEN(F430))=2, "0" &amp; F430, (LEN(F430))&gt;=3, F430)</f>
        <v>Vida Adomaa Yaa</v>
      </c>
    </row>
    <row r="431" spans="6:7">
      <c r="F431" t="s">
        <v>190</v>
      </c>
      <c r="G431" t="str" cm="1">
        <f t="array" ref="G431">_xlfn.IFS(LEN(F431)=1, "00" &amp; F431, (LEN(F431))=2, "0" &amp; F431, (LEN(F431))&gt;=3, F431)</f>
        <v>Ohene Asiedu</v>
      </c>
    </row>
    <row r="432" spans="6:7">
      <c r="F432" t="s">
        <v>194</v>
      </c>
      <c r="G432" t="str" cm="1">
        <f t="array" ref="G432">_xlfn.IFS(LEN(F432)=1, "00" &amp; F432, (LEN(F432))=2, "0" &amp; F432, (LEN(F432))&gt;=3, F432)</f>
        <v>Samuel Dankyei</v>
      </c>
    </row>
    <row r="433" spans="6:7">
      <c r="F433" t="s">
        <v>198</v>
      </c>
      <c r="G433" t="str" cm="1">
        <f t="array" ref="G433">_xlfn.IFS(LEN(F433)=1, "00" &amp; F433, (LEN(F433))=2, "0" &amp; F433, (LEN(F433))&gt;=3, F433)</f>
        <v>Margaret Abena</v>
      </c>
    </row>
    <row r="434" spans="6:7">
      <c r="F434" t="s">
        <v>201</v>
      </c>
      <c r="G434" t="str" cm="1">
        <f t="array" ref="G434">_xlfn.IFS(LEN(F434)=1, "00" &amp; F434, (LEN(F434))=2, "0" &amp; F434, (LEN(F434))&gt;=3, F434)</f>
        <v>Kwasi Anane</v>
      </c>
    </row>
    <row r="435" spans="6:7">
      <c r="F435" t="s">
        <v>205</v>
      </c>
      <c r="G435" t="str" cm="1">
        <f t="array" ref="G435">_xlfn.IFS(LEN(F435)=1, "00" &amp; F435, (LEN(F435))=2, "0" &amp; F435, (LEN(F435))&gt;=3, F435)</f>
        <v>Samuel Antwi</v>
      </c>
    </row>
    <row r="436" spans="6:7">
      <c r="F436" t="s">
        <v>209</v>
      </c>
      <c r="G436" t="str" cm="1">
        <f t="array" ref="G436">_xlfn.IFS(LEN(F436)=1, "00" &amp; F436, (LEN(F436))=2, "0" &amp; F436, (LEN(F436))&gt;=3, F436)</f>
        <v>Grace Dzaka</v>
      </c>
    </row>
    <row r="437" spans="6:7">
      <c r="F437" t="s">
        <v>213</v>
      </c>
      <c r="G437" t="str" cm="1">
        <f t="array" ref="G437">_xlfn.IFS(LEN(F437)=1, "00" &amp; F437, (LEN(F437))=2, "0" &amp; F437, (LEN(F437))&gt;=3, F437)</f>
        <v>Kwaku Twum</v>
      </c>
    </row>
    <row r="438" spans="6:7">
      <c r="F438" t="s">
        <v>217</v>
      </c>
      <c r="G438" t="str" cm="1">
        <f t="array" ref="G438">_xlfn.IFS(LEN(F438)=1, "00" &amp; F438, (LEN(F438))=2, "0" &amp; F438, (LEN(F438))&gt;=3, F438)</f>
        <v>Raphael Tettey</v>
      </c>
    </row>
    <row r="439" spans="6:7">
      <c r="F439" t="s">
        <v>221</v>
      </c>
      <c r="G439" t="str" cm="1">
        <f t="array" ref="G439">_xlfn.IFS(LEN(F439)=1, "00" &amp; F439, (LEN(F439))=2, "0" &amp; F439, (LEN(F439))&gt;=3, F439)</f>
        <v>Akosua Manu</v>
      </c>
    </row>
    <row r="440" spans="6:7">
      <c r="F440" t="s">
        <v>226</v>
      </c>
      <c r="G440" t="str" cm="1">
        <f t="array" ref="G440">_xlfn.IFS(LEN(F440)=1, "00" &amp; F440, (LEN(F440))=2, "0" &amp; F440, (LEN(F440))&gt;=3, F440)</f>
        <v>Kwame Appiah</v>
      </c>
    </row>
    <row r="441" spans="6:7">
      <c r="F441" t="s">
        <v>230</v>
      </c>
      <c r="G441" t="str" cm="1">
        <f t="array" ref="G441">_xlfn.IFS(LEN(F441)=1, "00" &amp; F441, (LEN(F441))=2, "0" &amp; F441, (LEN(F441))&gt;=3, F441)</f>
        <v>Mercy Gyaubea</v>
      </c>
    </row>
    <row r="442" spans="6:7">
      <c r="F442" t="s">
        <v>235</v>
      </c>
      <c r="G442" t="str" cm="1">
        <f t="array" ref="G442">_xlfn.IFS(LEN(F442)=1, "00" &amp; F442, (LEN(F442))=2, "0" &amp; F442, (LEN(F442))&gt;=3, F442)</f>
        <v>Janet Amissah</v>
      </c>
    </row>
    <row r="443" spans="6:7">
      <c r="F443" t="s">
        <v>240</v>
      </c>
      <c r="G443" t="str" cm="1">
        <f t="array" ref="G443">_xlfn.IFS(LEN(F443)=1, "00" &amp; F443, (LEN(F443))=2, "0" &amp; F443, (LEN(F443))&gt;=3, F443)</f>
        <v>Charlotte Addo</v>
      </c>
    </row>
    <row r="444" spans="6:7">
      <c r="F444" t="s">
        <v>245</v>
      </c>
      <c r="G444" t="str" cm="1">
        <f t="array" ref="G444">_xlfn.IFS(LEN(F444)=1, "00" &amp; F444, (LEN(F444))=2, "0" &amp; F444, (LEN(F444))&gt;=3, F444)</f>
        <v>Affum Joseph</v>
      </c>
    </row>
    <row r="445" spans="6:7">
      <c r="F445" t="s">
        <v>249</v>
      </c>
      <c r="G445" t="str" cm="1">
        <f t="array" ref="G445">_xlfn.IFS(LEN(F445)=1, "00" &amp; F445, (LEN(F445))=2, "0" &amp; F445, (LEN(F445))&gt;=3, F445)</f>
        <v>Kwaku Osei</v>
      </c>
    </row>
    <row r="446" spans="6:7">
      <c r="F446" t="s">
        <v>253</v>
      </c>
      <c r="G446" t="str" cm="1">
        <f t="array" ref="G446">_xlfn.IFS(LEN(F446)=1, "00" &amp; F446, (LEN(F446))=2, "0" &amp; F446, (LEN(F446))&gt;=3, F446)</f>
        <v xml:space="preserve">Ofori Richard </v>
      </c>
    </row>
    <row r="447" spans="6:7">
      <c r="F447" t="s">
        <v>258</v>
      </c>
      <c r="G447" t="str" cm="1">
        <f t="array" ref="G447">_xlfn.IFS(LEN(F447)=1, "00" &amp; F447, (LEN(F447))=2, "0" &amp; F447, (LEN(F447))&gt;=3, F447)</f>
        <v>James Tetteh</v>
      </c>
    </row>
    <row r="448" spans="6:7">
      <c r="F448" t="s">
        <v>262</v>
      </c>
      <c r="G448" t="str" cm="1">
        <f t="array" ref="G448">_xlfn.IFS(LEN(F448)=1, "00" &amp; F448, (LEN(F448))=2, "0" &amp; F448, (LEN(F448))&gt;=3, F448)</f>
        <v>Akosua Oforiwaa</v>
      </c>
    </row>
    <row r="449" spans="6:7">
      <c r="F449" t="s">
        <v>266</v>
      </c>
      <c r="G449" t="str" cm="1">
        <f t="array" ref="G449">_xlfn.IFS(LEN(F449)=1, "00" &amp; F449, (LEN(F449))=2, "0" &amp; F449, (LEN(F449))&gt;=3, F449)</f>
        <v>Ransford Asiedu</v>
      </c>
    </row>
    <row r="450" spans="6:7">
      <c r="F450" t="s">
        <v>271</v>
      </c>
      <c r="G450" t="str" cm="1">
        <f t="array" ref="G450">_xlfn.IFS(LEN(F450)=1, "00" &amp; F450, (LEN(F450))=2, "0" &amp; F450, (LEN(F450))&gt;=3, F450)</f>
        <v>Kofi Okyere</v>
      </c>
    </row>
    <row r="451" spans="6:7">
      <c r="F451" t="s">
        <v>276</v>
      </c>
      <c r="G451" t="str" cm="1">
        <f t="array" ref="G451">_xlfn.IFS(LEN(F451)=1, "00" &amp; F451, (LEN(F451))=2, "0" &amp; F451, (LEN(F451))&gt;=3, F451)</f>
        <v>Samuel Mintah</v>
      </c>
    </row>
    <row r="452" spans="6:7">
      <c r="F452" t="s">
        <v>279</v>
      </c>
      <c r="G452" t="str" cm="1">
        <f t="array" ref="G452">_xlfn.IFS(LEN(F452)=1, "00" &amp; F452, (LEN(F452))=2, "0" &amp; F452, (LEN(F452))&gt;=3, F452)</f>
        <v>Akwasi Tawiah</v>
      </c>
    </row>
    <row r="453" spans="6:7">
      <c r="F453" t="s">
        <v>283</v>
      </c>
      <c r="G453" t="str" cm="1">
        <f t="array" ref="G453">_xlfn.IFS(LEN(F453)=1, "00" &amp; F453, (LEN(F453))=2, "0" &amp; F453, (LEN(F453))&gt;=3, F453)</f>
        <v>Nti Aninkorah</v>
      </c>
    </row>
    <row r="454" spans="6:7">
      <c r="F454" t="s">
        <v>288</v>
      </c>
      <c r="G454" t="str" cm="1">
        <f t="array" ref="G454">_xlfn.IFS(LEN(F454)=1, "00" &amp; F454, (LEN(F454))=2, "0" &amp; F454, (LEN(F454))&gt;=3, F454)</f>
        <v>Kwao Juliana</v>
      </c>
    </row>
    <row r="455" spans="6:7">
      <c r="F455" t="s">
        <v>293</v>
      </c>
      <c r="G455" t="str" cm="1">
        <f t="array" ref="G455">_xlfn.IFS(LEN(F455)=1, "00" &amp; F455, (LEN(F455))=2, "0" &amp; F455, (LEN(F455))&gt;=3, F455)</f>
        <v>S. A. Adu</v>
      </c>
    </row>
    <row r="456" spans="6:7">
      <c r="F456" t="s">
        <v>298</v>
      </c>
      <c r="G456" t="str" cm="1">
        <f t="array" ref="G456">_xlfn.IFS(LEN(F456)=1, "00" &amp; F456, (LEN(F456))=2, "0" &amp; F456, (LEN(F456))&gt;=3, F456)</f>
        <v>Rose Ayimaah</v>
      </c>
    </row>
    <row r="457" spans="6:7">
      <c r="F457" t="s">
        <v>302</v>
      </c>
      <c r="G457" t="str" cm="1">
        <f t="array" ref="G457">_xlfn.IFS(LEN(F457)=1, "00" &amp; F457, (LEN(F457))=2, "0" &amp; F457, (LEN(F457))&gt;=3, F457)</f>
        <v>Comfort M. Treku</v>
      </c>
    </row>
    <row r="458" spans="6:7">
      <c r="F458" t="s">
        <v>306</v>
      </c>
      <c r="G458" t="str" cm="1">
        <f t="array" ref="G458">_xlfn.IFS(LEN(F458)=1, "00" &amp; F458, (LEN(F458))=2, "0" &amp; F458, (LEN(F458))&gt;=3, F458)</f>
        <v>Hayford Nyarko</v>
      </c>
    </row>
    <row r="459" spans="6:7">
      <c r="F459" t="s">
        <v>311</v>
      </c>
      <c r="G459" t="str" cm="1">
        <f t="array" ref="G459">_xlfn.IFS(LEN(F459)=1, "00" &amp; F459, (LEN(F459))=2, "0" &amp; F459, (LEN(F459))&gt;=3, F459)</f>
        <v>Yaw Asiedu</v>
      </c>
    </row>
    <row r="460" spans="6:7">
      <c r="F460" t="s">
        <v>315</v>
      </c>
      <c r="G460" t="str" cm="1">
        <f t="array" ref="G460">_xlfn.IFS(LEN(F460)=1, "00" &amp; F460, (LEN(F460))=2, "0" &amp; F460, (LEN(F460))&gt;=3, F460)</f>
        <v>Gifty Apochie</v>
      </c>
    </row>
    <row r="461" spans="6:7">
      <c r="F461" t="s">
        <v>319</v>
      </c>
      <c r="G461" t="str" cm="1">
        <f t="array" ref="G461">_xlfn.IFS(LEN(F461)=1, "00" &amp; F461, (LEN(F461))=2, "0" &amp; F461, (LEN(F461))&gt;=3, F461)</f>
        <v>Mercy Nyarkowaa</v>
      </c>
    </row>
    <row r="462" spans="6:7">
      <c r="F462" t="s">
        <v>324</v>
      </c>
      <c r="G462" t="str" cm="1">
        <f t="array" ref="G462">_xlfn.IFS(LEN(F462)=1, "00" &amp; F462, (LEN(F462))=2, "0" &amp; F462, (LEN(F462))&gt;=3, F462)</f>
        <v>Janet Awal</v>
      </c>
    </row>
    <row r="463" spans="6:7">
      <c r="F463" t="s">
        <v>328</v>
      </c>
      <c r="G463" t="str" cm="1">
        <f t="array" ref="G463">_xlfn.IFS(LEN(F463)=1, "00" &amp; F463, (LEN(F463))=2, "0" &amp; F463, (LEN(F463))&gt;=3, F463)</f>
        <v>Kojo Brako</v>
      </c>
    </row>
    <row r="464" spans="6:7">
      <c r="F464" t="s">
        <v>332</v>
      </c>
      <c r="G464" t="str" cm="1">
        <f t="array" ref="G464">_xlfn.IFS(LEN(F464)=1, "00" &amp; F464, (LEN(F464))=2, "0" &amp; F464, (LEN(F464))&gt;=3, F464)</f>
        <v>Grace Ankamaah</v>
      </c>
    </row>
    <row r="465" spans="6:7">
      <c r="F465" t="s">
        <v>335</v>
      </c>
      <c r="G465" t="str" cm="1">
        <f t="array" ref="G465">_xlfn.IFS(LEN(F465)=1, "00" &amp; F465, (LEN(F465))=2, "0" &amp; F465, (LEN(F465))&gt;=3, F465)</f>
        <v>Afia Takyiwaa</v>
      </c>
    </row>
    <row r="466" spans="6:7">
      <c r="F466" t="s">
        <v>339</v>
      </c>
      <c r="G466" t="str" cm="1">
        <f t="array" ref="G466">_xlfn.IFS(LEN(F466)=1, "00" &amp; F466, (LEN(F466))=2, "0" &amp; F466, (LEN(F466))&gt;=3, F466)</f>
        <v>Desmond D. George</v>
      </c>
    </row>
    <row r="467" spans="6:7">
      <c r="F467" t="s">
        <v>343</v>
      </c>
      <c r="G467" t="str" cm="1">
        <f t="array" ref="G467">_xlfn.IFS(LEN(F467)=1, "00" &amp; F467, (LEN(F467))=2, "0" &amp; F467, (LEN(F467))&gt;=3, F467)</f>
        <v>Paul Agyenim B.</v>
      </c>
    </row>
    <row r="468" spans="6:7">
      <c r="F468" t="s">
        <v>348</v>
      </c>
      <c r="G468" t="str" cm="1">
        <f t="array" ref="G468">_xlfn.IFS(LEN(F468)=1, "00" &amp; F468, (LEN(F468))=2, "0" &amp; F468, (LEN(F468))&gt;=3, F468)</f>
        <v>Yaw A.</v>
      </c>
    </row>
    <row r="469" spans="6:7">
      <c r="F469" t="s">
        <v>351</v>
      </c>
      <c r="G469" t="str" cm="1">
        <f t="array" ref="G469">_xlfn.IFS(LEN(F469)=1, "00" &amp; F469, (LEN(F469))=2, "0" &amp; F469, (LEN(F469))&gt;=3, F469)</f>
        <v>Kwaku Samuel</v>
      </c>
    </row>
    <row r="470" spans="6:7">
      <c r="F470" t="s">
        <v>355</v>
      </c>
      <c r="G470" t="str" cm="1">
        <f t="array" ref="G470">_xlfn.IFS(LEN(F470)=1, "00" &amp; F470, (LEN(F470))=2, "0" &amp; F470, (LEN(F470))&gt;=3, F470)</f>
        <v>Teye Amayo</v>
      </c>
    </row>
    <row r="471" spans="6:7">
      <c r="F471" t="s">
        <v>358</v>
      </c>
      <c r="G471" t="str" cm="1">
        <f t="array" ref="G471">_xlfn.IFS(LEN(F471)=1, "00" &amp; F471, (LEN(F471))=2, "0" &amp; F471, (LEN(F471))&gt;=3, F471)</f>
        <v>Patrick Ankomani</v>
      </c>
    </row>
    <row r="472" spans="6:7">
      <c r="F472" t="s">
        <v>360</v>
      </c>
      <c r="G472" t="str" cm="1">
        <f t="array" ref="G472">_xlfn.IFS(LEN(F472)=1, "00" &amp; F472, (LEN(F472))=2, "0" &amp; F472, (LEN(F472))&gt;=3, F472)</f>
        <v>Augustina Anima</v>
      </c>
    </row>
    <row r="473" spans="6:7">
      <c r="F473" t="s">
        <v>365</v>
      </c>
      <c r="G473" t="str" cm="1">
        <f t="array" ref="G473">_xlfn.IFS(LEN(F473)=1, "00" &amp; F473, (LEN(F473))=2, "0" &amp; F473, (LEN(F473))&gt;=3, F473)</f>
        <v>Asimeng</v>
      </c>
    </row>
    <row r="474" spans="6:7">
      <c r="F474" t="s">
        <v>368</v>
      </c>
      <c r="G474" t="str" cm="1">
        <f t="array" ref="G474">_xlfn.IFS(LEN(F474)=1, "00" &amp; F474, (LEN(F474))=2, "0" &amp; F474, (LEN(F474))&gt;=3, F474)</f>
        <v>Vida Kwakyewaa</v>
      </c>
    </row>
    <row r="475" spans="6:7">
      <c r="F475" t="s">
        <v>372</v>
      </c>
      <c r="G475" t="str" cm="1">
        <f t="array" ref="G475">_xlfn.IFS(LEN(F475)=1, "00" &amp; F475, (LEN(F475))=2, "0" &amp; F475, (LEN(F475))&gt;=3, F475)</f>
        <v>Mary Antwiwaa</v>
      </c>
    </row>
    <row r="476" spans="6:7">
      <c r="F476" t="s">
        <v>376</v>
      </c>
      <c r="G476" t="str" cm="1">
        <f t="array" ref="G476">_xlfn.IFS(LEN(F476)=1, "00" &amp; F476, (LEN(F476))=2, "0" &amp; F476, (LEN(F476))&gt;=3, F476)</f>
        <v>Vida Serwaa</v>
      </c>
    </row>
    <row r="477" spans="6:7">
      <c r="F477" t="s">
        <v>380</v>
      </c>
      <c r="G477" t="str" cm="1">
        <f t="array" ref="G477">_xlfn.IFS(LEN(F477)=1, "00" &amp; F477, (LEN(F477))=2, "0" &amp; F477, (LEN(F477))&gt;=3, F477)</f>
        <v>Christina Darkwaa</v>
      </c>
    </row>
    <row r="478" spans="6:7">
      <c r="F478" t="s">
        <v>384</v>
      </c>
      <c r="G478" t="str" cm="1">
        <f t="array" ref="G478">_xlfn.IFS(LEN(F478)=1, "00" &amp; F478, (LEN(F478))=2, "0" &amp; F478, (LEN(F478))&gt;=3, F478)</f>
        <v>Comfort  Amponsah</v>
      </c>
    </row>
    <row r="479" spans="6:7">
      <c r="F479" t="s">
        <v>387</v>
      </c>
      <c r="G479" t="str" cm="1">
        <f t="array" ref="G479">_xlfn.IFS(LEN(F479)=1, "00" &amp; F479, (LEN(F479))=2, "0" &amp; F479, (LEN(F479))&gt;=3, F479)</f>
        <v>Korkor Ernestina</v>
      </c>
    </row>
    <row r="480" spans="6:7">
      <c r="F480" t="s">
        <v>392</v>
      </c>
      <c r="G480" t="str" cm="1">
        <f t="array" ref="G480">_xlfn.IFS(LEN(F480)=1, "00" &amp; F480, (LEN(F480))=2, "0" &amp; F480, (LEN(F480))&gt;=3, F480)</f>
        <v>Martha</v>
      </c>
    </row>
    <row r="481" spans="6:7">
      <c r="F481" t="s">
        <v>397</v>
      </c>
      <c r="G481" t="str" cm="1">
        <f t="array" ref="G481">_xlfn.IFS(LEN(F481)=1, "00" &amp; F481, (LEN(F481))=2, "0" &amp; F481, (LEN(F481))&gt;=3, F481)</f>
        <v>Atta Akwasi</v>
      </c>
    </row>
    <row r="482" spans="6:7">
      <c r="F482" t="s">
        <v>402</v>
      </c>
      <c r="G482" t="str" cm="1">
        <f t="array" ref="G482">_xlfn.IFS(LEN(F482)=1, "00" &amp; F482, (LEN(F482))=2, "0" &amp; F482, (LEN(F482))&gt;=3, F482)</f>
        <v>Kofi Mensah</v>
      </c>
    </row>
    <row r="483" spans="6:7">
      <c r="F483" t="s">
        <v>406</v>
      </c>
      <c r="G483" t="str" cm="1">
        <f t="array" ref="G483">_xlfn.IFS(LEN(F483)=1, "00" &amp; F483, (LEN(F483))=2, "0" &amp; F483, (LEN(F483))&gt;=3, F483)</f>
        <v>Kwabena Ayivi</v>
      </c>
    </row>
    <row r="484" spans="6:7">
      <c r="F484" t="s">
        <v>410</v>
      </c>
      <c r="G484" t="str" cm="1">
        <f t="array" ref="G484">_xlfn.IFS(LEN(F484)=1, "00" &amp; F484, (LEN(F484))=2, "0" &amp; F484, (LEN(F484))&gt;=3, F484)</f>
        <v>Michael Nimo</v>
      </c>
    </row>
    <row r="485" spans="6:7">
      <c r="F485" t="s">
        <v>413</v>
      </c>
      <c r="G485" t="str" cm="1">
        <f t="array" ref="G485">_xlfn.IFS(LEN(F485)=1, "00" &amp; F485, (LEN(F485))=2, "0" &amp; F485, (LEN(F485))&gt;=3, F485)</f>
        <v>Adwoa Beatrice</v>
      </c>
    </row>
    <row r="486" spans="6:7">
      <c r="F486" t="s">
        <v>418</v>
      </c>
      <c r="G486" t="str" cm="1">
        <f t="array" ref="G486">_xlfn.IFS(LEN(F486)=1, "00" &amp; F486, (LEN(F486))=2, "0" &amp; F486, (LEN(F486))&gt;=3, F486)</f>
        <v>Akua</v>
      </c>
    </row>
    <row r="487" spans="6:7">
      <c r="F487" t="s">
        <v>422</v>
      </c>
      <c r="G487" t="str" cm="1">
        <f t="array" ref="G487">_xlfn.IFS(LEN(F487)=1, "00" &amp; F487, (LEN(F487))=2, "0" &amp; F487, (LEN(F487))&gt;=3, F487)</f>
        <v>Ama Nkansah</v>
      </c>
    </row>
    <row r="488" spans="6:7">
      <c r="F488" t="s">
        <v>425</v>
      </c>
      <c r="G488" t="str" cm="1">
        <f t="array" ref="G488">_xlfn.IFS(LEN(F488)=1, "00" &amp; F488, (LEN(F488))=2, "0" &amp; F488, (LEN(F488))&gt;=3, F488)</f>
        <v>Kwaku Adu</v>
      </c>
    </row>
    <row r="489" spans="6:7">
      <c r="F489" t="s">
        <v>428</v>
      </c>
      <c r="G489" t="str" cm="1">
        <f t="array" ref="G489">_xlfn.IFS(LEN(F489)=1, "00" &amp; F489, (LEN(F489))=2, "0" &amp; F489, (LEN(F489))&gt;=3, F489)</f>
        <v>Ebenezer Kojo</v>
      </c>
    </row>
    <row r="490" spans="6:7">
      <c r="F490" t="s">
        <v>433</v>
      </c>
      <c r="G490" t="str" cm="1">
        <f t="array" ref="G490">_xlfn.IFS(LEN(F490)=1, "00" &amp; F490, (LEN(F490))=2, "0" &amp; F490, (LEN(F490))&gt;=3, F490)</f>
        <v>Hannah Asabea</v>
      </c>
    </row>
    <row r="491" spans="6:7">
      <c r="F491" t="s">
        <v>437</v>
      </c>
      <c r="G491" t="str" cm="1">
        <f t="array" ref="G491">_xlfn.IFS(LEN(F491)=1, "00" &amp; F491, (LEN(F491))=2, "0" &amp; F491, (LEN(F491))&gt;=3, F491)</f>
        <v>Samson Kofi Mintah</v>
      </c>
    </row>
    <row r="492" spans="6:7">
      <c r="F492" t="s">
        <v>418</v>
      </c>
      <c r="G492" t="str" cm="1">
        <f t="array" ref="G492">_xlfn.IFS(LEN(F492)=1, "00" &amp; F492, (LEN(F492))=2, "0" &amp; F492, (LEN(F492))&gt;=3, F492)</f>
        <v>Akua</v>
      </c>
    </row>
    <row r="493" spans="6:7">
      <c r="F493" t="s">
        <v>444</v>
      </c>
      <c r="G493" t="str" cm="1">
        <f t="array" ref="G493">_xlfn.IFS(LEN(F493)=1, "00" &amp; F493, (LEN(F493))=2, "0" &amp; F493, (LEN(F493))&gt;=3, F493)</f>
        <v>George Frimpong</v>
      </c>
    </row>
    <row r="494" spans="6:7">
      <c r="F494" t="s">
        <v>447</v>
      </c>
      <c r="G494" t="str" cm="1">
        <f t="array" ref="G494">_xlfn.IFS(LEN(F494)=1, "00" &amp; F494, (LEN(F494))=2, "0" &amp; F494, (LEN(F494))&gt;=3, F494)</f>
        <v>Akosua Yeboah</v>
      </c>
    </row>
    <row r="495" spans="6:7">
      <c r="F495" t="s">
        <v>450</v>
      </c>
      <c r="G495" t="str" cm="1">
        <f t="array" ref="G495">_xlfn.IFS(LEN(F495)=1, "00" &amp; F495, (LEN(F495))=2, "0" &amp; F495, (LEN(F495))&gt;=3, F495)</f>
        <v>Yvette Asor</v>
      </c>
    </row>
    <row r="496" spans="6:7">
      <c r="F496" t="s">
        <v>454</v>
      </c>
      <c r="G496" t="str" cm="1">
        <f t="array" ref="G496">_xlfn.IFS(LEN(F496)=1, "00" &amp; F496, (LEN(F496))=2, "0" &amp; F496, (LEN(F496))&gt;=3, F496)</f>
        <v>William Mensah</v>
      </c>
    </row>
    <row r="497" spans="6:7">
      <c r="F497" t="s">
        <v>458</v>
      </c>
      <c r="G497" t="str" cm="1">
        <f t="array" ref="G497">_xlfn.IFS(LEN(F497)=1, "00" &amp; F497, (LEN(F497))=2, "0" &amp; F497, (LEN(F497))&gt;=3, F497)</f>
        <v>Charles Odurakwa</v>
      </c>
    </row>
    <row r="498" spans="6:7">
      <c r="F498" t="s">
        <v>461</v>
      </c>
      <c r="G498" t="str" cm="1">
        <f t="array" ref="G498">_xlfn.IFS(LEN(F498)=1, "00" &amp; F498, (LEN(F498))=2, "0" &amp; F498, (LEN(F498))&gt;=3, F498)</f>
        <v>Alex Prah</v>
      </c>
    </row>
    <row r="499" spans="6:7">
      <c r="F499" t="s">
        <v>464</v>
      </c>
      <c r="G499" t="str" cm="1">
        <f t="array" ref="G499">_xlfn.IFS(LEN(F499)=1, "00" &amp; F499, (LEN(F499))=2, "0" &amp; F499, (LEN(F499))&gt;=3, F499)</f>
        <v>Margaret Ofosua</v>
      </c>
    </row>
    <row r="500" spans="6:7">
      <c r="F500" t="s">
        <v>467</v>
      </c>
      <c r="G500" t="str" cm="1">
        <f t="array" ref="G500">_xlfn.IFS(LEN(F500)=1, "00" &amp; F500, (LEN(F500))=2, "0" &amp; F500, (LEN(F500))&gt;=3, F500)</f>
        <v>Faustina Sarfoaa</v>
      </c>
    </row>
    <row r="501" spans="6:7">
      <c r="F501" t="s">
        <v>471</v>
      </c>
      <c r="G501" t="str" cm="1">
        <f t="array" ref="G501">_xlfn.IFS(LEN(F501)=1, "00" &amp; F501, (LEN(F501))=2, "0" &amp; F501, (LEN(F501))&gt;=3, F501)</f>
        <v>Stephen Kofi Boateng</v>
      </c>
    </row>
    <row r="502" spans="6:7">
      <c r="F502" t="s">
        <v>476</v>
      </c>
      <c r="G502" t="str" cm="1">
        <f t="array" ref="G502">_xlfn.IFS(LEN(F502)=1, "00" &amp; F502, (LEN(F502))=2, "0" &amp; F502, (LEN(F502))&gt;=3, F502)</f>
        <v>Anane Kwame</v>
      </c>
    </row>
    <row r="503" spans="6:7">
      <c r="F503" t="s">
        <v>480</v>
      </c>
      <c r="G503" t="str" cm="1">
        <f t="array" ref="G503">_xlfn.IFS(LEN(F503)=1, "00" &amp; F503, (LEN(F503))=2, "0" &amp; F503, (LEN(F503))&gt;=3, F503)</f>
        <v>Beatrice Agyeiwaa</v>
      </c>
    </row>
    <row r="504" spans="6:7">
      <c r="F504" t="s">
        <v>485</v>
      </c>
      <c r="G504" t="str" cm="1">
        <f t="array" ref="G504">_xlfn.IFS(LEN(F504)=1, "00" &amp; F504, (LEN(F504))=2, "0" &amp; F504, (LEN(F504))&gt;=3, F504)</f>
        <v>Kwabena Ntiamoah</v>
      </c>
    </row>
    <row r="505" spans="6:7">
      <c r="F505" t="s">
        <v>490</v>
      </c>
      <c r="G505" t="str" cm="1">
        <f t="array" ref="G505">_xlfn.IFS(LEN(F505)=1, "00" &amp; F505, (LEN(F505))=2, "0" &amp; F505, (LEN(F505))&gt;=3, F505)</f>
        <v>Mama Gladys</v>
      </c>
    </row>
    <row r="506" spans="6:7">
      <c r="F506" t="s">
        <v>493</v>
      </c>
      <c r="G506" t="str" cm="1">
        <f t="array" ref="G506">_xlfn.IFS(LEN(F506)=1, "00" &amp; F506, (LEN(F506))=2, "0" &amp; F506, (LEN(F506))&gt;=3, F506)</f>
        <v>Regina Odurowaa</v>
      </c>
    </row>
    <row r="507" spans="6:7">
      <c r="F507" t="s">
        <v>496</v>
      </c>
      <c r="G507" t="str" cm="1">
        <f t="array" ref="G507">_xlfn.IFS(LEN(F507)=1, "00" &amp; F507, (LEN(F507))=2, "0" &amp; F507, (LEN(F507))&gt;=3, F507)</f>
        <v>Christina Antwi</v>
      </c>
    </row>
    <row r="508" spans="6:7">
      <c r="F508" t="s">
        <v>125</v>
      </c>
      <c r="G508" t="str" cm="1">
        <f t="array" ref="G508">_xlfn.IFS(LEN(F508)=1, "00" &amp; F508, (LEN(F508))=2, "0" &amp; F508, (LEN(F508))&gt;=3, F508)</f>
        <v>Kwabena Asiamah</v>
      </c>
    </row>
    <row r="509" spans="6:7">
      <c r="F509" t="s">
        <v>501</v>
      </c>
      <c r="G509" t="str" cm="1">
        <f t="array" ref="G509">_xlfn.IFS(LEN(F509)=1, "00" &amp; F509, (LEN(F509))=2, "0" &amp; F509, (LEN(F509))&gt;=3, F509)</f>
        <v>Akosua Otiwaa</v>
      </c>
    </row>
    <row r="510" spans="6:7">
      <c r="F510" t="s">
        <v>505</v>
      </c>
      <c r="G510" t="str" cm="1">
        <f t="array" ref="G510">_xlfn.IFS(LEN(F510)=1, "00" &amp; F510, (LEN(F510))=2, "0" &amp; F510, (LEN(F510))&gt;=3, F510)</f>
        <v xml:space="preserve">Dora </v>
      </c>
    </row>
    <row r="511" spans="6:7">
      <c r="F511" t="s">
        <v>509</v>
      </c>
      <c r="G511" t="str" cm="1">
        <f t="array" ref="G511">_xlfn.IFS(LEN(F511)=1, "00" &amp; F511, (LEN(F511))=2, "0" &amp; F511, (LEN(F511))&gt;=3, F511)</f>
        <v>Antwi Darkwah</v>
      </c>
    </row>
    <row r="512" spans="6:7">
      <c r="F512" t="s">
        <v>514</v>
      </c>
      <c r="G512" t="str" cm="1">
        <f t="array" ref="G512">_xlfn.IFS(LEN(F512)=1, "00" &amp; F512, (LEN(F512))=2, "0" &amp; F512, (LEN(F512))&gt;=3, F512)</f>
        <v>Ernestina Sarpeh</v>
      </c>
    </row>
    <row r="513" spans="6:7">
      <c r="F513" t="s">
        <v>518</v>
      </c>
      <c r="G513" t="str" cm="1">
        <f t="array" ref="G513">_xlfn.IFS(LEN(F513)=1, "00" &amp; F513, (LEN(F513))=2, "0" &amp; F513, (LEN(F513))&gt;=3, F513)</f>
        <v>Victor Gameh</v>
      </c>
    </row>
    <row r="514" spans="6:7">
      <c r="F514" t="s">
        <v>522</v>
      </c>
      <c r="G514" t="str" cm="1">
        <f t="array" ref="G514">_xlfn.IFS(LEN(F514)=1, "00" &amp; F514, (LEN(F514))=2, "0" &amp; F514, (LEN(F514))&gt;=3, F514)</f>
        <v>Yaa Love</v>
      </c>
    </row>
    <row r="515" spans="6:7">
      <c r="F515" t="s">
        <v>525</v>
      </c>
      <c r="G515" t="str" cm="1">
        <f t="array" ref="G515">_xlfn.IFS(LEN(F515)=1, "00" &amp; F515, (LEN(F515))=2, "0" &amp; F515, (LEN(F515))&gt;=3, F515)</f>
        <v>Yaw Twum</v>
      </c>
    </row>
    <row r="516" spans="6:7">
      <c r="F516" t="s">
        <v>530</v>
      </c>
      <c r="G516" t="str" cm="1">
        <f t="array" ref="G516">_xlfn.IFS(LEN(F516)=1, "00" &amp; F516, (LEN(F516))=2, "0" &amp; F516, (LEN(F516))&gt;=3, F516)</f>
        <v>Akyea Frimpong</v>
      </c>
    </row>
    <row r="517" spans="6:7">
      <c r="F517" t="s">
        <v>535</v>
      </c>
      <c r="G517" t="str" cm="1">
        <f t="array" ref="G517">_xlfn.IFS(LEN(F517)=1, "00" &amp; F517, (LEN(F517))=2, "0" &amp; F517, (LEN(F517))&gt;=3, F517)</f>
        <v>Asare Antwi</v>
      </c>
    </row>
    <row r="518" spans="6:7">
      <c r="F518" t="s">
        <v>539</v>
      </c>
      <c r="G518" t="str" cm="1">
        <f t="array" ref="G518">_xlfn.IFS(LEN(F518)=1, "00" &amp; F518, (LEN(F518))=2, "0" &amp; F518, (LEN(F518))&gt;=3, F518)</f>
        <v>Ophelia Ama Dede</v>
      </c>
    </row>
    <row r="519" spans="6:7">
      <c r="F519" t="s">
        <v>544</v>
      </c>
      <c r="G519" t="str" cm="1">
        <f t="array" ref="G519">_xlfn.IFS(LEN(F519)=1, "00" &amp; F519, (LEN(F519))=2, "0" &amp; F519, (LEN(F519))&gt;=3, F519)</f>
        <v>Darko Dickson</v>
      </c>
    </row>
    <row r="520" spans="6:7">
      <c r="F520" t="s">
        <v>549</v>
      </c>
      <c r="G520" t="str" cm="1">
        <f t="array" ref="G520">_xlfn.IFS(LEN(F520)=1, "00" &amp; F520, (LEN(F520))=2, "0" &amp; F520, (LEN(F520))&gt;=3, F520)</f>
        <v>Grace Afrah</v>
      </c>
    </row>
    <row r="521" spans="6:7">
      <c r="F521" t="s">
        <v>553</v>
      </c>
      <c r="G521" t="str" cm="1">
        <f t="array" ref="G521">_xlfn.IFS(LEN(F521)=1, "00" &amp; F521, (LEN(F521))=2, "0" &amp; F521, (LEN(F521))&gt;=3, F521)</f>
        <v>Simon Kofi Odonkor</v>
      </c>
    </row>
    <row r="522" spans="6:7">
      <c r="F522" t="s">
        <v>558</v>
      </c>
      <c r="G522" t="str" cm="1">
        <f t="array" ref="G522">_xlfn.IFS(LEN(F522)=1, "00" &amp; F522, (LEN(F522))=2, "0" &amp; F522, (LEN(F522))&gt;=3, F522)</f>
        <v>Afia Nana</v>
      </c>
    </row>
    <row r="523" spans="6:7">
      <c r="F523" t="s">
        <v>562</v>
      </c>
      <c r="G523" t="str" cm="1">
        <f t="array" ref="G523">_xlfn.IFS(LEN(F523)=1, "00" &amp; F523, (LEN(F523))=2, "0" &amp; F523, (LEN(F523))&gt;=3, F523)</f>
        <v>Selina Donkor Ofosua</v>
      </c>
    </row>
    <row r="524" spans="6:7">
      <c r="F524" t="s">
        <v>567</v>
      </c>
      <c r="G524" t="str" cm="1">
        <f t="array" ref="G524">_xlfn.IFS(LEN(F524)=1, "00" &amp; F524, (LEN(F524))=2, "0" &amp; F524, (LEN(F524))&gt;=3, F524)</f>
        <v>Mary Nnisin</v>
      </c>
    </row>
    <row r="525" spans="6:7">
      <c r="F525" t="s">
        <v>572</v>
      </c>
      <c r="G525" t="str" cm="1">
        <f t="array" ref="G525">_xlfn.IFS(LEN(F525)=1, "00" &amp; F525, (LEN(F525))=2, "0" &amp; F525, (LEN(F525))&gt;=3, F525)</f>
        <v>Alice Abena Korkor</v>
      </c>
    </row>
    <row r="526" spans="6:7">
      <c r="F526" t="s">
        <v>577</v>
      </c>
      <c r="G526" t="str" cm="1">
        <f t="array" ref="G526">_xlfn.IFS(LEN(F526)=1, "00" &amp; F526, (LEN(F526))=2, "0" &amp; F526, (LEN(F526))&gt;=3, F526)</f>
        <v>Grace Ampofowaa</v>
      </c>
    </row>
    <row r="527" spans="6:7">
      <c r="F527" t="s">
        <v>582</v>
      </c>
      <c r="G527" t="str" cm="1">
        <f t="array" ref="G527">_xlfn.IFS(LEN(F527)=1, "00" &amp; F527, (LEN(F527))=2, "0" &amp; F527, (LEN(F527))&gt;=3, F527)</f>
        <v>Janet Adwapa</v>
      </c>
    </row>
    <row r="528" spans="6:7">
      <c r="F528" t="s">
        <v>587</v>
      </c>
      <c r="G528" t="str" cm="1">
        <f t="array" ref="G528">_xlfn.IFS(LEN(F528)=1, "00" &amp; F528, (LEN(F528))=2, "0" &amp; F528, (LEN(F528))&gt;=3, F528)</f>
        <v>Jennifer Kyeraa</v>
      </c>
    </row>
    <row r="529" spans="6:7">
      <c r="F529" t="s">
        <v>592</v>
      </c>
      <c r="G529" t="str" cm="1">
        <f t="array" ref="G529">_xlfn.IFS(LEN(F529)=1, "00" &amp; F529, (LEN(F529))=2, "0" &amp; F529, (LEN(F529))&gt;=3, F529)</f>
        <v>Abena Bedge</v>
      </c>
    </row>
    <row r="530" spans="6:7">
      <c r="F530" t="s">
        <v>597</v>
      </c>
      <c r="G530" t="str" cm="1">
        <f t="array" ref="G530">_xlfn.IFS(LEN(F530)=1, "00" &amp; F530, (LEN(F530))=2, "0" &amp; F530, (LEN(F530))&gt;=3, F530)</f>
        <v>Isaac Kwasi Appiah</v>
      </c>
    </row>
    <row r="531" spans="6:7">
      <c r="F531" t="s">
        <v>601</v>
      </c>
      <c r="G531" t="str" cm="1">
        <f t="array" ref="G531">_xlfn.IFS(LEN(F531)=1, "00" &amp; F531, (LEN(F531))=2, "0" &amp; F531, (LEN(F531))&gt;=3, F531)</f>
        <v>Alfred Kwaku Gyensah</v>
      </c>
    </row>
    <row r="532" spans="6:7">
      <c r="F532" t="s">
        <v>606</v>
      </c>
      <c r="G532" t="str" cm="1">
        <f t="array" ref="G532">_xlfn.IFS(LEN(F532)=1, "00" &amp; F532, (LEN(F532))=2, "0" &amp; F532, (LEN(F532))&gt;=3, F532)</f>
        <v>Kwasi George</v>
      </c>
    </row>
    <row r="533" spans="6:7">
      <c r="F533" t="s">
        <v>611</v>
      </c>
      <c r="G533" t="str" cm="1">
        <f t="array" ref="G533">_xlfn.IFS(LEN(F533)=1, "00" &amp; F533, (LEN(F533))=2, "0" &amp; F533, (LEN(F533))&gt;=3, F533)</f>
        <v>Mercy Acheampomaa</v>
      </c>
    </row>
    <row r="534" spans="6:7">
      <c r="F534" t="s">
        <v>615</v>
      </c>
      <c r="G534" t="str" cm="1">
        <f t="array" ref="G534">_xlfn.IFS(LEN(F534)=1, "00" &amp; F534, (LEN(F534))=2, "0" &amp; F534, (LEN(F534))&gt;=3, F534)</f>
        <v>Mabel Afrah</v>
      </c>
    </row>
    <row r="535" spans="6:7">
      <c r="F535" t="s">
        <v>620</v>
      </c>
      <c r="G535" t="str" cm="1">
        <f t="array" ref="G535">_xlfn.IFS(LEN(F535)=1, "00" &amp; F535, (LEN(F535))=2, "0" &amp; F535, (LEN(F535))&gt;=3, F535)</f>
        <v>Erica Boakye</v>
      </c>
    </row>
    <row r="536" spans="6:7">
      <c r="F536" t="s">
        <v>624</v>
      </c>
      <c r="G536" t="str" cm="1">
        <f t="array" ref="G536">_xlfn.IFS(LEN(F536)=1, "00" &amp; F536, (LEN(F536))=2, "0" &amp; F536, (LEN(F536))&gt;=3, F536)</f>
        <v>Mercy Yeboah</v>
      </c>
    </row>
    <row r="537" spans="6:7">
      <c r="F537" t="s">
        <v>628</v>
      </c>
      <c r="G537" t="str" cm="1">
        <f t="array" ref="G537">_xlfn.IFS(LEN(F537)=1, "00" &amp; F537, (LEN(F537))=2, "0" &amp; F537, (LEN(F537))&gt;=3, F537)</f>
        <v>Joseph Bortey Alabi</v>
      </c>
    </row>
    <row r="538" spans="6:7">
      <c r="F538" t="s">
        <v>633</v>
      </c>
      <c r="G538" t="str" cm="1">
        <f t="array" ref="G538">_xlfn.IFS(LEN(F538)=1, "00" &amp; F538, (LEN(F538))=2, "0" &amp; F538, (LEN(F538))&gt;=3, F538)</f>
        <v>Comfort Awo</v>
      </c>
    </row>
    <row r="539" spans="6:7">
      <c r="F539" t="s">
        <v>638</v>
      </c>
      <c r="G539" t="str" cm="1">
        <f t="array" ref="G539">_xlfn.IFS(LEN(F539)=1, "00" &amp; F539, (LEN(F539))=2, "0" &amp; F539, (LEN(F539))&gt;=3, F539)</f>
        <v>Kwame Attah</v>
      </c>
    </row>
    <row r="540" spans="6:7">
      <c r="F540" t="s">
        <v>643</v>
      </c>
      <c r="G540" t="str" cm="1">
        <f t="array" ref="G540">_xlfn.IFS(LEN(F540)=1, "00" &amp; F540, (LEN(F540))=2, "0" &amp; F540, (LEN(F540))&gt;=3, F540)</f>
        <v>Yaw Nyarko</v>
      </c>
    </row>
    <row r="541" spans="6:7">
      <c r="F541" t="s">
        <v>648</v>
      </c>
      <c r="G541" t="str" cm="1">
        <f t="array" ref="G541">_xlfn.IFS(LEN(F541)=1, "00" &amp; F541, (LEN(F541))=2, "0" &amp; F541, (LEN(F541))&gt;=3, F541)</f>
        <v>Kwasi Yeboah</v>
      </c>
    </row>
    <row r="542" spans="6:7">
      <c r="F542" t="s">
        <v>653</v>
      </c>
      <c r="G542" t="str" cm="1">
        <f t="array" ref="G542">_xlfn.IFS(LEN(F542)=1, "00" &amp; F542, (LEN(F542))=2, "0" &amp; F542, (LEN(F542))&gt;=3, F542)</f>
        <v>Yaw Mark Adu</v>
      </c>
    </row>
    <row r="543" spans="6:7">
      <c r="F543" t="s">
        <v>658</v>
      </c>
      <c r="G543" t="str" cm="1">
        <f t="array" ref="G543">_xlfn.IFS(LEN(F543)=1, "00" &amp; F543, (LEN(F543))=2, "0" &amp; F543, (LEN(F543))&gt;=3, F543)</f>
        <v>Margaret Boatemaa</v>
      </c>
    </row>
    <row r="544" spans="6:7">
      <c r="F544" t="s">
        <v>663</v>
      </c>
      <c r="G544" t="str" cm="1">
        <f t="array" ref="G544">_xlfn.IFS(LEN(F544)=1, "00" &amp; F544, (LEN(F544))=2, "0" &amp; F544, (LEN(F544))&gt;=3, F544)</f>
        <v>Emmanuel Amoako G.</v>
      </c>
    </row>
    <row r="545" spans="6:7">
      <c r="F545" t="s">
        <v>668</v>
      </c>
      <c r="G545" t="str" cm="1">
        <f t="array" ref="G545">_xlfn.IFS(LEN(F545)=1, "00" &amp; F545, (LEN(F545))=2, "0" &amp; F545, (LEN(F545))&gt;=3, F545)</f>
        <v>Joyce Oforiwaa</v>
      </c>
    </row>
    <row r="546" spans="6:7">
      <c r="F546" t="s">
        <v>673</v>
      </c>
      <c r="G546" t="str" cm="1">
        <f t="array" ref="G546">_xlfn.IFS(LEN(F546)=1, "00" &amp; F546, (LEN(F546))=2, "0" &amp; F546, (LEN(F546))&gt;=3, F546)</f>
        <v>Florence Kumiwaa</v>
      </c>
    </row>
    <row r="547" spans="6:7">
      <c r="F547" t="s">
        <v>678</v>
      </c>
      <c r="G547" t="str" cm="1">
        <f t="array" ref="G547">_xlfn.IFS(LEN(F547)=1, "00" &amp; F547, (LEN(F547))=2, "0" &amp; F547, (LEN(F547))&gt;=3, F547)</f>
        <v>Noah Teye</v>
      </c>
    </row>
    <row r="548" spans="6:7">
      <c r="F548" t="s">
        <v>683</v>
      </c>
      <c r="G548" t="str" cm="1">
        <f t="array" ref="G548">_xlfn.IFS(LEN(F548)=1, "00" &amp; F548, (LEN(F548))=2, "0" &amp; F548, (LEN(F548))&gt;=3, F548)</f>
        <v>Kwame Agyei</v>
      </c>
    </row>
    <row r="549" spans="6:7">
      <c r="F549" t="s">
        <v>688</v>
      </c>
      <c r="G549" t="str" cm="1">
        <f t="array" ref="G549">_xlfn.IFS(LEN(F549)=1, "00" &amp; F549, (LEN(F549))=2, "0" &amp; F549, (LEN(F549))&gt;=3, F549)</f>
        <v>Afia Martha Frimpomaa</v>
      </c>
    </row>
    <row r="550" spans="6:7">
      <c r="F550" t="s">
        <v>692</v>
      </c>
      <c r="G550" t="str" cm="1">
        <f t="array" ref="G550">_xlfn.IFS(LEN(F550)=1, "00" &amp; F550, (LEN(F550))=2, "0" &amp; F550, (LEN(F550))&gt;=3, F550)</f>
        <v>Comfort Appeah</v>
      </c>
    </row>
    <row r="551" spans="6:7">
      <c r="F551" t="s">
        <v>697</v>
      </c>
      <c r="G551" t="str" cm="1">
        <f t="array" ref="G551">_xlfn.IFS(LEN(F551)=1, "00" &amp; F551, (LEN(F551))=2, "0" &amp; F551, (LEN(F551))&gt;=3, F551)</f>
        <v>Kwasi Asare</v>
      </c>
    </row>
    <row r="552" spans="6:7">
      <c r="F552" t="s">
        <v>702</v>
      </c>
      <c r="G552" t="str" cm="1">
        <f t="array" ref="G552">_xlfn.IFS(LEN(F552)=1, "00" &amp; F552, (LEN(F552))=2, "0" &amp; F552, (LEN(F552))&gt;=3, F552)</f>
        <v>Samuel Nyarko</v>
      </c>
    </row>
    <row r="553" spans="6:7">
      <c r="F553" t="s">
        <v>706</v>
      </c>
      <c r="G553" t="str" cm="1">
        <f t="array" ref="G553">_xlfn.IFS(LEN(F553)=1, "00" &amp; F553, (LEN(F553))=2, "0" &amp; F553, (LEN(F553))&gt;=3, F553)</f>
        <v>Yaa Ntiamoah</v>
      </c>
    </row>
    <row r="554" spans="6:7">
      <c r="F554" t="s">
        <v>711</v>
      </c>
      <c r="G554" t="str" cm="1">
        <f t="array" ref="G554">_xlfn.IFS(LEN(F554)=1, "00" &amp; F554, (LEN(F554))=2, "0" &amp; F554, (LEN(F554))&gt;=3, F554)</f>
        <v>Ebenezer Ofosuhene Antwi</v>
      </c>
    </row>
    <row r="555" spans="6:7">
      <c r="F555" t="s">
        <v>716</v>
      </c>
      <c r="G555" t="str" cm="1">
        <f t="array" ref="G555">_xlfn.IFS(LEN(F555)=1, "00" &amp; F555, (LEN(F555))=2, "0" &amp; F555, (LEN(F555))&gt;=3, F555)</f>
        <v>Yaw Darko</v>
      </c>
    </row>
    <row r="556" spans="6:7">
      <c r="F556" t="s">
        <v>721</v>
      </c>
      <c r="G556" t="str" cm="1">
        <f t="array" ref="G556">_xlfn.IFS(LEN(F556)=1, "00" &amp; F556, (LEN(F556))=2, "0" &amp; F556, (LEN(F556))&gt;=3, F556)</f>
        <v>Comfort Abong</v>
      </c>
    </row>
    <row r="557" spans="6:7">
      <c r="F557" t="s">
        <v>182</v>
      </c>
      <c r="G557" t="str" cm="1">
        <f t="array" ref="G557">_xlfn.IFS(LEN(F557)=1, "00" &amp; F557, (LEN(F557))=2, "0" &amp; F557, (LEN(F557))&gt;=3, F557)</f>
        <v>Thomas Peprah</v>
      </c>
    </row>
    <row r="558" spans="6:7">
      <c r="F558" t="s">
        <v>728</v>
      </c>
      <c r="G558" t="str" cm="1">
        <f t="array" ref="G558">_xlfn.IFS(LEN(F558)=1, "00" &amp; F558, (LEN(F558))=2, "0" &amp; F558, (LEN(F558))&gt;=3, F558)</f>
        <v>Mina Asantewaa</v>
      </c>
    </row>
    <row r="559" spans="6:7">
      <c r="F559" t="s">
        <v>732</v>
      </c>
      <c r="G559" t="str" cm="1">
        <f t="array" ref="G559">_xlfn.IFS(LEN(F559)=1, "00" &amp; F559, (LEN(F559))=2, "0" &amp; F559, (LEN(F559))&gt;=3, F559)</f>
        <v>Regina Konadu</v>
      </c>
    </row>
    <row r="560" spans="6:7">
      <c r="F560" t="s">
        <v>734</v>
      </c>
      <c r="G560" t="str" cm="1">
        <f t="array" ref="G560">_xlfn.IFS(LEN(F560)=1, "00" &amp; F560, (LEN(F560))=2, "0" &amp; F560, (LEN(F560))&gt;=3, F560)</f>
        <v>Yawson Asante</v>
      </c>
    </row>
    <row r="561" spans="6:7">
      <c r="F561" t="s">
        <v>738</v>
      </c>
      <c r="G561" t="str" cm="1">
        <f t="array" ref="G561">_xlfn.IFS(LEN(F561)=1, "00" &amp; F561, (LEN(F561))=2, "0" &amp; F561, (LEN(F561))&gt;=3, F561)</f>
        <v>Felix Kwadwo Ampofo</v>
      </c>
    </row>
    <row r="562" spans="6:7">
      <c r="F562" t="s">
        <v>742</v>
      </c>
      <c r="G562" t="str" cm="1">
        <f t="array" ref="G562">_xlfn.IFS(LEN(F562)=1, "00" &amp; F562, (LEN(F562))=2, "0" &amp; F562, (LEN(F562))&gt;=3, F562)</f>
        <v>Yaa Asuma</v>
      </c>
    </row>
    <row r="563" spans="6:7">
      <c r="F563" t="s">
        <v>746</v>
      </c>
      <c r="G563" t="str" cm="1">
        <f t="array" ref="G563">_xlfn.IFS(LEN(F563)=1, "00" &amp; F563, (LEN(F563))=2, "0" &amp; F563, (LEN(F563))&gt;=3, F563)</f>
        <v>Dickson Kwame</v>
      </c>
    </row>
    <row r="564" spans="6:7">
      <c r="F564" t="s">
        <v>750</v>
      </c>
      <c r="G564" t="str" cm="1">
        <f t="array" ref="G564">_xlfn.IFS(LEN(F564)=1, "00" &amp; F564, (LEN(F564))=2, "0" &amp; F564, (LEN(F564))&gt;=3, F564)</f>
        <v>Adwoa Darkwaa</v>
      </c>
    </row>
    <row r="565" spans="6:7">
      <c r="F565" t="s">
        <v>755</v>
      </c>
      <c r="G565" t="str" cm="1">
        <f t="array" ref="G565">_xlfn.IFS(LEN(F565)=1, "00" &amp; F565, (LEN(F565))=2, "0" &amp; F565, (LEN(F565))&gt;=3, F565)</f>
        <v>Nelson Kwasi Nartey</v>
      </c>
    </row>
    <row r="566" spans="6:7">
      <c r="F566" t="s">
        <v>760</v>
      </c>
      <c r="G566" t="str" cm="1">
        <f t="array" ref="G566">_xlfn.IFS(LEN(F566)=1, "00" &amp; F566, (LEN(F566))=2, "0" &amp; F566, (LEN(F566))&gt;=3, F566)</f>
        <v>Yaw Oppong</v>
      </c>
    </row>
    <row r="567" spans="6:7">
      <c r="F567" t="s">
        <v>764</v>
      </c>
      <c r="G567" t="str" cm="1">
        <f t="array" ref="G567">_xlfn.IFS(LEN(F567)=1, "00" &amp; F567, (LEN(F567))=2, "0" &amp; F567, (LEN(F567))&gt;=3, F567)</f>
        <v>Dora Afrah</v>
      </c>
    </row>
    <row r="568" spans="6:7">
      <c r="F568" t="s">
        <v>768</v>
      </c>
      <c r="G568" t="str" cm="1">
        <f t="array" ref="G568">_xlfn.IFS(LEN(F568)=1, "00" &amp; F568, (LEN(F568))=2, "0" &amp; F568, (LEN(F568))&gt;=3, F568)</f>
        <v>Alice Asaah</v>
      </c>
    </row>
    <row r="569" spans="6:7">
      <c r="F569" t="s">
        <v>771</v>
      </c>
      <c r="G569" t="str" cm="1">
        <f t="array" ref="G569">_xlfn.IFS(LEN(F569)=1, "00" &amp; F569, (LEN(F569))=2, "0" &amp; F569, (LEN(F569))&gt;=3, F569)</f>
        <v>Patience Oforiwaa</v>
      </c>
    </row>
    <row r="570" spans="6:7">
      <c r="F570" t="s">
        <v>775</v>
      </c>
      <c r="G570" t="str" cm="1">
        <f t="array" ref="G570">_xlfn.IFS(LEN(F570)=1, "00" &amp; F570, (LEN(F570))=2, "0" &amp; F570, (LEN(F570))&gt;=3, F570)</f>
        <v>Man Togo</v>
      </c>
    </row>
    <row r="571" spans="6:7">
      <c r="F571" t="s">
        <v>779</v>
      </c>
      <c r="G571" t="str" cm="1">
        <f t="array" ref="G571">_xlfn.IFS(LEN(F571)=1, "00" &amp; F571, (LEN(F571))=2, "0" &amp; F571, (LEN(F571))&gt;=3, F571)</f>
        <v>Doris Ohenewaa</v>
      </c>
    </row>
    <row r="572" spans="6:7">
      <c r="F572" t="s">
        <v>783</v>
      </c>
      <c r="G572" t="str" cm="1">
        <f t="array" ref="G572">_xlfn.IFS(LEN(F572)=1, "00" &amp; F572, (LEN(F572))=2, "0" &amp; F572, (LEN(F572))&gt;=3, F572)</f>
        <v>Daniel Kwame Marfo</v>
      </c>
    </row>
    <row r="573" spans="6:7">
      <c r="F573" t="s">
        <v>786</v>
      </c>
      <c r="G573" t="str" cm="1">
        <f t="array" ref="G573">_xlfn.IFS(LEN(F573)=1, "00" &amp; F573, (LEN(F573))=2, "0" &amp; F573, (LEN(F573))&gt;=3, F573)</f>
        <v>Sophia Frimpong</v>
      </c>
    </row>
    <row r="574" spans="6:7">
      <c r="F574" t="s">
        <v>790</v>
      </c>
      <c r="G574" t="str" cm="1">
        <f t="array" ref="G574">_xlfn.IFS(LEN(F574)=1, "00" &amp; F574, (LEN(F574))=2, "0" &amp; F574, (LEN(F574))&gt;=3, F574)</f>
        <v>Afi Tagbor</v>
      </c>
    </row>
    <row r="575" spans="6:7">
      <c r="F575" t="s">
        <v>794</v>
      </c>
      <c r="G575" t="str" cm="1">
        <f t="array" ref="G575">_xlfn.IFS(LEN(F575)=1, "00" &amp; F575, (LEN(F575))=2, "0" &amp; F575, (LEN(F575))&gt;=3, F575)</f>
        <v>Rose Animah</v>
      </c>
    </row>
    <row r="576" spans="6:7">
      <c r="F576" t="s">
        <v>798</v>
      </c>
      <c r="G576" t="str" cm="1">
        <f t="array" ref="G576">_xlfn.IFS(LEN(F576)=1, "00" &amp; F576, (LEN(F576))=2, "0" &amp; F576, (LEN(F576))&gt;=3, F576)</f>
        <v>Sarah Attaa</v>
      </c>
    </row>
    <row r="577" spans="6:7">
      <c r="F577" t="s">
        <v>802</v>
      </c>
      <c r="G577" t="str" cm="1">
        <f t="array" ref="G577">_xlfn.IFS(LEN(F577)=1, "00" &amp; F577, (LEN(F577))=2, "0" &amp; F577, (LEN(F577))&gt;=3, F577)</f>
        <v>Samuel Akuako</v>
      </c>
    </row>
    <row r="578" spans="6:7">
      <c r="F578" t="s">
        <v>806</v>
      </c>
      <c r="G578" t="str" cm="1">
        <f t="array" ref="G578">_xlfn.IFS(LEN(F578)=1, "00" &amp; F578, (LEN(F578))=2, "0" &amp; F578, (LEN(F578))&gt;=3, F578)</f>
        <v>Daniel Opoku</v>
      </c>
    </row>
    <row r="579" spans="6:7">
      <c r="F579" t="s">
        <v>810</v>
      </c>
      <c r="G579" t="str" cm="1">
        <f t="array" ref="G579">_xlfn.IFS(LEN(F579)=1, "00" &amp; F579, (LEN(F579))=2, "0" &amp; F579, (LEN(F579))&gt;=3, F579)</f>
        <v>Comfort Afrah</v>
      </c>
    </row>
    <row r="580" spans="6:7">
      <c r="F580" t="s">
        <v>813</v>
      </c>
      <c r="G580" t="str" cm="1">
        <f t="array" ref="G580">_xlfn.IFS(LEN(F580)=1, "00" &amp; F580, (LEN(F580))=2, "0" &amp; F580, (LEN(F580))&gt;=3, F580)</f>
        <v>Esther Serwaa</v>
      </c>
    </row>
    <row r="581" spans="6:7">
      <c r="F581" t="s">
        <v>817</v>
      </c>
      <c r="G581" t="str" cm="1">
        <f t="array" ref="G581">_xlfn.IFS(LEN(F581)=1, "00" &amp; F581, (LEN(F581))=2, "0" &amp; F581, (LEN(F581))&gt;=3, F581)</f>
        <v>Patrick Tetteh</v>
      </c>
    </row>
    <row r="582" spans="6:7">
      <c r="F582" t="s">
        <v>820</v>
      </c>
      <c r="G582" t="str" cm="1">
        <f t="array" ref="G582">_xlfn.IFS(LEN(F582)=1, "00" &amp; F582, (LEN(F582))=2, "0" &amp; F582, (LEN(F582))&gt;=3, F582)</f>
        <v>Grace Asiedua</v>
      </c>
    </row>
    <row r="583" spans="6:7">
      <c r="F583" t="s">
        <v>825</v>
      </c>
      <c r="G583" t="str" cm="1">
        <f t="array" ref="G583">_xlfn.IFS(LEN(F583)=1, "00" &amp; F583, (LEN(F583))=2, "0" &amp; F583, (LEN(F583))&gt;=3, F583)</f>
        <v>Alex Antwi Darko</v>
      </c>
    </row>
    <row r="584" spans="6:7">
      <c r="F584" t="s">
        <v>827</v>
      </c>
      <c r="G584" t="str" cm="1">
        <f t="array" ref="G584">_xlfn.IFS(LEN(F584)=1, "00" &amp; F584, (LEN(F584))=2, "0" &amp; F584, (LEN(F584))&gt;=3, F584)</f>
        <v>Akosua Beatrice</v>
      </c>
    </row>
    <row r="585" spans="6:7">
      <c r="F585" t="s">
        <v>831</v>
      </c>
      <c r="G585" t="str" cm="1">
        <f t="array" ref="G585">_xlfn.IFS(LEN(F585)=1, "00" &amp; F585, (LEN(F585))=2, "0" &amp; F585, (LEN(F585))&gt;=3, F585)</f>
        <v>Kwadwo Darkwah</v>
      </c>
    </row>
    <row r="586" spans="6:7">
      <c r="F586" t="s">
        <v>835</v>
      </c>
      <c r="G586" t="str" cm="1">
        <f t="array" ref="G586">_xlfn.IFS(LEN(F586)=1, "00" &amp; F586, (LEN(F586))=2, "0" &amp; F586, (LEN(F586))&gt;=3, F586)</f>
        <v>Deborah Otenewaa</v>
      </c>
    </row>
    <row r="587" spans="6:7">
      <c r="F587" t="s">
        <v>840</v>
      </c>
      <c r="G587" t="str" cm="1">
        <f t="array" ref="G587">_xlfn.IFS(LEN(F587)=1, "00" &amp; F587, (LEN(F587))=2, "0" &amp; F587, (LEN(F587))&gt;=3, F587)</f>
        <v>Godwin Adamtey</v>
      </c>
    </row>
    <row r="588" spans="6:7">
      <c r="F588" t="s">
        <v>844</v>
      </c>
      <c r="G588" t="str" cm="1">
        <f t="array" ref="G588">_xlfn.IFS(LEN(F588)=1, "00" &amp; F588, (LEN(F588))=2, "0" &amp; F588, (LEN(F588))&gt;=3, F588)</f>
        <v>Christopher Addo</v>
      </c>
    </row>
    <row r="589" spans="6:7">
      <c r="F589" t="s">
        <v>847</v>
      </c>
      <c r="G589" t="str" cm="1">
        <f t="array" ref="G589">_xlfn.IFS(LEN(F589)=1, "00" &amp; F589, (LEN(F589))=2, "0" &amp; F589, (LEN(F589))&gt;=3, F589)</f>
        <v>Rita Antwi</v>
      </c>
    </row>
    <row r="590" spans="6:7">
      <c r="F590" t="s">
        <v>851</v>
      </c>
      <c r="G590" t="str" cm="1">
        <f t="array" ref="G590">_xlfn.IFS(LEN(F590)=1, "00" &amp; F590, (LEN(F590))=2, "0" &amp; F590, (LEN(F590))&gt;=3, F590)</f>
        <v>Kofi Alhassan</v>
      </c>
    </row>
    <row r="591" spans="6:7">
      <c r="F591" t="s">
        <v>855</v>
      </c>
      <c r="G591" t="str" cm="1">
        <f t="array" ref="G591">_xlfn.IFS(LEN(F591)=1, "00" &amp; F591, (LEN(F591))=2, "0" &amp; F591, (LEN(F591))&gt;=3, F591)</f>
        <v>Francis Owusu</v>
      </c>
    </row>
    <row r="592" spans="6:7">
      <c r="F592" t="s">
        <v>859</v>
      </c>
      <c r="G592" t="str" cm="1">
        <f t="array" ref="G592">_xlfn.IFS(LEN(F592)=1, "00" &amp; F592, (LEN(F592))=2, "0" &amp; F592, (LEN(F592))&gt;=3, F592)</f>
        <v>Joseph Antiri Ofori-Atta</v>
      </c>
    </row>
    <row r="593" spans="6:7">
      <c r="F593" t="s">
        <v>863</v>
      </c>
      <c r="G593" t="str" cm="1">
        <f t="array" ref="G593">_xlfn.IFS(LEN(F593)=1, "00" &amp; F593, (LEN(F593))=2, "0" &amp; F593, (LEN(F593))&gt;=3, F593)</f>
        <v>Ama Adukpo</v>
      </c>
    </row>
    <row r="594" spans="6:7">
      <c r="F594" t="s">
        <v>866</v>
      </c>
      <c r="G594" t="str" cm="1">
        <f t="array" ref="G594">_xlfn.IFS(LEN(F594)=1, "00" &amp; F594, (LEN(F594))=2, "0" &amp; F594, (LEN(F594))&gt;=3, F594)</f>
        <v>Emmanuel Essel</v>
      </c>
    </row>
    <row r="595" spans="6:7">
      <c r="F595" t="s">
        <v>869</v>
      </c>
      <c r="G595" t="str" cm="1">
        <f t="array" ref="G595">_xlfn.IFS(LEN(F595)=1, "00" &amp; F595, (LEN(F595))=2, "0" &amp; F595, (LEN(F595))&gt;=3, F595)</f>
        <v>Dickson Amedzo</v>
      </c>
    </row>
    <row r="596" spans="6:7">
      <c r="F596" t="s">
        <v>872</v>
      </c>
      <c r="G596" t="str" cm="1">
        <f t="array" ref="G596">_xlfn.IFS(LEN(F596)=1, "00" &amp; F596, (LEN(F596))=2, "0" &amp; F596, (LEN(F596))&gt;=3, F596)</f>
        <v>Alex Kofi Darkwah</v>
      </c>
    </row>
    <row r="597" spans="6:7">
      <c r="F597" t="s">
        <v>875</v>
      </c>
      <c r="G597" t="str" cm="1">
        <f t="array" ref="G597">_xlfn.IFS(LEN(F597)=1, "00" &amp; F597, (LEN(F597))=2, "0" &amp; F597, (LEN(F597))&gt;=3, F597)</f>
        <v>Alexander Brobbey</v>
      </c>
    </row>
    <row r="598" spans="6:7">
      <c r="F598" t="s">
        <v>879</v>
      </c>
      <c r="G598" t="str" cm="1">
        <f t="array" ref="G598">_xlfn.IFS(LEN(F598)=1, "00" &amp; F598, (LEN(F598))=2, "0" &amp; F598, (LEN(F598))&gt;=3, F598)</f>
        <v>Dora Darkwaah</v>
      </c>
    </row>
    <row r="599" spans="6:7">
      <c r="F599" t="s">
        <v>884</v>
      </c>
      <c r="G599" t="str" cm="1">
        <f t="array" ref="G599">_xlfn.IFS(LEN(F599)=1, "00" &amp; F599, (LEN(F599))=2, "0" &amp; F599, (LEN(F599))&gt;=3, F599)</f>
        <v>Kofi Ametekpe</v>
      </c>
    </row>
    <row r="600" spans="6:7">
      <c r="F600" t="s">
        <v>888</v>
      </c>
      <c r="G600" t="str" cm="1">
        <f t="array" ref="G600">_xlfn.IFS(LEN(F600)=1, "00" &amp; F600, (LEN(F600))=2, "0" &amp; F600, (LEN(F600))&gt;=3, F600)</f>
        <v>Margaret Nyankson</v>
      </c>
    </row>
    <row r="601" spans="6:7">
      <c r="F601" t="s">
        <v>891</v>
      </c>
      <c r="G601" t="str" cm="1">
        <f t="array" ref="G601">_xlfn.IFS(LEN(F601)=1, "00" &amp; F601, (LEN(F601))=2, "0" &amp; F601, (LEN(F601))&gt;=3, F601)</f>
        <v>Kwasi Nimako</v>
      </c>
    </row>
    <row r="602" spans="6:7">
      <c r="F602" t="s">
        <v>894</v>
      </c>
      <c r="G602" t="str" cm="1">
        <f t="array" ref="G602">_xlfn.IFS(LEN(F602)=1, "00" &amp; F602, (LEN(F602))=2, "0" &amp; F602, (LEN(F602))&gt;=3, F602)</f>
        <v>Matilda Obenewaa</v>
      </c>
    </row>
    <row r="603" spans="6:7">
      <c r="F603" t="s">
        <v>897</v>
      </c>
      <c r="G603" t="str" cm="1">
        <f t="array" ref="G603">_xlfn.IFS(LEN(F603)=1, "00" &amp; F603, (LEN(F603))=2, "0" &amp; F603, (LEN(F603))&gt;=3, F603)</f>
        <v>Kwame Yeboah</v>
      </c>
    </row>
    <row r="604" spans="6:7">
      <c r="F604" t="s">
        <v>901</v>
      </c>
      <c r="G604" t="str" cm="1">
        <f t="array" ref="G604">_xlfn.IFS(LEN(F604)=1, "00" &amp; F604, (LEN(F604))=2, "0" &amp; F604, (LEN(F604))&gt;=3, F604)</f>
        <v>Isaac Kwabena Bosompem</v>
      </c>
    </row>
    <row r="605" spans="6:7">
      <c r="F605" t="s">
        <v>905</v>
      </c>
      <c r="G605" t="str" cm="1">
        <f t="array" ref="G605">_xlfn.IFS(LEN(F605)=1, "00" &amp; F605, (LEN(F605))=2, "0" &amp; F605, (LEN(F605))&gt;=3, F605)</f>
        <v>Beatrice Akosua Antwiwaa</v>
      </c>
    </row>
    <row r="606" spans="6:7">
      <c r="F606" t="s">
        <v>908</v>
      </c>
      <c r="G606" t="str" cm="1">
        <f t="array" ref="G606">_xlfn.IFS(LEN(F606)=1, "00" &amp; F606, (LEN(F606))=2, "0" &amp; F606, (LEN(F606))&gt;=3, F606)</f>
        <v>Kofi Darkwah</v>
      </c>
    </row>
    <row r="607" spans="6:7">
      <c r="F607" t="s">
        <v>911</v>
      </c>
      <c r="G607" t="str" cm="1">
        <f t="array" ref="G607">_xlfn.IFS(LEN(F607)=1, "00" &amp; F607, (LEN(F607))=2, "0" &amp; F607, (LEN(F607))&gt;=3, F607)</f>
        <v>Adwoa Kwakyewaa</v>
      </c>
    </row>
    <row r="608" spans="6:7">
      <c r="F608" t="s">
        <v>914</v>
      </c>
      <c r="G608" t="str" cm="1">
        <f t="array" ref="G608">_xlfn.IFS(LEN(F608)=1, "00" &amp; F608, (LEN(F608))=2, "0" &amp; F608, (LEN(F608))&gt;=3, F608)</f>
        <v>Attah Ahorku</v>
      </c>
    </row>
    <row r="609" spans="6:7">
      <c r="F609" t="s">
        <v>917</v>
      </c>
      <c r="G609" t="str" cm="1">
        <f t="array" ref="G609">_xlfn.IFS(LEN(F609)=1, "00" &amp; F609, (LEN(F609))=2, "0" &amp; F609, (LEN(F609))&gt;=3, F609)</f>
        <v>Comfort Inkum</v>
      </c>
    </row>
    <row r="610" spans="6:7">
      <c r="F610" t="s">
        <v>920</v>
      </c>
      <c r="G610" t="str" cm="1">
        <f t="array" ref="G610">_xlfn.IFS(LEN(F610)=1, "00" &amp; F610, (LEN(F610))=2, "0" &amp; F610, (LEN(F610))&gt;=3, F610)</f>
        <v>Kennedy Ampaw</v>
      </c>
    </row>
    <row r="611" spans="6:7">
      <c r="F611" t="s">
        <v>923</v>
      </c>
      <c r="G611" t="str" cm="1">
        <f t="array" ref="G611">_xlfn.IFS(LEN(F611)=1, "00" &amp; F611, (LEN(F611))=2, "0" &amp; F611, (LEN(F611))&gt;=3, F611)</f>
        <v>Emmanuel Tsati</v>
      </c>
    </row>
    <row r="612" spans="6:7">
      <c r="F612" t="s">
        <v>927</v>
      </c>
      <c r="G612" t="str" cm="1">
        <f t="array" ref="G612">_xlfn.IFS(LEN(F612)=1, "00" &amp; F612, (LEN(F612))=2, "0" &amp; F612, (LEN(F612))&gt;=3, F612)</f>
        <v>Alex Twumasi</v>
      </c>
    </row>
    <row r="613" spans="6:7">
      <c r="F613" t="s">
        <v>933</v>
      </c>
      <c r="G613" t="str" cm="1">
        <f t="array" ref="G613">_xlfn.IFS(LEN(F613)=1, "00" &amp; F613, (LEN(F613))=2, "0" &amp; F613, (LEN(F613))&gt;=3, F613)</f>
        <v>Amos Martey</v>
      </c>
    </row>
    <row r="614" spans="6:7">
      <c r="F614" t="s">
        <v>939</v>
      </c>
      <c r="G614" t="str" cm="1">
        <f t="array" ref="G614">_xlfn.IFS(LEN(F614)=1, "00" &amp; F614, (LEN(F614))=2, "0" &amp; F614, (LEN(F614))&gt;=3, F614)</f>
        <v>Comfort Bruwaa</v>
      </c>
    </row>
    <row r="615" spans="6:7">
      <c r="F615" t="s">
        <v>944</v>
      </c>
      <c r="G615" t="str" cm="1">
        <f t="array" ref="G615">_xlfn.IFS(LEN(F615)=1, "00" &amp; F615, (LEN(F615))=2, "0" &amp; F615, (LEN(F615))&gt;=3, F615)</f>
        <v>Kofi Oduro</v>
      </c>
    </row>
    <row r="616" spans="6:7">
      <c r="F616" t="s">
        <v>948</v>
      </c>
      <c r="G616" t="str" cm="1">
        <f t="array" ref="G616">_xlfn.IFS(LEN(F616)=1, "00" &amp; F616, (LEN(F616))=2, "0" &amp; F616, (LEN(F616))&gt;=3, F616)</f>
        <v>Dede Nartey</v>
      </c>
    </row>
    <row r="617" spans="6:7">
      <c r="F617" t="s">
        <v>953</v>
      </c>
      <c r="G617" t="str" cm="1">
        <f t="array" ref="G617">_xlfn.IFS(LEN(F617)=1, "00" &amp; F617, (LEN(F617))=2, "0" &amp; F617, (LEN(F617))&gt;=3, F617)</f>
        <v>Hayford Mensah</v>
      </c>
    </row>
    <row r="618" spans="6:7">
      <c r="F618" t="s">
        <v>959</v>
      </c>
      <c r="G618" t="str" cm="1">
        <f t="array" ref="G618">_xlfn.IFS(LEN(F618)=1, "00" &amp; F618, (LEN(F618))=2, "0" &amp; F618, (LEN(F618))&gt;=3, F618)</f>
        <v>William Addo</v>
      </c>
    </row>
    <row r="619" spans="6:7">
      <c r="F619" t="s">
        <v>964</v>
      </c>
      <c r="G619" t="str" cm="1">
        <f t="array" ref="G619">_xlfn.IFS(LEN(F619)=1, "00" &amp; F619, (LEN(F619))=2, "0" &amp; F619, (LEN(F619))&gt;=3, F619)</f>
        <v>Ali Tetteh</v>
      </c>
    </row>
    <row r="620" spans="6:7">
      <c r="F620" t="s">
        <v>970</v>
      </c>
      <c r="G620" t="str" cm="1">
        <f t="array" ref="G620">_xlfn.IFS(LEN(F620)=1, "00" &amp; F620, (LEN(F620))=2, "0" &amp; F620, (LEN(F620))&gt;=3, F620)</f>
        <v>Adama Sagno</v>
      </c>
    </row>
    <row r="621" spans="6:7">
      <c r="F621" t="s">
        <v>975</v>
      </c>
      <c r="G621" t="str" cm="1">
        <f t="array" ref="G621">_xlfn.IFS(LEN(F621)=1, "00" &amp; F621, (LEN(F621))=2, "0" &amp; F621, (LEN(F621))&gt;=3, F621)</f>
        <v>Tetteh Wayoe</v>
      </c>
    </row>
    <row r="622" spans="6:7">
      <c r="F622" t="s">
        <v>980</v>
      </c>
      <c r="G622" t="str" cm="1">
        <f t="array" ref="G622">_xlfn.IFS(LEN(F622)=1, "00" &amp; F622, (LEN(F622))=2, "0" &amp; F622, (LEN(F622))&gt;=3, F622)</f>
        <v>William Ofori</v>
      </c>
    </row>
    <row r="623" spans="6:7">
      <c r="F623" t="s">
        <v>985</v>
      </c>
      <c r="G623" t="str" cm="1">
        <f t="array" ref="G623">_xlfn.IFS(LEN(F623)=1, "00" &amp; F623, (LEN(F623))=2, "0" &amp; F623, (LEN(F623))&gt;=3, F623)</f>
        <v>Enock Brafo</v>
      </c>
    </row>
    <row r="624" spans="6:7">
      <c r="F624" t="s">
        <v>990</v>
      </c>
      <c r="G624" t="str" cm="1">
        <f t="array" ref="G624">_xlfn.IFS(LEN(F624)=1, "00" &amp; F624, (LEN(F624))=2, "0" &amp; F624, (LEN(F624))&gt;=3, F624)</f>
        <v>Yaw Peprah</v>
      </c>
    </row>
    <row r="625" spans="6:7">
      <c r="F625" t="s">
        <v>995</v>
      </c>
      <c r="G625" t="str" cm="1">
        <f t="array" ref="G625">_xlfn.IFS(LEN(F625)=1, "00" &amp; F625, (LEN(F625))=2, "0" &amp; F625, (LEN(F625))&gt;=3, F625)</f>
        <v>Paul Brako</v>
      </c>
    </row>
    <row r="626" spans="6:7">
      <c r="F626" t="s">
        <v>1000</v>
      </c>
      <c r="G626" t="str" cm="1">
        <f t="array" ref="G626">_xlfn.IFS(LEN(F626)=1, "00" &amp; F626, (LEN(F626))=2, "0" &amp; F626, (LEN(F626))&gt;=3, F626)</f>
        <v>Comfort Apenteng</v>
      </c>
    </row>
    <row r="627" spans="6:7">
      <c r="F627" t="s">
        <v>1005</v>
      </c>
      <c r="G627" t="str" cm="1">
        <f t="array" ref="G627">_xlfn.IFS(LEN(F627)=1, "00" &amp; F627, (LEN(F627))=2, "0" &amp; F627, (LEN(F627))&gt;=3, F627)</f>
        <v>Georgina Korang</v>
      </c>
    </row>
    <row r="628" spans="6:7">
      <c r="F628" t="s">
        <v>1010</v>
      </c>
      <c r="G628" t="str" cm="1">
        <f t="array" ref="G628">_xlfn.IFS(LEN(F628)=1, "00" &amp; F628, (LEN(F628))=2, "0" &amp; F628, (LEN(F628))&gt;=3, F628)</f>
        <v>Juliana Odurowaa</v>
      </c>
    </row>
    <row r="629" spans="6:7">
      <c r="F629" t="s">
        <v>1016</v>
      </c>
      <c r="G629" t="str" cm="1">
        <f t="array" ref="G629">_xlfn.IFS(LEN(F629)=1, "00" &amp; F629, (LEN(F629))=2, "0" &amp; F629, (LEN(F629))&gt;=3, F629)</f>
        <v>Adwoa Owusua</v>
      </c>
    </row>
    <row r="630" spans="6:7">
      <c r="F630" t="s">
        <v>1021</v>
      </c>
      <c r="G630" t="str" cm="1">
        <f t="array" ref="G630">_xlfn.IFS(LEN(F630)=1, "00" &amp; F630, (LEN(F630))=2, "0" &amp; F630, (LEN(F630))&gt;=3, F630)</f>
        <v>Philipa Aryeetey</v>
      </c>
    </row>
    <row r="631" spans="6:7">
      <c r="F631" t="s">
        <v>120</v>
      </c>
      <c r="G631" t="str" cm="1">
        <f t="array" ref="G631">_xlfn.IFS(LEN(F631)=1, "00" &amp; F631, (LEN(F631))=2, "0" &amp; F631, (LEN(F631))&gt;=3, F631)</f>
        <v>Emmanuel Osei</v>
      </c>
    </row>
    <row r="632" spans="6:7">
      <c r="F632" t="s">
        <v>1030</v>
      </c>
      <c r="G632" t="str" cm="1">
        <f t="array" ref="G632">_xlfn.IFS(LEN(F632)=1, "00" &amp; F632, (LEN(F632))=2, "0" &amp; F632, (LEN(F632))&gt;=3, F632)</f>
        <v>Ama Cynthia</v>
      </c>
    </row>
    <row r="633" spans="6:7">
      <c r="F633" t="s">
        <v>1035</v>
      </c>
      <c r="G633" t="str" cm="1">
        <f t="array" ref="G633">_xlfn.IFS(LEN(F633)=1, "00" &amp; F633, (LEN(F633))=2, "0" &amp; F633, (LEN(F633))&gt;=3, F633)</f>
        <v>Nicholas Kwadwo Yeboah</v>
      </c>
    </row>
    <row r="634" spans="6:7">
      <c r="F634" t="s">
        <v>1039</v>
      </c>
      <c r="G634" t="str" cm="1">
        <f t="array" ref="G634">_xlfn.IFS(LEN(F634)=1, "00" &amp; F634, (LEN(F634))=2, "0" &amp; F634, (LEN(F634))&gt;=3, F634)</f>
        <v>Samuel Kikisi</v>
      </c>
    </row>
    <row r="635" spans="6:7">
      <c r="F635" t="s">
        <v>1044</v>
      </c>
      <c r="G635" t="str" cm="1">
        <f t="array" ref="G635">_xlfn.IFS(LEN(F635)=1, "00" &amp; F635, (LEN(F635))=2, "0" &amp; F635, (LEN(F635))&gt;=3, F635)</f>
        <v>Godfred K. Ampabeng</v>
      </c>
    </row>
    <row r="636" spans="6:7">
      <c r="F636" t="s">
        <v>1049</v>
      </c>
      <c r="G636" t="str" cm="1">
        <f t="array" ref="G636">_xlfn.IFS(LEN(F636)=1, "00" &amp; F636, (LEN(F636))=2, "0" &amp; F636, (LEN(F636))&gt;=3, F636)</f>
        <v>Boadi Darkwah</v>
      </c>
    </row>
    <row r="637" spans="6:7">
      <c r="F637" t="s">
        <v>1054</v>
      </c>
      <c r="G637" t="str" cm="1">
        <f t="array" ref="G637">_xlfn.IFS(LEN(F637)=1, "00" &amp; F637, (LEN(F637))=2, "0" &amp; F637, (LEN(F637))&gt;=3, F637)</f>
        <v>Esther Boaduaa</v>
      </c>
    </row>
    <row r="638" spans="6:7">
      <c r="F638" t="s">
        <v>1057</v>
      </c>
      <c r="G638" t="str" cm="1">
        <f t="array" ref="G638">_xlfn.IFS(LEN(F638)=1, "00" &amp; F638, (LEN(F638))=2, "0" &amp; F638, (LEN(F638))&gt;=3, F638)</f>
        <v>Kwaku Peprah Mireku</v>
      </c>
    </row>
    <row r="639" spans="6:7">
      <c r="F639" t="s">
        <v>1061</v>
      </c>
      <c r="G639" t="str" cm="1">
        <f t="array" ref="G639">_xlfn.IFS(LEN(F639)=1, "00" &amp; F639, (LEN(F639))=2, "0" &amp; F639, (LEN(F639))&gt;=3, F639)</f>
        <v>Akua Botwe</v>
      </c>
    </row>
    <row r="640" spans="6:7">
      <c r="F640" t="s">
        <v>832</v>
      </c>
      <c r="G640" t="str" cm="1">
        <f t="array" ref="G640">_xlfn.IFS(LEN(F640)=1, "00" &amp; F640, (LEN(F640))=2, "0" &amp; F640, (LEN(F640))&gt;=3, F640)</f>
        <v>Kwabena Appiah</v>
      </c>
    </row>
    <row r="641" spans="6:7">
      <c r="F641" t="s">
        <v>1069</v>
      </c>
      <c r="G641" t="str" cm="1">
        <f t="array" ref="G641">_xlfn.IFS(LEN(F641)=1, "00" &amp; F641, (LEN(F641))=2, "0" &amp; F641, (LEN(F641))&gt;=3, F641)</f>
        <v>Abdul Razak Sulemana</v>
      </c>
    </row>
    <row r="642" spans="6:7">
      <c r="F642" t="s">
        <v>1074</v>
      </c>
      <c r="G642" t="str" cm="1">
        <f t="array" ref="G642">_xlfn.IFS(LEN(F642)=1, "00" &amp; F642, (LEN(F642))=2, "0" &amp; F642, (LEN(F642))&gt;=3, F642)</f>
        <v>Bernard Asamoah</v>
      </c>
    </row>
    <row r="643" spans="6:7">
      <c r="F643" t="s">
        <v>1078</v>
      </c>
      <c r="G643" t="str" cm="1">
        <f t="array" ref="G643">_xlfn.IFS(LEN(F643)=1, "00" &amp; F643, (LEN(F643))=2, "0" &amp; F643, (LEN(F643))&gt;=3, F643)</f>
        <v>Ama Obenewaa</v>
      </c>
    </row>
    <row r="644" spans="6:7">
      <c r="F644" t="s">
        <v>1080</v>
      </c>
      <c r="G644" t="str" cm="1">
        <f t="array" ref="G644">_xlfn.IFS(LEN(F644)=1, "00" &amp; F644, (LEN(F644))=2, "0" &amp; F644, (LEN(F644))&gt;=3, F644)</f>
        <v>Janet Aboagyewaa</v>
      </c>
    </row>
    <row r="645" spans="6:7">
      <c r="F645" t="s">
        <v>1084</v>
      </c>
      <c r="G645" t="str" cm="1">
        <f t="array" ref="G645">_xlfn.IFS(LEN(F645)=1, "00" &amp; F645, (LEN(F645))=2, "0" &amp; F645, (LEN(F645))&gt;=3, F645)</f>
        <v>Ernestina Asieduaa</v>
      </c>
    </row>
    <row r="646" spans="6:7">
      <c r="F646" t="s">
        <v>1089</v>
      </c>
      <c r="G646" t="str" cm="1">
        <f t="array" ref="G646">_xlfn.IFS(LEN(F646)=1, "00" &amp; F646, (LEN(F646))=2, "0" &amp; F646, (LEN(F646))&gt;=3, F646)</f>
        <v>Goyen Appam</v>
      </c>
    </row>
    <row r="647" spans="6:7">
      <c r="F647" t="s">
        <v>1093</v>
      </c>
      <c r="G647" t="str" cm="1">
        <f t="array" ref="G647">_xlfn.IFS(LEN(F647)=1, "00" &amp; F647, (LEN(F647))=2, "0" &amp; F647, (LEN(F647))&gt;=3, F647)</f>
        <v>Kwadwo Addo</v>
      </c>
    </row>
    <row r="648" spans="6:7">
      <c r="F648" t="s">
        <v>1098</v>
      </c>
      <c r="G648" t="str" cm="1">
        <f t="array" ref="G648">_xlfn.IFS(LEN(F648)=1, "00" &amp; F648, (LEN(F648))=2, "0" &amp; F648, (LEN(F648))&gt;=3, F648)</f>
        <v>Akosua Nyamekye</v>
      </c>
    </row>
    <row r="649" spans="6:7">
      <c r="F649" t="s">
        <v>1101</v>
      </c>
      <c r="G649" t="str" cm="1">
        <f t="array" ref="G649">_xlfn.IFS(LEN(F649)=1, "00" &amp; F649, (LEN(F649))=2, "0" &amp; F649, (LEN(F649))&gt;=3, F649)</f>
        <v>Emmanuel Kuma Tagbor</v>
      </c>
    </row>
    <row r="650" spans="6:7">
      <c r="F650" t="s">
        <v>1107</v>
      </c>
      <c r="G650" t="str" cm="1">
        <f t="array" ref="G650">_xlfn.IFS(LEN(F650)=1, "00" &amp; F650, (LEN(F650))=2, "0" &amp; F650, (LEN(F650))&gt;=3, F650)</f>
        <v>Solo Gadzi Atikpoe</v>
      </c>
    </row>
    <row r="651" spans="6:7">
      <c r="F651" t="s">
        <v>1111</v>
      </c>
      <c r="G651" t="str" cm="1">
        <f t="array" ref="G651">_xlfn.IFS(LEN(F651)=1, "00" &amp; F651, (LEN(F651))=2, "0" &amp; F651, (LEN(F651))&gt;=3, F651)</f>
        <v>Isaac Kwadwo Agyei</v>
      </c>
    </row>
    <row r="652" spans="6:7">
      <c r="F652" t="s">
        <v>1116</v>
      </c>
      <c r="G652" t="str" cm="1">
        <f t="array" ref="G652">_xlfn.IFS(LEN(F652)=1, "00" &amp; F652, (LEN(F652))=2, "0" &amp; F652, (LEN(F652))&gt;=3, F652)</f>
        <v>Dina Appiah</v>
      </c>
    </row>
    <row r="653" spans="6:7">
      <c r="F653" t="s">
        <v>1120</v>
      </c>
      <c r="G653" t="str" cm="1">
        <f t="array" ref="G653">_xlfn.IFS(LEN(F653)=1, "00" &amp; F653, (LEN(F653))=2, "0" &amp; F653, (LEN(F653))&gt;=3, F653)</f>
        <v>Solomon Nuadeke</v>
      </c>
    </row>
    <row r="654" spans="6:7">
      <c r="F654" t="s">
        <v>1125</v>
      </c>
      <c r="G654" t="str" cm="1">
        <f t="array" ref="G654">_xlfn.IFS(LEN(F654)=1, "00" &amp; F654, (LEN(F654))=2, "0" &amp; F654, (LEN(F654))&gt;=3, F654)</f>
        <v>Rosemond Amoako</v>
      </c>
    </row>
    <row r="655" spans="6:7">
      <c r="F655" t="s">
        <v>1129</v>
      </c>
      <c r="G655" t="str" cm="1">
        <f t="array" ref="G655">_xlfn.IFS(LEN(F655)=1, "00" &amp; F655, (LEN(F655))=2, "0" &amp; F655, (LEN(F655))&gt;=3, F655)</f>
        <v>Doris</v>
      </c>
    </row>
    <row r="656" spans="6:7">
      <c r="F656" t="s">
        <v>1133</v>
      </c>
      <c r="G656" t="str" cm="1">
        <f t="array" ref="G656">_xlfn.IFS(LEN(F656)=1, "00" &amp; F656, (LEN(F656))=2, "0" &amp; F656, (LEN(F656))&gt;=3, F656)</f>
        <v>Richmond Asamoah</v>
      </c>
    </row>
    <row r="657" spans="6:7">
      <c r="F657" t="s">
        <v>1138</v>
      </c>
      <c r="G657" t="str" cm="1">
        <f t="array" ref="G657">_xlfn.IFS(LEN(F657)=1, "00" &amp; F657, (LEN(F657))=2, "0" &amp; F657, (LEN(F657))&gt;=3, F657)</f>
        <v>Naomi Nuadeke</v>
      </c>
    </row>
    <row r="658" spans="6:7">
      <c r="F658" t="s">
        <v>1142</v>
      </c>
      <c r="G658" t="str" cm="1">
        <f t="array" ref="G658">_xlfn.IFS(LEN(F658)=1, "00" &amp; F658, (LEN(F658))=2, "0" &amp; F658, (LEN(F658))&gt;=3, F658)</f>
        <v>Samuel Akwasi Acheampong</v>
      </c>
    </row>
    <row r="659" spans="6:7">
      <c r="F659" t="s">
        <v>131</v>
      </c>
      <c r="G659" t="str" cm="1">
        <f t="array" ref="G659">_xlfn.IFS(LEN(F659)=1, "00" &amp; F659, (LEN(F659))=2, "0" &amp; F659, (LEN(F659))&gt;=3, F659)</f>
        <v>Kwabena Marfo</v>
      </c>
    </row>
    <row r="660" spans="6:7">
      <c r="F660" t="s">
        <v>1149</v>
      </c>
      <c r="G660" t="str" cm="1">
        <f t="array" ref="G660">_xlfn.IFS(LEN(F660)=1, "00" &amp; F660, (LEN(F660))=2, "0" &amp; F660, (LEN(F660))&gt;=3, F660)</f>
        <v>Gifty Ampofo</v>
      </c>
    </row>
    <row r="661" spans="6:7">
      <c r="F661" t="s">
        <v>1154</v>
      </c>
      <c r="G661" t="str" cm="1">
        <f t="array" ref="G661">_xlfn.IFS(LEN(F661)=1, "00" &amp; F661, (LEN(F661))=2, "0" &amp; F661, (LEN(F661))&gt;=3, F661)</f>
        <v>Regina Serwaa Ampofo</v>
      </c>
    </row>
    <row r="662" spans="6:7">
      <c r="F662" t="s">
        <v>1157</v>
      </c>
      <c r="G662" t="str" cm="1">
        <f t="array" ref="G662">_xlfn.IFS(LEN(F662)=1, "00" &amp; F662, (LEN(F662))=2, "0" &amp; F662, (LEN(F662))&gt;=3, F662)</f>
        <v>Aku Ankrah</v>
      </c>
    </row>
    <row r="663" spans="6:7">
      <c r="F663" t="s">
        <v>1163</v>
      </c>
      <c r="G663" t="str" cm="1">
        <f t="array" ref="G663">_xlfn.IFS(LEN(F663)=1, "00" &amp; F663, (LEN(F663))=2, "0" &amp; F663, (LEN(F663))&gt;=3, F663)</f>
        <v>Adu Kofi</v>
      </c>
    </row>
    <row r="664" spans="6:7">
      <c r="F664" t="s">
        <v>1167</v>
      </c>
      <c r="G664" t="str" cm="1">
        <f t="array" ref="G664">_xlfn.IFS(LEN(F664)=1, "00" &amp; F664, (LEN(F664))=2, "0" &amp; F664, (LEN(F664))&gt;=3, F664)</f>
        <v>Louis Yaw Doku</v>
      </c>
    </row>
    <row r="665" spans="6:7">
      <c r="F665" t="s">
        <v>1172</v>
      </c>
      <c r="G665" t="str" cm="1">
        <f t="array" ref="G665">_xlfn.IFS(LEN(F665)=1, "00" &amp; F665, (LEN(F665))=2, "0" &amp; F665, (LEN(F665))&gt;=3, F665)</f>
        <v>Comfort Odentaa</v>
      </c>
    </row>
    <row r="666" spans="6:7">
      <c r="F666" t="s">
        <v>1177</v>
      </c>
      <c r="G666" t="str" cm="1">
        <f t="array" ref="G666">_xlfn.IFS(LEN(F666)=1, "00" &amp; F666, (LEN(F666))=2, "0" &amp; F666, (LEN(F666))&gt;=3, F666)</f>
        <v>Veronica Aku Amedi</v>
      </c>
    </row>
    <row r="667" spans="6:7">
      <c r="F667" t="s">
        <v>1183</v>
      </c>
      <c r="G667" t="str" cm="1">
        <f t="array" ref="G667">_xlfn.IFS(LEN(F667)=1, "00" &amp; F667, (LEN(F667))=2, "0" &amp; F667, (LEN(F667))&gt;=3, F667)</f>
        <v>Emmanuel Asante</v>
      </c>
    </row>
    <row r="668" spans="6:7">
      <c r="F668" t="s">
        <v>1189</v>
      </c>
      <c r="G668" t="str" cm="1">
        <f t="array" ref="G668">_xlfn.IFS(LEN(F668)=1, "00" &amp; F668, (LEN(F668))=2, "0" &amp; F668, (LEN(F668))&gt;=3, F668)</f>
        <v>Emmanuel Tettey</v>
      </c>
    </row>
    <row r="669" spans="6:7">
      <c r="F669" t="s">
        <v>1195</v>
      </c>
      <c r="G669" t="str" cm="1">
        <f t="array" ref="G669">_xlfn.IFS(LEN(F669)=1, "00" &amp; F669, (LEN(F669))=2, "0" &amp; F669, (LEN(F669))&gt;=3, F669)</f>
        <v>Christina Affum</v>
      </c>
    </row>
    <row r="670" spans="6:7">
      <c r="F670" t="s">
        <v>294</v>
      </c>
      <c r="G670" t="str" cm="1">
        <f t="array" ref="G670">_xlfn.IFS(LEN(F670)=1, "00" &amp; F670, (LEN(F670))=2, "0" &amp; F670, (LEN(F670))&gt;=3, F670)</f>
        <v>Yaw Antwi</v>
      </c>
    </row>
    <row r="671" spans="6:7">
      <c r="F671" t="s">
        <v>1205</v>
      </c>
      <c r="G671" t="str" cm="1">
        <f t="array" ref="G671">_xlfn.IFS(LEN(F671)=1, "00" &amp; F671, (LEN(F671))=2, "0" &amp; F671, (LEN(F671))&gt;=3, F671)</f>
        <v>Kwabena Abrokwah</v>
      </c>
    </row>
    <row r="672" spans="6:7">
      <c r="F672" t="s">
        <v>1211</v>
      </c>
      <c r="G672" t="str" cm="1">
        <f t="array" ref="G672">_xlfn.IFS(LEN(F672)=1, "00" &amp; F672, (LEN(F672))=2, "0" &amp; F672, (LEN(F672))&gt;=3, F672)</f>
        <v>Janet Ampofowaa Amponsah</v>
      </c>
    </row>
    <row r="673" spans="6:7">
      <c r="F673" t="s">
        <v>1215</v>
      </c>
      <c r="G673" t="str" cm="1">
        <f t="array" ref="G673">_xlfn.IFS(LEN(F673)=1, "00" &amp; F673, (LEN(F673))=2, "0" &amp; F673, (LEN(F673))&gt;=3, F673)</f>
        <v>Priana Odame</v>
      </c>
    </row>
    <row r="674" spans="6:7">
      <c r="F674" t="s">
        <v>1219</v>
      </c>
      <c r="G674" t="str" cm="1">
        <f t="array" ref="G674">_xlfn.IFS(LEN(F674)=1, "00" &amp; F674, (LEN(F674))=2, "0" &amp; F674, (LEN(F674))&gt;=3, F674)</f>
        <v>Celestial Awuku Nyarko</v>
      </c>
    </row>
    <row r="675" spans="6:7">
      <c r="F675" t="s">
        <v>1222</v>
      </c>
      <c r="G675" t="str" cm="1">
        <f t="array" ref="G675">_xlfn.IFS(LEN(F675)=1, "00" &amp; F675, (LEN(F675))=2, "0" &amp; F675, (LEN(F675))&gt;=3, F675)</f>
        <v>Regina Brakoaa</v>
      </c>
    </row>
    <row r="676" spans="6:7">
      <c r="F676" t="s">
        <v>1225</v>
      </c>
      <c r="G676" t="str" cm="1">
        <f t="array" ref="G676">_xlfn.IFS(LEN(F676)=1, "00" &amp; F676, (LEN(F676))=2, "0" &amp; F676, (LEN(F676))&gt;=3, F676)</f>
        <v>Maxwell Owusu</v>
      </c>
    </row>
    <row r="677" spans="6:7">
      <c r="F677" t="s">
        <v>1227</v>
      </c>
      <c r="G677" t="str" cm="1">
        <f t="array" ref="G677">_xlfn.IFS(LEN(F677)=1, "00" &amp; F677, (LEN(F677))=2, "0" &amp; F677, (LEN(F677))&gt;=3, F677)</f>
        <v>Kwabena Sakyiama</v>
      </c>
    </row>
    <row r="678" spans="6:7">
      <c r="F678" t="s">
        <v>1230</v>
      </c>
      <c r="G678" t="str" cm="1">
        <f t="array" ref="G678">_xlfn.IFS(LEN(F678)=1, "00" &amp; F678, (LEN(F678))=2, "0" &amp; F678, (LEN(F678))&gt;=3, F678)</f>
        <v>Akua Oforiwaa Anane</v>
      </c>
    </row>
    <row r="679" spans="6:7">
      <c r="F679" t="s">
        <v>1233</v>
      </c>
      <c r="G679" t="str" cm="1">
        <f t="array" ref="G679">_xlfn.IFS(LEN(F679)=1, "00" &amp; F679, (LEN(F679))=2, "0" &amp; F679, (LEN(F679))&gt;=3, F679)</f>
        <v>Esi Agyarkwaa</v>
      </c>
    </row>
    <row r="680" spans="6:7">
      <c r="F680" t="s">
        <v>1236</v>
      </c>
      <c r="G680" t="str" cm="1">
        <f t="array" ref="G680">_xlfn.IFS(LEN(F680)=1, "00" &amp; F680, (LEN(F680))=2, "0" &amp; F680, (LEN(F680))&gt;=3, F680)</f>
        <v>Mary Afia Akakpo</v>
      </c>
    </row>
    <row r="681" spans="6:7">
      <c r="F681" t="s">
        <v>1239</v>
      </c>
      <c r="G681" t="str" cm="1">
        <f t="array" ref="G681">_xlfn.IFS(LEN(F681)=1, "00" &amp; F681, (LEN(F681))=2, "0" &amp; F681, (LEN(F681))&gt;=3, F681)</f>
        <v>Nana Larjder Kabutey</v>
      </c>
    </row>
    <row r="682" spans="6:7">
      <c r="F682" t="s">
        <v>1242</v>
      </c>
      <c r="G682" t="str" cm="1">
        <f t="array" ref="G682">_xlfn.IFS(LEN(F682)=1, "00" &amp; F682, (LEN(F682))=2, "0" &amp; F682, (LEN(F682))&gt;=3, F682)</f>
        <v>Thomas Frimpong</v>
      </c>
    </row>
    <row r="683" spans="6:7">
      <c r="F683" t="s">
        <v>1245</v>
      </c>
      <c r="G683" t="str" cm="1">
        <f t="array" ref="G683">_xlfn.IFS(LEN(F683)=1, "00" &amp; F683, (LEN(F683))=2, "0" &amp; F683, (LEN(F683))&gt;=3, F683)</f>
        <v>Tetteh Kwabena</v>
      </c>
    </row>
    <row r="684" spans="6:7">
      <c r="F684" t="s">
        <v>1248</v>
      </c>
      <c r="G684" t="str" cm="1">
        <f t="array" ref="G684">_xlfn.IFS(LEN(F684)=1, "00" &amp; F684, (LEN(F684))=2, "0" &amp; F684, (LEN(F684))&gt;=3, F684)</f>
        <v>Jennifer Boatemaa</v>
      </c>
    </row>
    <row r="685" spans="6:7">
      <c r="F685" t="s">
        <v>1251</v>
      </c>
      <c r="G685" t="str" cm="1">
        <f t="array" ref="G685">_xlfn.IFS(LEN(F685)=1, "00" &amp; F685, (LEN(F685))=2, "0" &amp; F685, (LEN(F685))&gt;=3, F685)</f>
        <v xml:space="preserve">Margaret Agyeiwaa </v>
      </c>
    </row>
    <row r="686" spans="6:7">
      <c r="F686" t="s">
        <v>1254</v>
      </c>
      <c r="G686" t="str" cm="1">
        <f t="array" ref="G686">_xlfn.IFS(LEN(F686)=1, "00" &amp; F686, (LEN(F686))=2, "0" &amp; F686, (LEN(F686))&gt;=3, F686)</f>
        <v>Kwabena Tawiah</v>
      </c>
    </row>
    <row r="687" spans="6:7">
      <c r="F687" t="s">
        <v>1257</v>
      </c>
      <c r="G687" t="str" cm="1">
        <f t="array" ref="G687">_xlfn.IFS(LEN(F687)=1, "00" &amp; F687, (LEN(F687))=2, "0" &amp; F687, (LEN(F687))&gt;=3, F687)</f>
        <v>Isaac Donkor</v>
      </c>
    </row>
    <row r="688" spans="6:7">
      <c r="F688" t="s">
        <v>1260</v>
      </c>
      <c r="G688" t="str" cm="1">
        <f t="array" ref="G688">_xlfn.IFS(LEN(F688)=1, "00" &amp; F688, (LEN(F688))=2, "0" &amp; F688, (LEN(F688))&gt;=3, F688)</f>
        <v>Seth Asiedu</v>
      </c>
    </row>
    <row r="689" spans="6:7">
      <c r="F689" t="s">
        <v>1262</v>
      </c>
      <c r="G689" t="str" cm="1">
        <f t="array" ref="G689">_xlfn.IFS(LEN(F689)=1, "00" &amp; F689, (LEN(F689))=2, "0" &amp; F689, (LEN(F689))&gt;=3, F689)</f>
        <v>Victoria Dede</v>
      </c>
    </row>
    <row r="690" spans="6:7">
      <c r="F690" t="s">
        <v>1265</v>
      </c>
      <c r="G690" t="str" cm="1">
        <f t="array" ref="G690">_xlfn.IFS(LEN(F690)=1, "00" &amp; F690, (LEN(F690))=2, "0" &amp; F690, (LEN(F690))&gt;=3, F690)</f>
        <v>Kofi Ayebi</v>
      </c>
    </row>
    <row r="691" spans="6:7">
      <c r="F691" t="s">
        <v>831</v>
      </c>
      <c r="G691" t="str" cm="1">
        <f t="array" ref="G691">_xlfn.IFS(LEN(F691)=1, "00" &amp; F691, (LEN(F691))=2, "0" &amp; F691, (LEN(F691))&gt;=3, F691)</f>
        <v>Kwadwo Darkwah</v>
      </c>
    </row>
    <row r="692" spans="6:7">
      <c r="F692" t="s">
        <v>1270</v>
      </c>
      <c r="G692" t="str" cm="1">
        <f t="array" ref="G692">_xlfn.IFS(LEN(F692)=1, "00" &amp; F692, (LEN(F692))=2, "0" &amp; F692, (LEN(F692))&gt;=3, F692)</f>
        <v>Hanson Kofi Pinto</v>
      </c>
    </row>
    <row r="693" spans="6:7">
      <c r="F693" t="s">
        <v>1273</v>
      </c>
      <c r="G693" t="str" cm="1">
        <f t="array" ref="G693">_xlfn.IFS(LEN(F693)=1, "00" &amp; F693, (LEN(F693))=2, "0" &amp; F693, (LEN(F693))&gt;=3, F693)</f>
        <v>Comfort Frimpomaa</v>
      </c>
    </row>
    <row r="694" spans="6:7">
      <c r="F694" t="s">
        <v>1276</v>
      </c>
      <c r="G694" t="str" cm="1">
        <f t="array" ref="G694">_xlfn.IFS(LEN(F694)=1, "00" &amp; F694, (LEN(F694))=2, "0" &amp; F694, (LEN(F694))&gt;=3, F694)</f>
        <v>Kwadwo Agyeman</v>
      </c>
    </row>
    <row r="695" spans="6:7">
      <c r="F695" t="s">
        <v>1278</v>
      </c>
      <c r="G695" t="str" cm="1">
        <f t="array" ref="G695">_xlfn.IFS(LEN(F695)=1, "00" &amp; F695, (LEN(F695))=2, "0" &amp; F695, (LEN(F695))&gt;=3, F695)</f>
        <v>Kwame Aboagye Oduro</v>
      </c>
    </row>
    <row r="696" spans="6:7">
      <c r="F696" t="s">
        <v>1281</v>
      </c>
      <c r="G696" t="str" cm="1">
        <f t="array" ref="G696">_xlfn.IFS(LEN(F696)=1, "00" &amp; F696, (LEN(F696))=2, "0" &amp; F696, (LEN(F696))&gt;=3, F696)</f>
        <v>Comfort Obeng Ampah</v>
      </c>
    </row>
    <row r="697" spans="6:7">
      <c r="F697" t="s">
        <v>1284</v>
      </c>
      <c r="G697" t="str" cm="1">
        <f t="array" ref="G697">_xlfn.IFS(LEN(F697)=1, "00" &amp; F697, (LEN(F697))=2, "0" &amp; F697, (LEN(F697))&gt;=3, F697)</f>
        <v>Kwame Akomeah</v>
      </c>
    </row>
    <row r="698" spans="6:7">
      <c r="F698" t="s">
        <v>1287</v>
      </c>
      <c r="G698" t="str" cm="1">
        <f t="array" ref="G698">_xlfn.IFS(LEN(F698)=1, "00" &amp; F698, (LEN(F698))=2, "0" &amp; F698, (LEN(F698))&gt;=3, F698)</f>
        <v>Abena Akuma</v>
      </c>
    </row>
    <row r="699" spans="6:7">
      <c r="F699" t="s">
        <v>1290</v>
      </c>
      <c r="G699" t="str" cm="1">
        <f t="array" ref="G699">_xlfn.IFS(LEN(F699)=1, "00" &amp; F699, (LEN(F699))=2, "0" &amp; F699, (LEN(F699))&gt;=3, F699)</f>
        <v>Sagbor Gazo</v>
      </c>
    </row>
    <row r="700" spans="6:7">
      <c r="F700" t="s">
        <v>1293</v>
      </c>
      <c r="G700" t="str" cm="1">
        <f t="array" ref="G700">_xlfn.IFS(LEN(F700)=1, "00" &amp; F700, (LEN(F700))=2, "0" &amp; F700, (LEN(F700))&gt;=3, F700)</f>
        <v>Ransford Arthur</v>
      </c>
    </row>
    <row r="701" spans="6:7">
      <c r="F701" t="s">
        <v>1296</v>
      </c>
      <c r="G701" t="str" cm="1">
        <f t="array" ref="G701">_xlfn.IFS(LEN(F701)=1, "00" &amp; F701, (LEN(F701))=2, "0" &amp; F701, (LEN(F701))&gt;=3, F701)</f>
        <v>Kwasi Torgbui</v>
      </c>
    </row>
    <row r="702" spans="6:7">
      <c r="F702" t="s">
        <v>1299</v>
      </c>
      <c r="G702" t="str" cm="1">
        <f t="array" ref="G702">_xlfn.IFS(LEN(F702)=1, "00" &amp; F702, (LEN(F702))=2, "0" &amp; F702, (LEN(F702))&gt;=3, F702)</f>
        <v>Faustina Aboagyewaa</v>
      </c>
    </row>
    <row r="703" spans="6:7">
      <c r="F703" t="s">
        <v>1302</v>
      </c>
      <c r="G703" t="str" cm="1">
        <f t="array" ref="G703">_xlfn.IFS(LEN(F703)=1, "00" &amp; F703, (LEN(F703))=2, "0" &amp; F703, (LEN(F703))&gt;=3, F703)</f>
        <v>Nicholas Akwasi Ampofo</v>
      </c>
    </row>
    <row r="704" spans="6:7">
      <c r="F704" t="s">
        <v>1305</v>
      </c>
      <c r="G704" t="str" cm="1">
        <f t="array" ref="G704">_xlfn.IFS(LEN(F704)=1, "00" &amp; F704, (LEN(F704))=2, "0" &amp; F704, (LEN(F704))&gt;=3, F704)</f>
        <v>Janet Agyeibea</v>
      </c>
    </row>
    <row r="705" spans="6:7">
      <c r="F705" t="s">
        <v>1308</v>
      </c>
      <c r="G705" t="str" cm="1">
        <f t="array" ref="G705">_xlfn.IFS(LEN(F705)=1, "00" &amp; F705, (LEN(F705))=2, "0" &amp; F705, (LEN(F705))&gt;=3, F705)</f>
        <v>Paulina Nartey</v>
      </c>
    </row>
    <row r="706" spans="6:7">
      <c r="F706" t="s">
        <v>1311</v>
      </c>
      <c r="G706" t="str" cm="1">
        <f t="array" ref="G706">_xlfn.IFS(LEN(F706)=1, "00" &amp; F706, (LEN(F706))=2, "0" &amp; F706, (LEN(F706))&gt;=3, F706)</f>
        <v>Thomas Adomako</v>
      </c>
    </row>
    <row r="707" spans="6:7">
      <c r="F707" t="s">
        <v>1314</v>
      </c>
      <c r="G707" t="str" cm="1">
        <f t="array" ref="G707">_xlfn.IFS(LEN(F707)=1, "00" &amp; F707, (LEN(F707))=2, "0" &amp; F707, (LEN(F707))&gt;=3, F707)</f>
        <v>Evang. Jonathan Appiah Abrokwah</v>
      </c>
    </row>
    <row r="708" spans="6:7">
      <c r="F708" t="s">
        <v>1317</v>
      </c>
      <c r="G708" t="str" cm="1">
        <f t="array" ref="G708">_xlfn.IFS(LEN(F708)=1, "00" &amp; F708, (LEN(F708))=2, "0" &amp; F708, (LEN(F708))&gt;=3, F708)</f>
        <v>Samuel Amponsah</v>
      </c>
    </row>
    <row r="709" spans="6:7">
      <c r="F709" t="s">
        <v>53</v>
      </c>
      <c r="G709" t="str" cm="1">
        <f t="array" ref="G709">_xlfn.IFS(LEN(F709)=1, "00" &amp; F709, (LEN(F709))=2, "0" &amp; F709, (LEN(F709))&gt;=3, F709)</f>
        <v>Sarah Fynn Thompson</v>
      </c>
    </row>
    <row r="710" spans="6:7">
      <c r="F710" t="s">
        <v>1321</v>
      </c>
      <c r="G710" t="str" cm="1">
        <f t="array" ref="G710">_xlfn.IFS(LEN(F710)=1, "00" &amp; F710, (LEN(F710))=2, "0" &amp; F710, (LEN(F710))&gt;=3, F710)</f>
        <v>Augustina Konadu</v>
      </c>
    </row>
    <row r="711" spans="6:7">
      <c r="F711" t="s">
        <v>1324</v>
      </c>
      <c r="G711" t="str" cm="1">
        <f t="array" ref="G711">_xlfn.IFS(LEN(F711)=1, "00" &amp; F711, (LEN(F711))=2, "0" &amp; F711, (LEN(F711))&gt;=3, F711)</f>
        <v>Yaw Amponsah</v>
      </c>
    </row>
    <row r="712" spans="6:7">
      <c r="F712" t="s">
        <v>1327</v>
      </c>
      <c r="G712" t="str" cm="1">
        <f t="array" ref="G712">_xlfn.IFS(LEN(F712)=1, "00" &amp; F712, (LEN(F712))=2, "0" &amp; F712, (LEN(F712))&gt;=3, F712)</f>
        <v>Augustina Agyeiwaa</v>
      </c>
    </row>
    <row r="713" spans="6:7">
      <c r="F713" t="s">
        <v>1329</v>
      </c>
      <c r="G713" t="str" cm="1">
        <f t="array" ref="G713">_xlfn.IFS(LEN(F713)=1, "00" &amp; F713, (LEN(F713))=2, "0" &amp; F713, (LEN(F713))&gt;=3, F713)</f>
        <v>Akua Korang</v>
      </c>
    </row>
    <row r="714" spans="6:7">
      <c r="F714" t="s">
        <v>1332</v>
      </c>
      <c r="G714" t="s">
        <v>2</v>
      </c>
    </row>
    <row r="715" spans="6:7">
      <c r="F715" t="s">
        <v>1335</v>
      </c>
      <c r="G715" t="str" cm="1">
        <f t="array" ref="G715">_xlfn.IFS(LEN(F715)=1, "00" &amp; F715, (LEN(F715))=2, "0" &amp; F715, (LEN(F715))&gt;=3, F715)</f>
        <v>Juliana Nuadeke</v>
      </c>
    </row>
    <row r="716" spans="6:7">
      <c r="F716" t="s">
        <v>1339</v>
      </c>
      <c r="G716" t="str" cm="1">
        <f t="array" ref="G716">_xlfn.IFS(LEN(F716)=1, "00" &amp; F716, (LEN(F716))=2, "0" &amp; F716, (LEN(F716))&gt;=3, F716)</f>
        <v>Akua Tuah</v>
      </c>
    </row>
    <row r="717" spans="6:7">
      <c r="F717" t="s">
        <v>1342</v>
      </c>
      <c r="G717" t="str" cm="1">
        <f t="array" ref="G717">_xlfn.IFS(LEN(F717)=1, "00" &amp; F717, (LEN(F717))=2, "0" &amp; F717, (LEN(F717))&gt;=3, F717)</f>
        <v>Jennifer Amponsah</v>
      </c>
    </row>
    <row r="718" spans="6:7">
      <c r="F718" t="s">
        <v>1345</v>
      </c>
      <c r="G718" t="str" cm="1">
        <f t="array" ref="G718">_xlfn.IFS(LEN(F718)=1, "00" &amp; F718, (LEN(F718))=2, "0" &amp; F718, (LEN(F718))&gt;=3, F718)</f>
        <v>Kofi Nti</v>
      </c>
    </row>
    <row r="719" spans="6:7">
      <c r="F719" t="s">
        <v>1347</v>
      </c>
      <c r="G719" t="str" cm="1">
        <f t="array" ref="G719">_xlfn.IFS(LEN(F719)=1, "00" &amp; F719, (LEN(F719))=2, "0" &amp; F719, (LEN(F719))&gt;=3, F719)</f>
        <v>Esther Adjetey</v>
      </c>
    </row>
    <row r="720" spans="6:7">
      <c r="F720" t="s">
        <v>1351</v>
      </c>
      <c r="G720" t="str" cm="1">
        <f t="array" ref="G720">_xlfn.IFS(LEN(F720)=1, "00" &amp; F720, (LEN(F720))=2, "0" &amp; F720, (LEN(F720))&gt;=3, F720)</f>
        <v>Sussana Serwaa</v>
      </c>
    </row>
    <row r="721" spans="6:7">
      <c r="F721" t="s">
        <v>1353</v>
      </c>
      <c r="G721" t="str" cm="1">
        <f t="array" ref="G721">_xlfn.IFS(LEN(F721)=1, "00" &amp; F721, (LEN(F721))=2, "0" &amp; F721, (LEN(F721))&gt;=3, F721)</f>
        <v>Ken Amoah</v>
      </c>
    </row>
    <row r="722" spans="6:7">
      <c r="F722" t="s">
        <v>1356</v>
      </c>
      <c r="G722" t="str" cm="1">
        <f t="array" ref="G722">_xlfn.IFS(LEN(F722)=1, "00" &amp; F722, (LEN(F722))=2, "0" &amp; F722, (LEN(F722))&gt;=3, F722)</f>
        <v>Kwasi Nti</v>
      </c>
    </row>
    <row r="723" spans="6:7">
      <c r="F723" t="s">
        <v>1359</v>
      </c>
      <c r="G723" t="str" cm="1">
        <f t="array" ref="G723">_xlfn.IFS(LEN(F723)=1, "00" &amp; F723, (LEN(F723))=2, "0" &amp; F723, (LEN(F723))&gt;=3, F723)</f>
        <v>Francis Kingsley Otoo</v>
      </c>
    </row>
    <row r="724" spans="6:7">
      <c r="F724" t="s">
        <v>1362</v>
      </c>
      <c r="G724" t="str" cm="1">
        <f t="array" ref="G724">_xlfn.IFS(LEN(F724)=1, "00" &amp; F724, (LEN(F724))=2, "0" &amp; F724, (LEN(F724))&gt;=3, F724)</f>
        <v>Prince Obeng</v>
      </c>
    </row>
    <row r="725" spans="6:7">
      <c r="F725" t="s">
        <v>1366</v>
      </c>
      <c r="G725" t="str" cm="1">
        <f t="array" ref="G725">_xlfn.IFS(LEN(F725)=1, "00" &amp; F725, (LEN(F725))=2, "0" &amp; F725, (LEN(F725))&gt;=3, F725)</f>
        <v>Rita Coffie</v>
      </c>
    </row>
    <row r="726" spans="6:7">
      <c r="F726" t="s">
        <v>1370</v>
      </c>
      <c r="G726" t="str" cm="1">
        <f t="array" ref="G726">_xlfn.IFS(LEN(F726)=1, "00" &amp; F726, (LEN(F726))=2, "0" &amp; F726, (LEN(F726))&gt;=3, F726)</f>
        <v>Kwaku Yeboah</v>
      </c>
    </row>
    <row r="727" spans="6:7">
      <c r="F727" t="s">
        <v>1520</v>
      </c>
      <c r="G727" t="str" cm="1">
        <f t="array" ref="G727">_xlfn.IFS(LEN(F727)=1, "00" &amp; F727, (LEN(F727))=2, "0" &amp; F727, (LEN(F727))&gt;=3, F727)</f>
        <v>Dora Amaku Akpey</v>
      </c>
    </row>
    <row r="728" spans="6:7">
      <c r="F728" t="s">
        <v>1376</v>
      </c>
      <c r="G728" t="str" cm="1">
        <f t="array" ref="G728">_xlfn.IFS(LEN(F728)=1, "00" &amp; F728, (LEN(F728))=2, "0" &amp; F728, (LEN(F728))&gt;=3, F728)</f>
        <v>Rose Afia Kpodo</v>
      </c>
    </row>
    <row r="729" spans="6:7">
      <c r="F729" t="s">
        <v>1379</v>
      </c>
      <c r="G729" t="str" cm="1">
        <f t="array" ref="G729">_xlfn.IFS(LEN(F729)=1, "00" &amp; F729, (LEN(F729))=2, "0" &amp; F729, (LEN(F729))&gt;=3, F729)</f>
        <v>Afia Nsiah</v>
      </c>
    </row>
    <row r="730" spans="6:7">
      <c r="F730" t="s">
        <v>1382</v>
      </c>
      <c r="G730" t="str" cm="1">
        <f t="array" ref="G730">_xlfn.IFS(LEN(F730)=1, "00" &amp; F730, (LEN(F730))=2, "0" &amp; F730, (LEN(F730))&gt;=3, F730)</f>
        <v>Samuel Duah</v>
      </c>
    </row>
    <row r="731" spans="6:7">
      <c r="F731" t="s">
        <v>140</v>
      </c>
      <c r="G731" t="str" cm="1">
        <f t="array" ref="G731">_xlfn.IFS(LEN(F731)=1, "00" &amp; F731, (LEN(F731))=2, "0" &amp; F731, (LEN(F731))&gt;=3, F731)</f>
        <v>Kwame Frimpong</v>
      </c>
    </row>
    <row r="732" spans="6:7">
      <c r="F732" t="s">
        <v>1387</v>
      </c>
      <c r="G732" t="str" cm="1">
        <f t="array" ref="G732">_xlfn.IFS(LEN(F732)=1, "00" &amp; F732, (LEN(F732))=2, "0" &amp; F732, (LEN(F732))&gt;=3, F732)</f>
        <v>Joseph Doku</v>
      </c>
    </row>
    <row r="733" spans="6:7">
      <c r="F733" t="s">
        <v>1390</v>
      </c>
      <c r="G733" t="str" cm="1">
        <f t="array" ref="G733">_xlfn.IFS(LEN(F733)=1, "00" &amp; F733, (LEN(F733))=2, "0" &amp; F733, (LEN(F733))&gt;=3, F733)</f>
        <v>Kofi Agyekum</v>
      </c>
    </row>
    <row r="734" spans="6:7">
      <c r="F734" t="s">
        <v>1373</v>
      </c>
      <c r="G734" t="str" cm="1">
        <f t="array" ref="G734">_xlfn.IFS(LEN(F734)=1, "00" &amp; F734, (LEN(F734))=2, "0" &amp; F734, (LEN(F734))&gt;=3, F734)</f>
        <v>Nicholas Kofi Nimako</v>
      </c>
    </row>
    <row r="735" spans="6:7">
      <c r="F735" t="s">
        <v>70</v>
      </c>
      <c r="G735" t="str" cm="1">
        <f t="array" ref="G735">_xlfn.IFS(LEN(F735)=1, "00" &amp; F735, (LEN(F735))=2, "0" &amp; F735, (LEN(F735))&gt;=3, F735)</f>
        <v>Yaa Ofosua</v>
      </c>
    </row>
    <row r="736" spans="6:7">
      <c r="F736" t="s">
        <v>1397</v>
      </c>
      <c r="G736" t="str" cm="1">
        <f t="array" ref="G736">_xlfn.IFS(LEN(F736)=1, "00" &amp; F736, (LEN(F736))=2, "0" &amp; F736, (LEN(F736))&gt;=3, F736)</f>
        <v>Beatrice Acquah</v>
      </c>
    </row>
    <row r="737" spans="6:7">
      <c r="F737" t="s">
        <v>1400</v>
      </c>
      <c r="G737" t="str" cm="1">
        <f t="array" ref="G737">_xlfn.IFS(LEN(F737)=1, "00" &amp; F737, (LEN(F737))=2, "0" &amp; F737, (LEN(F737))&gt;=3, F737)</f>
        <v>Paulina Kissiwaa</v>
      </c>
    </row>
    <row r="738" spans="6:7">
      <c r="F738" t="s">
        <v>1403</v>
      </c>
      <c r="G738" t="str" cm="1">
        <f t="array" ref="G738">_xlfn.IFS(LEN(F738)=1, "00" &amp; F738, (LEN(F738))=2, "0" &amp; F738, (LEN(F738))&gt;=3, F738)</f>
        <v>Yobio Korleki</v>
      </c>
    </row>
    <row r="739" spans="6:7">
      <c r="F739" t="s">
        <v>1405</v>
      </c>
      <c r="G739" t="str" cm="1">
        <f t="array" ref="G739">_xlfn.IFS(LEN(F739)=1, "00" &amp; F739, (LEN(F739))=2, "0" &amp; F739, (LEN(F739))&gt;=3, F739)</f>
        <v>Matilda Bosompemaa</v>
      </c>
    </row>
    <row r="740" spans="6:7">
      <c r="F740" t="s">
        <v>1393</v>
      </c>
      <c r="G740" t="str" cm="1">
        <f t="array" ref="G740">_xlfn.IFS(LEN(F740)=1, "00" &amp; F740, (LEN(F740))=2, "0" &amp; F740, (LEN(F740))&gt;=3, F740)</f>
        <v>Dina Opokuaa</v>
      </c>
    </row>
    <row r="741" spans="6:7">
      <c r="F741" t="s">
        <v>1410</v>
      </c>
      <c r="G741" t="str" cm="1">
        <f t="array" ref="G741">_xlfn.IFS(LEN(F741)=1, "00" &amp; F741, (LEN(F741))=2, "0" &amp; F741, (LEN(F741))&gt;=3, F741)</f>
        <v>Rosemond Osei</v>
      </c>
    </row>
    <row r="742" spans="6:7">
      <c r="F742" t="s">
        <v>1412</v>
      </c>
      <c r="G742" t="str" cm="1">
        <f t="array" ref="G742">_xlfn.IFS(LEN(F742)=1, "00" &amp; F742, (LEN(F742))=2, "0" &amp; F742, (LEN(F742))&gt;=3, F742)</f>
        <v>Kwasi Kyei</v>
      </c>
    </row>
    <row r="743" spans="6:7">
      <c r="F743" t="s">
        <v>1415</v>
      </c>
      <c r="G743" t="str" cm="1">
        <f t="array" ref="G743">_xlfn.IFS(LEN(F743)=1, "00" &amp; F743, (LEN(F743))=2, "0" &amp; F743, (LEN(F743))&gt;=3, F743)</f>
        <v>Yaa Owusua</v>
      </c>
    </row>
    <row r="744" spans="6:7">
      <c r="F744" t="s">
        <v>1408</v>
      </c>
      <c r="G744" t="str" cm="1">
        <f t="array" ref="G744">_xlfn.IFS(LEN(F744)=1, "00" &amp; F744, (LEN(F744))=2, "0" &amp; F744, (LEN(F744))&gt;=3, F744)</f>
        <v>Selina Asantewaa</v>
      </c>
    </row>
    <row r="745" spans="6:7">
      <c r="F745" t="s">
        <v>1422</v>
      </c>
      <c r="G745" t="str" cm="1">
        <f t="array" ref="G745">_xlfn.IFS(LEN(F745)=1, "00" &amp; F745, (LEN(F745))=2, "0" &amp; F745, (LEN(F745))&gt;=3, F745)</f>
        <v>Esther Narkie</v>
      </c>
    </row>
    <row r="746" spans="6:7">
      <c r="F746" t="s">
        <v>1418</v>
      </c>
      <c r="G746" t="str" cm="1">
        <f t="array" ref="G746">_xlfn.IFS(LEN(F746)=1, "00" &amp; F746, (LEN(F746))=2, "0" &amp; F746, (LEN(F746))&gt;=3, F746)</f>
        <v>Vida Korang</v>
      </c>
    </row>
    <row r="747" spans="6:7">
      <c r="F747" t="s">
        <v>1425</v>
      </c>
      <c r="G747" t="str" cm="1">
        <f t="array" ref="G747">_xlfn.IFS(LEN(F747)=1, "00" &amp; F747, (LEN(F747))=2, "0" &amp; F747, (LEN(F747))&gt;=3, F747)</f>
        <v>Florence Amoako Atta</v>
      </c>
    </row>
    <row r="748" spans="6:7">
      <c r="F748" t="s">
        <v>1431</v>
      </c>
      <c r="G748" t="str" cm="1">
        <f t="array" ref="G748">_xlfn.IFS(LEN(F748)=1, "00" &amp; F748, (LEN(F748))=2, "0" &amp; F748, (LEN(F748))&gt;=3, F748)</f>
        <v>Charity Boadiwaa</v>
      </c>
    </row>
    <row r="749" spans="6:7">
      <c r="F749" t="s">
        <v>1508</v>
      </c>
      <c r="G749" t="str" cm="1">
        <f t="array" ref="G749">_xlfn.IFS(LEN(F749)=1, "00" &amp; F749, (LEN(F749))=2, "0" &amp; F749, (LEN(F749))&gt;=3, F749)</f>
        <v>Kofi Bosompem</v>
      </c>
    </row>
    <row r="750" spans="6:7">
      <c r="F750" t="s">
        <v>1438</v>
      </c>
      <c r="G750" t="str" cm="1">
        <f t="array" ref="G750">_xlfn.IFS(LEN(F750)=1, "00" &amp; F750, (LEN(F750))=2, "0" &amp; F750, (LEN(F750))&gt;=3, F750)</f>
        <v>Salomey Akua Buah</v>
      </c>
    </row>
    <row r="751" spans="6:7">
      <c r="F751" t="s">
        <v>1441</v>
      </c>
      <c r="G751" t="str" cm="1">
        <f t="array" ref="G751">_xlfn.IFS(LEN(F751)=1, "00" &amp; F751, (LEN(F751))=2, "0" &amp; F751, (LEN(F751))&gt;=3, F751)</f>
        <v>Cecilia Serwaa</v>
      </c>
    </row>
    <row r="752" spans="6:7">
      <c r="F752" t="s">
        <v>1428</v>
      </c>
      <c r="G752" t="str" cm="1">
        <f t="array" ref="G752">_xlfn.IFS(LEN(F752)=1, "00" &amp; F752, (LEN(F752))=2, "0" &amp; F752, (LEN(F752))&gt;=3, F752)</f>
        <v>Janet Boadua</v>
      </c>
    </row>
    <row r="753" spans="6:7">
      <c r="F753" t="s">
        <v>1434</v>
      </c>
      <c r="G753" t="str" cm="1">
        <f t="array" ref="G753">_xlfn.IFS(LEN(F753)=1, "00" &amp; F753, (LEN(F753))=2, "0" &amp; F753, (LEN(F753))&gt;=3, F753)</f>
        <v>Faustina Ayimaah</v>
      </c>
    </row>
    <row r="754" spans="6:7">
      <c r="F754" t="s">
        <v>1450</v>
      </c>
      <c r="G754" t="str" cm="1">
        <f t="array" ref="G754">_xlfn.IFS(LEN(F754)=1, "00" &amp; F754, (LEN(F754))=2, "0" &amp; F754, (LEN(F754))&gt;=3, F754)</f>
        <v>Akosua Pomaah</v>
      </c>
    </row>
    <row r="755" spans="6:7">
      <c r="F755" t="s">
        <v>1523</v>
      </c>
      <c r="G755" t="str" cm="1">
        <f t="array" ref="G755">_xlfn.IFS(LEN(F755)=1, "00" &amp; F755, (LEN(F755))=2, "0" &amp; F755, (LEN(F755))&gt;=3, F755)</f>
        <v>Patrick Owusu</v>
      </c>
    </row>
    <row r="756" spans="6:7">
      <c r="F756" t="s">
        <v>1456</v>
      </c>
      <c r="G756" t="str" cm="1">
        <f t="array" ref="G756">_xlfn.IFS(LEN(F756)=1, "00" &amp; F756, (LEN(F756))=2, "0" &amp; F756, (LEN(F756))&gt;=3, F756)</f>
        <v>Faustina Doku</v>
      </c>
    </row>
    <row r="757" spans="6:7">
      <c r="F757" t="s">
        <v>1459</v>
      </c>
      <c r="G757" t="str" cm="1">
        <f t="array" ref="G757">_xlfn.IFS(LEN(F757)=1, "00" &amp; F757, (LEN(F757))=2, "0" &amp; F757, (LEN(F757))&gt;=3, F757)</f>
        <v>Emmanuel Charles Apenteng</v>
      </c>
    </row>
    <row r="758" spans="6:7">
      <c r="F758" t="s">
        <v>1462</v>
      </c>
      <c r="G758" t="str" cm="1">
        <f t="array" ref="G758">_xlfn.IFS(LEN(F758)=1, "00" &amp; F758, (LEN(F758))=2, "0" &amp; F758, (LEN(F758))&gt;=3, F758)</f>
        <v>Maxwell Nimako</v>
      </c>
    </row>
    <row r="759" spans="6:7">
      <c r="F759" t="s">
        <v>1465</v>
      </c>
      <c r="G759" t="str" cm="1">
        <f t="array" ref="G759">_xlfn.IFS(LEN(F759)=1, "00" &amp; F759, (LEN(F759))=2, "0" &amp; F759, (LEN(F759))&gt;=3, F759)</f>
        <v>Mary Bosompem</v>
      </c>
    </row>
    <row r="760" spans="6:7">
      <c r="F760" t="s">
        <v>1469</v>
      </c>
      <c r="G760" t="str" cm="1">
        <f t="array" ref="G760">_xlfn.IFS(LEN(F760)=1, "00" &amp; F760, (LEN(F760))=2, "0" &amp; F760, (LEN(F760))&gt;=3, F760)</f>
        <v>Stephen Twum Ampofo</v>
      </c>
    </row>
    <row r="761" spans="6:7">
      <c r="F761" t="s">
        <v>1444</v>
      </c>
      <c r="G761" t="str" cm="1">
        <f t="array" ref="G761">_xlfn.IFS(LEN(F761)=1, "00" &amp; F761, (LEN(F761))=2, "0" &amp; F761, (LEN(F761))&gt;=3, F761)</f>
        <v>Elizabeth Ofosua</v>
      </c>
    </row>
    <row r="762" spans="6:7">
      <c r="F762" t="s">
        <v>1447</v>
      </c>
      <c r="G762" t="str" cm="1">
        <f t="array" ref="G762">_xlfn.IFS(LEN(F762)=1, "00" &amp; F762, (LEN(F762))=2, "0" &amp; F762, (LEN(F762))&gt;=3, F762)</f>
        <v>Seth Aboagye</v>
      </c>
    </row>
    <row r="763" spans="6:7">
      <c r="F763" t="s">
        <v>1477</v>
      </c>
      <c r="G763" t="str" cm="1">
        <f t="array" ref="G763">_xlfn.IFS(LEN(F763)=1, "00" &amp; F763, (LEN(F763))=2, "0" &amp; F763, (LEN(F763))&gt;=3, F763)</f>
        <v>Gladys Ampofoaa</v>
      </c>
    </row>
    <row r="764" spans="6:7">
      <c r="F764" t="s">
        <v>1480</v>
      </c>
      <c r="G764" t="str" cm="1">
        <f t="array" ref="G764">_xlfn.IFS(LEN(F764)=1, "00" &amp; F764, (LEN(F764))=2, "0" &amp; F764, (LEN(F764))&gt;=3, F764)</f>
        <v>Andrews Amoako</v>
      </c>
    </row>
    <row r="765" spans="6:7">
      <c r="F765" t="s">
        <v>1484</v>
      </c>
      <c r="G765" t="str" cm="1">
        <f t="array" ref="G765">_xlfn.IFS(LEN(F765)=1, "00" &amp; F765, (LEN(F765))=2, "0" &amp; F765, (LEN(F765))&gt;=3, F765)</f>
        <v>Adwoa Amponsah</v>
      </c>
    </row>
    <row r="766" spans="6:7">
      <c r="F766" t="s">
        <v>1487</v>
      </c>
      <c r="G766" t="str" cm="1">
        <f t="array" ref="G766">_xlfn.IFS(LEN(F766)=1, "00" &amp; F766, (LEN(F766))=2, "0" &amp; F766, (LEN(F766))&gt;=3, F766)</f>
        <v>Kwadwo Acheampong</v>
      </c>
    </row>
    <row r="767" spans="6:7">
      <c r="F767" t="s">
        <v>1490</v>
      </c>
      <c r="G767" t="str" cm="1">
        <f t="array" ref="G767">_xlfn.IFS(LEN(F767)=1, "00" &amp; F767, (LEN(F767))=2, "0" &amp; F767, (LEN(F767))&gt;=3, F767)</f>
        <v>Afia Ntiamoah</v>
      </c>
    </row>
    <row r="768" spans="6:7">
      <c r="F768" t="s">
        <v>1493</v>
      </c>
      <c r="G768" t="str" cm="1">
        <f t="array" ref="G768">_xlfn.IFS(LEN(F768)=1, "00" &amp; F768, (LEN(F768))=2, "0" &amp; F768, (LEN(F768))&gt;=3, F768)</f>
        <v>Mary Frimpomaa</v>
      </c>
    </row>
    <row r="769" spans="6:7">
      <c r="F769" t="s">
        <v>1496</v>
      </c>
      <c r="G769" t="str" cm="1">
        <f t="array" ref="G769">_xlfn.IFS(LEN(F769)=1, "00" &amp; F769, (LEN(F769))=2, "0" &amp; F769, (LEN(F769))&gt;=3, F769)</f>
        <v>Kofi Asamoah</v>
      </c>
    </row>
    <row r="770" spans="6:7">
      <c r="F770" t="s">
        <v>1499</v>
      </c>
      <c r="G770" t="str" cm="1">
        <f t="array" ref="G770">_xlfn.IFS(LEN(F770)=1, "00" &amp; F770, (LEN(F770))=2, "0" &amp; F770, (LEN(F770))&gt;=3, F770)</f>
        <v>George Nkansah</v>
      </c>
    </row>
    <row r="771" spans="6:7">
      <c r="F771" t="s">
        <v>1453</v>
      </c>
      <c r="G771" t="str" cm="1">
        <f t="array" ref="G771">_xlfn.IFS(LEN(F771)=1, "00" &amp; F771, (LEN(F771))=2, "0" &amp; F771, (LEN(F771))&gt;=3, F771)</f>
        <v>Bernard Adu</v>
      </c>
    </row>
    <row r="772" spans="6:7">
      <c r="F772" t="s">
        <v>1005</v>
      </c>
      <c r="G772" t="str" cm="1">
        <f t="array" ref="G772">_xlfn.IFS(LEN(F772)=1, "00" &amp; F772, (LEN(F772))=2, "0" &amp; F772, (LEN(F772))&gt;=3, F772)</f>
        <v>Georgina Korang</v>
      </c>
    </row>
    <row r="773" spans="6:7">
      <c r="F773" t="s">
        <v>1472</v>
      </c>
      <c r="G773" t="str" cm="1">
        <f t="array" ref="G773">_xlfn.IFS(LEN(F773)=1, "00" &amp; F773, (LEN(F773))=2, "0" &amp; F773, (LEN(F773))&gt;=3, F773)</f>
        <v>Isaac Darko</v>
      </c>
    </row>
    <row r="774" spans="6:7">
      <c r="F774" t="s">
        <v>1510</v>
      </c>
      <c r="G774" t="str" cm="1">
        <f t="array" ref="G774">_xlfn.IFS(LEN(F774)=1, "00" &amp; F774, (LEN(F774))=2, "0" &amp; F774, (LEN(F774))&gt;=3, F774)</f>
        <v>Vivian Animah</v>
      </c>
    </row>
    <row r="775" spans="6:7">
      <c r="F775" t="s">
        <v>1512</v>
      </c>
      <c r="G775" t="str" cm="1">
        <f t="array" ref="G775">_xlfn.IFS(LEN(F775)=1, "00" &amp; F775, (LEN(F775))=2, "0" &amp; F775, (LEN(F775))&gt;=3, F775)</f>
        <v>Christiana Kwakyewaa</v>
      </c>
    </row>
    <row r="776" spans="6:7">
      <c r="F776" t="s">
        <v>1515</v>
      </c>
      <c r="G776" t="str" cm="1">
        <f t="array" ref="G776">_xlfn.IFS(LEN(F776)=1, "00" &amp; F776, (LEN(F776))=2, "0" &amp; F776, (LEN(F776))&gt;=3, F776)</f>
        <v>Emelia Ampofoaa</v>
      </c>
    </row>
    <row r="777" spans="6:7">
      <c r="F777" t="s">
        <v>1517</v>
      </c>
      <c r="G777" t="str" cm="1">
        <f t="array" ref="G777">_xlfn.IFS(LEN(F777)=1, "00" &amp; F777, (LEN(F777))=2, "0" &amp; F777, (LEN(F777))&gt;=3, F777)</f>
        <v>Kwasi Owusu</v>
      </c>
    </row>
    <row r="778" spans="6:7">
      <c r="F778" t="s">
        <v>1474</v>
      </c>
      <c r="G778" t="str" cm="1">
        <f t="array" ref="G778">_xlfn.IFS(LEN(F778)=1, "00" &amp; F778, (LEN(F778))=2, "0" &amp; F778, (LEN(F778))&gt;=3, F778)</f>
        <v>Joanita Ofori Asante</v>
      </c>
    </row>
    <row r="779" spans="6:7">
      <c r="F779" t="s">
        <v>1502</v>
      </c>
      <c r="G779" t="str" cm="1">
        <f t="array" ref="G779">_xlfn.IFS(LEN(F779)=1, "00" &amp; F779, (LEN(F779))=2, "0" &amp; F779, (LEN(F779))&gt;=3, F779)</f>
        <v>Samuel Osei</v>
      </c>
    </row>
    <row r="780" spans="6:7">
      <c r="F780" t="s">
        <v>1505</v>
      </c>
      <c r="G780" t="str" cm="1">
        <f t="array" ref="G780">_xlfn.IFS(LEN(F780)=1, "00" &amp; F780, (LEN(F780))=2, "0" &amp; F780, (LEN(F780))&gt;=3, F780)</f>
        <v>Kate Owusu Sekyere</v>
      </c>
    </row>
    <row r="781" spans="6:7">
      <c r="F781" t="s">
        <v>1527</v>
      </c>
      <c r="G781" t="str" cm="1">
        <f t="array" ref="G781">_xlfn.IFS(LEN(F781)=1, "00" &amp; F781, (LEN(F781))=2, "0" &amp; F781, (LEN(F781))&gt;=3, F781)</f>
        <v>Samson Duodu</v>
      </c>
    </row>
    <row r="782" spans="6:7">
      <c r="F782" t="s">
        <v>1529</v>
      </c>
      <c r="G782" t="str" cm="1">
        <f t="array" ref="G782">_xlfn.IFS(LEN(F782)=1, "00" &amp; F782, (LEN(F782))=2, "0" &amp; F782, (LEN(F782))&gt;=3, F782)</f>
        <v>Daniel Akafua</v>
      </c>
    </row>
    <row r="783" spans="6:7">
      <c r="F783" t="s">
        <v>1532</v>
      </c>
      <c r="G783" t="str" cm="1">
        <f t="array" ref="G783">_xlfn.IFS(LEN(F783)=1, "00" &amp; F783, (LEN(F783))=2, "0" &amp; F783, (LEN(F783))&gt;=3, F783)</f>
        <v>Regina Boateng</v>
      </c>
    </row>
    <row r="784" spans="6:7">
      <c r="F784" t="s">
        <v>1535</v>
      </c>
      <c r="G784" t="str" cm="1">
        <f t="array" ref="G784">_xlfn.IFS(LEN(F784)=1, "00" &amp; F784, (LEN(F784))=2, "0" &amp; F784, (LEN(F784))&gt;=3, F784)</f>
        <v>Evans Omane</v>
      </c>
    </row>
    <row r="785" spans="6:7">
      <c r="F785" t="s">
        <v>1538</v>
      </c>
      <c r="G785" t="str" cm="1">
        <f t="array" ref="G785">_xlfn.IFS(LEN(F785)=1, "00" &amp; F785, (LEN(F785))=2, "0" &amp; F785, (LEN(F785))&gt;=3, F785)</f>
        <v>Paul Owusu</v>
      </c>
    </row>
    <row r="786" spans="6:7">
      <c r="F786" t="s">
        <v>1541</v>
      </c>
      <c r="G786" t="str" cm="1">
        <f t="array" ref="G786">_xlfn.IFS(LEN(F786)=1, "00" &amp; F786, (LEN(F786))=2, "0" &amp; F786, (LEN(F786))&gt;=3, F786)</f>
        <v>Daniel Quaye</v>
      </c>
    </row>
    <row r="787" spans="6:7">
      <c r="F787" t="s">
        <v>1544</v>
      </c>
      <c r="G787" t="str" cm="1">
        <f t="array" ref="G787">_xlfn.IFS(LEN(F787)=1, "00" &amp; F787, (LEN(F787))=2, "0" &amp; F787, (LEN(F787))&gt;=3, F787)</f>
        <v>Juliana Akoto</v>
      </c>
    </row>
    <row r="788" spans="6:7">
      <c r="F788" t="s">
        <v>1547</v>
      </c>
      <c r="G788" t="str" cm="1">
        <f t="array" ref="G788">_xlfn.IFS(LEN(F788)=1, "00" &amp; F788, (LEN(F788))=2, "0" &amp; F788, (LEN(F788))&gt;=3, F788)</f>
        <v>John Eshun</v>
      </c>
    </row>
    <row r="789" spans="6:7">
      <c r="F789" t="s">
        <v>1550</v>
      </c>
      <c r="G789" t="str" cm="1">
        <f t="array" ref="G789">_xlfn.IFS(LEN(F789)=1, "00" &amp; F789, (LEN(F789))=2, "0" &amp; F789, (LEN(F789))&gt;=3, F789)</f>
        <v>Abena Badu</v>
      </c>
    </row>
    <row r="790" spans="6:7">
      <c r="F790" t="s">
        <v>1553</v>
      </c>
      <c r="G790" t="str" cm="1">
        <f t="array" ref="G790">_xlfn.IFS(LEN(F790)=1, "00" &amp; F790, (LEN(F790))=2, "0" &amp; F790, (LEN(F790))&gt;=3, F790)</f>
        <v>Janet Oforiwaa</v>
      </c>
    </row>
    <row r="791" spans="6:7">
      <c r="F791" t="s">
        <v>1556</v>
      </c>
      <c r="G791" t="str" cm="1">
        <f t="array" ref="G791">_xlfn.IFS(LEN(F791)=1, "00" &amp; F791, (LEN(F791))=2, "0" &amp; F791, (LEN(F791))&gt;=3, F791)</f>
        <v>William Ebo Amoako</v>
      </c>
    </row>
    <row r="792" spans="6:7">
      <c r="F792" t="s">
        <v>1559</v>
      </c>
      <c r="G792" t="str" cm="1">
        <f t="array" ref="G792">_xlfn.IFS(LEN(F792)=1, "00" &amp; F792, (LEN(F792))=2, "0" &amp; F792, (LEN(F792))&gt;=3, F792)</f>
        <v>Michael Yaw Asare</v>
      </c>
    </row>
    <row r="793" spans="6:7">
      <c r="F793" t="s">
        <v>1561</v>
      </c>
      <c r="G793" t="str" cm="1">
        <f t="array" ref="G793">_xlfn.IFS(LEN(F793)=1, "00" &amp; F793, (LEN(F793))=2, "0" &amp; F793, (LEN(F793))&gt;=3, F793)</f>
        <v>Paul Asare</v>
      </c>
    </row>
    <row r="794" spans="6:7">
      <c r="F794" t="s">
        <v>1564</v>
      </c>
      <c r="G794" t="str" cm="1">
        <f t="array" ref="G794">_xlfn.IFS(LEN(F794)=1, "00" &amp; F794, (LEN(F794))=2, "0" &amp; F794, (LEN(F794))&gt;=3, F794)</f>
        <v>Alice Ampofowaa</v>
      </c>
    </row>
    <row r="795" spans="6:7">
      <c r="F795" t="s">
        <v>1567</v>
      </c>
      <c r="G795" t="str" cm="1">
        <f t="array" ref="G795">_xlfn.IFS(LEN(F795)=1, "00" &amp; F795, (LEN(F795))=2, "0" &amp; F795, (LEN(F795))&gt;=3, F795)</f>
        <v>Mercy  Pomaah</v>
      </c>
    </row>
    <row r="796" spans="6:7">
      <c r="F796" t="s">
        <v>1570</v>
      </c>
      <c r="G796" t="str" cm="1">
        <f t="array" ref="G796">_xlfn.IFS(LEN(F796)=1, "00" &amp; F796, (LEN(F796))=2, "0" &amp; F796, (LEN(F796))&gt;=3, F796)</f>
        <v>Emmanuel Kofi Batsa</v>
      </c>
    </row>
    <row r="797" spans="6:7">
      <c r="F797" t="s">
        <v>1573</v>
      </c>
      <c r="G797" t="str" cm="1">
        <f t="array" ref="G797">_xlfn.IFS(LEN(F797)=1, "00" &amp; F797, (LEN(F797))=2, "0" &amp; F797, (LEN(F797))&gt;=3, F797)</f>
        <v>Comfort Lashatey Doku</v>
      </c>
    </row>
    <row r="798" spans="6:7">
      <c r="F798" t="s">
        <v>1575</v>
      </c>
      <c r="G798" t="str" cm="1">
        <f t="array" ref="G798">_xlfn.IFS(LEN(F798)=1, "00" &amp; F798, (LEN(F798))=2, "0" &amp; F798, (LEN(F798))&gt;=3, F798)</f>
        <v>Ellen Akosua Ofosuaa</v>
      </c>
    </row>
    <row r="799" spans="6:7">
      <c r="F799" t="s">
        <v>1578</v>
      </c>
      <c r="G799" t="str" cm="1">
        <f t="array" ref="G799">_xlfn.IFS(LEN(F799)=1, "00" &amp; F799, (LEN(F799))=2, "0" &amp; F799, (LEN(F799))&gt;=3, F799)</f>
        <v>Sam Amoako</v>
      </c>
    </row>
    <row r="800" spans="6:7">
      <c r="F800" t="s">
        <v>1581</v>
      </c>
      <c r="G800" t="str" cm="1">
        <f t="array" ref="G800">_xlfn.IFS(LEN(F800)=1, "00" &amp; F800, (LEN(F800))=2, "0" &amp; F800, (LEN(F800))&gt;=3, F800)</f>
        <v>Janet Bosompemaa</v>
      </c>
    </row>
    <row r="801" spans="6:6">
      <c r="F801" t="s">
        <v>1584</v>
      </c>
    </row>
    <row r="802" spans="6:6">
      <c r="F802" t="s">
        <v>1587</v>
      </c>
    </row>
    <row r="803" spans="6:6">
      <c r="F803" t="s">
        <v>1589</v>
      </c>
    </row>
    <row r="804" spans="6:6">
      <c r="F804" t="s">
        <v>1592</v>
      </c>
    </row>
    <row r="805" spans="6:6">
      <c r="F805" t="s">
        <v>1595</v>
      </c>
    </row>
    <row r="806" spans="6:6">
      <c r="F806" t="s">
        <v>1598</v>
      </c>
    </row>
    <row r="807" spans="6:6">
      <c r="F807" t="s">
        <v>1601</v>
      </c>
    </row>
    <row r="808" spans="6:6">
      <c r="F808" t="s">
        <v>1604</v>
      </c>
    </row>
    <row r="809" spans="6:6">
      <c r="F809" t="s">
        <v>1606</v>
      </c>
    </row>
    <row r="810" spans="6:6">
      <c r="F810" t="s">
        <v>1609</v>
      </c>
    </row>
    <row r="811" spans="6:6">
      <c r="F811" t="s">
        <v>1612</v>
      </c>
    </row>
    <row r="812" spans="6:6">
      <c r="F812" t="s">
        <v>1615</v>
      </c>
    </row>
    <row r="813" spans="6:6">
      <c r="F813" t="s">
        <v>1618</v>
      </c>
    </row>
    <row r="814" spans="6:6">
      <c r="F814" t="s">
        <v>1621</v>
      </c>
    </row>
    <row r="815" spans="6:6">
      <c r="F815" t="s">
        <v>1623</v>
      </c>
    </row>
    <row r="816" spans="6:6">
      <c r="F816" t="s">
        <v>1626</v>
      </c>
    </row>
    <row r="817" spans="6:6">
      <c r="F817" t="s">
        <v>1629</v>
      </c>
    </row>
    <row r="818" spans="6:6">
      <c r="F818" t="s">
        <v>1632</v>
      </c>
    </row>
  </sheetData>
  <mergeCells count="1">
    <mergeCell ref="A4:C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/>
  <cols>
    <col min="1" max="1" width="8.570312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3"/>
  <sheetViews>
    <sheetView topLeftCell="L1" zoomScale="140" zoomScaleNormal="140" workbookViewId="0">
      <selection activeCell="A10" sqref="A10"/>
    </sheetView>
  </sheetViews>
  <sheetFormatPr defaultRowHeight="15"/>
  <cols>
    <col min="1" max="1" width="23.42578125" bestFit="1" customWidth="1"/>
    <col min="2" max="3" width="23.140625" bestFit="1" customWidth="1"/>
    <col min="4" max="4" width="19.42578125" customWidth="1"/>
    <col min="6" max="6" width="11.42578125" bestFit="1" customWidth="1"/>
  </cols>
  <sheetData>
    <row r="1" spans="1:7">
      <c r="A1" t="s">
        <v>1674</v>
      </c>
      <c r="B1" t="s">
        <v>1988</v>
      </c>
      <c r="C1" t="s">
        <v>1989</v>
      </c>
      <c r="D1" t="s">
        <v>1990</v>
      </c>
    </row>
    <row r="2" spans="1:7">
      <c r="A2" t="s">
        <v>1991</v>
      </c>
      <c r="B2" s="90">
        <v>592130143</v>
      </c>
      <c r="C2" t="s">
        <v>1700</v>
      </c>
      <c r="D2" t="s">
        <v>1992</v>
      </c>
    </row>
    <row r="3" spans="1:7">
      <c r="A3" t="s">
        <v>1705</v>
      </c>
      <c r="B3" s="90">
        <v>245663356</v>
      </c>
      <c r="C3" t="s">
        <v>1704</v>
      </c>
      <c r="D3" t="s">
        <v>1992</v>
      </c>
    </row>
    <row r="4" spans="1:7">
      <c r="A4" t="s">
        <v>1689</v>
      </c>
      <c r="B4" s="90">
        <v>552068774</v>
      </c>
      <c r="C4" t="s">
        <v>1688</v>
      </c>
      <c r="D4" t="s">
        <v>1993</v>
      </c>
    </row>
    <row r="5" spans="1:7">
      <c r="A5" t="s">
        <v>1994</v>
      </c>
      <c r="D5" t="s">
        <v>1995</v>
      </c>
    </row>
    <row r="6" spans="1:7">
      <c r="A6" t="s">
        <v>1996</v>
      </c>
      <c r="D6" t="s">
        <v>1997</v>
      </c>
    </row>
    <row r="7" spans="1:7">
      <c r="A7" t="s">
        <v>1712</v>
      </c>
      <c r="B7" s="90">
        <v>541835895</v>
      </c>
      <c r="C7" t="s">
        <v>1998</v>
      </c>
    </row>
    <row r="12" spans="1:7">
      <c r="A12" t="s">
        <v>3</v>
      </c>
      <c r="B12" t="s">
        <v>1989</v>
      </c>
      <c r="C12" t="s">
        <v>1727</v>
      </c>
      <c r="D12" t="s">
        <v>1726</v>
      </c>
      <c r="E12" t="s">
        <v>1674</v>
      </c>
      <c r="F12" t="s">
        <v>1663</v>
      </c>
      <c r="G12" t="s">
        <v>1999</v>
      </c>
    </row>
    <row r="13" spans="1:7">
      <c r="A13">
        <v>240</v>
      </c>
      <c r="B13" t="s">
        <v>1998</v>
      </c>
      <c r="C13" s="89">
        <v>0.73611111111111116</v>
      </c>
      <c r="D13" s="90">
        <v>541835895</v>
      </c>
      <c r="E13" t="s">
        <v>1712</v>
      </c>
      <c r="F13" s="11">
        <v>46101</v>
      </c>
      <c r="G13" t="s">
        <v>19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G11"/>
  <sheetViews>
    <sheetView zoomScale="90" zoomScaleNormal="90" workbookViewId="0">
      <selection activeCell="E13" sqref="E13"/>
    </sheetView>
  </sheetViews>
  <sheetFormatPr defaultRowHeight="1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5703125" style="54" bestFit="1" customWidth="1"/>
    <col min="7" max="7" width="16.140625" style="54" bestFit="1" customWidth="1"/>
    <col min="8" max="8" width="20.7109375" bestFit="1" customWidth="1"/>
    <col min="10" max="10" width="11.5703125" bestFit="1" customWidth="1"/>
  </cols>
  <sheetData>
    <row r="1" spans="1:7">
      <c r="A1" t="s">
        <v>3</v>
      </c>
      <c r="B1" t="s">
        <v>1674</v>
      </c>
      <c r="C1" t="s">
        <v>2000</v>
      </c>
      <c r="F1"/>
      <c r="G1"/>
    </row>
    <row r="2" spans="1:7" ht="19.5">
      <c r="A2" s="84" t="s">
        <v>529</v>
      </c>
      <c r="B2" s="81" t="s">
        <v>530</v>
      </c>
      <c r="C2" s="85" t="s">
        <v>532</v>
      </c>
      <c r="F2"/>
      <c r="G2" s="61"/>
    </row>
    <row r="3" spans="1:7" ht="19.5">
      <c r="A3" s="84" t="s">
        <v>534</v>
      </c>
      <c r="B3" s="81" t="s">
        <v>535</v>
      </c>
      <c r="C3" s="85" t="s">
        <v>537</v>
      </c>
      <c r="F3"/>
      <c r="G3"/>
    </row>
    <row r="4" spans="1:7" ht="19.5">
      <c r="A4" s="84" t="s">
        <v>538</v>
      </c>
      <c r="B4" s="81" t="s">
        <v>539</v>
      </c>
      <c r="C4" s="85" t="s">
        <v>541</v>
      </c>
      <c r="F4"/>
      <c r="G4"/>
    </row>
    <row r="5" spans="1:7" ht="19.5">
      <c r="A5" s="84" t="s">
        <v>543</v>
      </c>
      <c r="B5" s="81" t="s">
        <v>544</v>
      </c>
      <c r="C5" s="82" t="s">
        <v>546</v>
      </c>
    </row>
    <row r="6" spans="1:7" ht="19.5">
      <c r="A6" s="84" t="s">
        <v>672</v>
      </c>
      <c r="B6" s="81" t="s">
        <v>673</v>
      </c>
      <c r="C6" s="85" t="s">
        <v>675</v>
      </c>
    </row>
    <row r="7" spans="1:7" ht="19.5">
      <c r="A7" s="84" t="s">
        <v>677</v>
      </c>
      <c r="B7" s="81" t="s">
        <v>678</v>
      </c>
      <c r="C7" s="85" t="s">
        <v>680</v>
      </c>
    </row>
    <row r="8" spans="1:7" ht="19.5">
      <c r="A8" s="84" t="s">
        <v>913</v>
      </c>
      <c r="B8" s="81" t="s">
        <v>914</v>
      </c>
      <c r="C8" s="85" t="s">
        <v>661</v>
      </c>
    </row>
    <row r="9" spans="1:7" ht="19.5">
      <c r="A9" s="84" t="s">
        <v>916</v>
      </c>
      <c r="B9" s="81" t="s">
        <v>917</v>
      </c>
      <c r="C9" s="85" t="s">
        <v>781</v>
      </c>
    </row>
    <row r="11" spans="1:7">
      <c r="A11" t="s">
        <v>1896</v>
      </c>
      <c r="B11">
        <v>245645348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Q18"/>
  <sheetViews>
    <sheetView zoomScale="90" zoomScaleNormal="90" workbookViewId="0">
      <selection activeCell="B17" sqref="B17"/>
    </sheetView>
  </sheetViews>
  <sheetFormatPr defaultRowHeight="15"/>
  <cols>
    <col min="1" max="1" width="6.7109375" bestFit="1" customWidth="1"/>
    <col min="2" max="2" width="7" customWidth="1"/>
    <col min="3" max="3" width="23.85546875" bestFit="1" customWidth="1"/>
    <col min="4" max="4" width="11.140625" bestFit="1" customWidth="1"/>
    <col min="5" max="5" width="11.85546875" style="86" bestFit="1" customWidth="1"/>
    <col min="6" max="10" width="11.85546875" bestFit="1" customWidth="1"/>
    <col min="11" max="11" width="17.140625" style="165" bestFit="1" customWidth="1"/>
    <col min="12" max="12" width="19" style="165" bestFit="1" customWidth="1"/>
    <col min="13" max="13" width="17.85546875" style="165" bestFit="1" customWidth="1"/>
    <col min="14" max="15" width="12.7109375" style="165" bestFit="1" customWidth="1"/>
    <col min="16" max="16" width="11.28515625" style="165" bestFit="1" customWidth="1"/>
    <col min="17" max="17" width="18.85546875" style="165" bestFit="1" customWidth="1"/>
  </cols>
  <sheetData>
    <row r="1" spans="1:17">
      <c r="A1" t="s">
        <v>2001</v>
      </c>
      <c r="B1" t="s">
        <v>3</v>
      </c>
      <c r="C1" t="s">
        <v>1674</v>
      </c>
      <c r="D1" t="s">
        <v>77</v>
      </c>
      <c r="E1" s="86" t="s">
        <v>1893</v>
      </c>
      <c r="F1" t="s">
        <v>1892</v>
      </c>
      <c r="G1" t="s">
        <v>2002</v>
      </c>
      <c r="H1" t="s">
        <v>2003</v>
      </c>
      <c r="I1" t="s">
        <v>2004</v>
      </c>
      <c r="J1" t="s">
        <v>2005</v>
      </c>
      <c r="K1" t="s">
        <v>2006</v>
      </c>
      <c r="L1" t="s">
        <v>2007</v>
      </c>
      <c r="M1" t="s">
        <v>2008</v>
      </c>
      <c r="N1" t="s">
        <v>2009</v>
      </c>
      <c r="O1" t="s">
        <v>2010</v>
      </c>
      <c r="P1" t="s">
        <v>2011</v>
      </c>
      <c r="Q1" t="s">
        <v>2012</v>
      </c>
    </row>
    <row r="2" spans="1:17">
      <c r="A2" s="151">
        <v>1</v>
      </c>
      <c r="B2" s="150" t="s">
        <v>1319</v>
      </c>
      <c r="C2" s="151" t="s">
        <v>2013</v>
      </c>
      <c r="D2" s="151" t="s">
        <v>2014</v>
      </c>
      <c r="E2" s="151" t="s">
        <v>2015</v>
      </c>
      <c r="F2" s="151" t="s">
        <v>2015</v>
      </c>
      <c r="G2" s="151" t="s">
        <v>2015</v>
      </c>
      <c r="H2" s="151" t="s">
        <v>2015</v>
      </c>
      <c r="I2" s="151" t="s">
        <v>2015</v>
      </c>
      <c r="J2" s="151" t="s">
        <v>2015</v>
      </c>
      <c r="K2" s="165">
        <v>0</v>
      </c>
      <c r="L2" s="165">
        <v>0</v>
      </c>
      <c r="M2" s="165">
        <v>50</v>
      </c>
      <c r="N2" s="165">
        <v>100</v>
      </c>
      <c r="O2" s="165">
        <v>110</v>
      </c>
      <c r="P2" s="165">
        <v>0</v>
      </c>
      <c r="Q2" s="165">
        <f>SUM(Table2[[#This Row],[SOAP &amp; DETTOL]:[PANT2]])</f>
        <v>260</v>
      </c>
    </row>
    <row r="3" spans="1:17">
      <c r="A3" s="151">
        <v>2</v>
      </c>
      <c r="B3" s="150" t="s">
        <v>1334</v>
      </c>
      <c r="C3" s="151" t="s">
        <v>1335</v>
      </c>
      <c r="D3" s="151" t="s">
        <v>2014</v>
      </c>
      <c r="E3" s="151" t="s">
        <v>1924</v>
      </c>
      <c r="F3" s="151" t="s">
        <v>1924</v>
      </c>
      <c r="G3" s="151" t="s">
        <v>1924</v>
      </c>
      <c r="H3" s="151" t="s">
        <v>1924</v>
      </c>
      <c r="I3" s="151" t="s">
        <v>1924</v>
      </c>
      <c r="J3" s="151" t="s">
        <v>1924</v>
      </c>
      <c r="K3" s="165">
        <v>100</v>
      </c>
      <c r="L3" s="165">
        <v>150</v>
      </c>
      <c r="M3" s="165">
        <v>50</v>
      </c>
      <c r="N3" s="165">
        <v>100</v>
      </c>
      <c r="O3" s="165">
        <v>110</v>
      </c>
      <c r="P3" s="165">
        <v>30</v>
      </c>
      <c r="Q3" s="165">
        <f>SUM(Table2[[#This Row],[SOAP &amp; DETTOL]:[PANT2]])</f>
        <v>540</v>
      </c>
    </row>
    <row r="4" spans="1:17">
      <c r="A4" s="151">
        <v>3</v>
      </c>
      <c r="B4" s="150" t="s">
        <v>1372</v>
      </c>
      <c r="C4" s="151" t="s">
        <v>1373</v>
      </c>
      <c r="D4" s="151" t="s">
        <v>2016</v>
      </c>
      <c r="E4" s="151" t="s">
        <v>1924</v>
      </c>
      <c r="F4" s="151" t="s">
        <v>1924</v>
      </c>
      <c r="G4" s="151" t="s">
        <v>1924</v>
      </c>
      <c r="H4" s="151" t="s">
        <v>1924</v>
      </c>
      <c r="I4" s="151" t="s">
        <v>1924</v>
      </c>
      <c r="J4" s="151" t="s">
        <v>1924</v>
      </c>
      <c r="K4" s="165">
        <v>100</v>
      </c>
      <c r="L4" s="165">
        <v>150</v>
      </c>
      <c r="M4" s="165">
        <v>50</v>
      </c>
      <c r="N4" s="165">
        <v>100</v>
      </c>
      <c r="O4" s="165">
        <v>110</v>
      </c>
      <c r="P4" s="165">
        <v>30</v>
      </c>
      <c r="Q4" s="165">
        <f>SUM(Table2[[#This Row],[SOAP &amp; DETTOL]:[PANT2]])</f>
        <v>540</v>
      </c>
    </row>
    <row r="5" spans="1:17">
      <c r="A5" s="151">
        <v>4</v>
      </c>
      <c r="B5" s="150" t="s">
        <v>1392</v>
      </c>
      <c r="C5" s="151" t="s">
        <v>1393</v>
      </c>
      <c r="D5" s="151" t="s">
        <v>2014</v>
      </c>
      <c r="E5" s="151" t="s">
        <v>1924</v>
      </c>
      <c r="F5" s="151" t="s">
        <v>1924</v>
      </c>
      <c r="G5" s="151" t="s">
        <v>1924</v>
      </c>
      <c r="H5" s="151" t="s">
        <v>1924</v>
      </c>
      <c r="I5" s="151" t="s">
        <v>1924</v>
      </c>
      <c r="J5" s="151" t="s">
        <v>1924</v>
      </c>
      <c r="K5" s="165">
        <v>100</v>
      </c>
      <c r="L5" s="165">
        <v>150</v>
      </c>
      <c r="M5" s="165">
        <v>50</v>
      </c>
      <c r="N5" s="165">
        <v>100</v>
      </c>
      <c r="O5" s="165">
        <v>110</v>
      </c>
      <c r="P5" s="165">
        <v>30</v>
      </c>
      <c r="Q5" s="165">
        <f>SUM(Table2[[#This Row],[SOAP &amp; DETTOL]:[PANT2]])</f>
        <v>540</v>
      </c>
    </row>
    <row r="6" spans="1:17">
      <c r="A6" s="151">
        <v>5</v>
      </c>
      <c r="B6" s="150" t="s">
        <v>1407</v>
      </c>
      <c r="C6" s="151" t="s">
        <v>1408</v>
      </c>
      <c r="D6" s="151" t="s">
        <v>2014</v>
      </c>
      <c r="E6" s="151" t="s">
        <v>1924</v>
      </c>
      <c r="F6" s="151" t="s">
        <v>1924</v>
      </c>
      <c r="G6" s="151" t="s">
        <v>1924</v>
      </c>
      <c r="H6" s="151" t="s">
        <v>1924</v>
      </c>
      <c r="I6" s="151" t="s">
        <v>1924</v>
      </c>
      <c r="J6" s="151" t="s">
        <v>1924</v>
      </c>
      <c r="K6" s="165">
        <v>100</v>
      </c>
      <c r="L6" s="165">
        <v>150</v>
      </c>
      <c r="M6" s="165">
        <v>50</v>
      </c>
      <c r="N6" s="165">
        <v>100</v>
      </c>
      <c r="O6" s="165">
        <v>110</v>
      </c>
      <c r="P6" s="165">
        <v>30</v>
      </c>
      <c r="Q6" s="165">
        <f>SUM(Table2[[#This Row],[SOAP &amp; DETTOL]:[PANT2]])</f>
        <v>540</v>
      </c>
    </row>
    <row r="7" spans="1:17">
      <c r="A7" s="151">
        <v>6</v>
      </c>
      <c r="B7" s="150" t="s">
        <v>1417</v>
      </c>
      <c r="C7" s="151" t="s">
        <v>1418</v>
      </c>
      <c r="D7" s="151" t="s">
        <v>2014</v>
      </c>
      <c r="E7" s="151" t="s">
        <v>1924</v>
      </c>
      <c r="F7" s="151" t="s">
        <v>1924</v>
      </c>
      <c r="G7" s="151" t="s">
        <v>1924</v>
      </c>
      <c r="H7" s="151" t="s">
        <v>1924</v>
      </c>
      <c r="I7" s="151" t="s">
        <v>1924</v>
      </c>
      <c r="J7" s="151" t="s">
        <v>1924</v>
      </c>
      <c r="K7" s="165">
        <v>100</v>
      </c>
      <c r="L7" s="165">
        <v>150</v>
      </c>
      <c r="M7" s="165">
        <v>50</v>
      </c>
      <c r="N7" s="165">
        <v>100</v>
      </c>
      <c r="O7" s="165">
        <v>110</v>
      </c>
      <c r="P7" s="165">
        <v>30</v>
      </c>
      <c r="Q7" s="165">
        <f>SUM(Table2[[#This Row],[SOAP &amp; DETTOL]:[PANT2]])</f>
        <v>540</v>
      </c>
    </row>
    <row r="8" spans="1:17">
      <c r="A8" s="151">
        <v>7</v>
      </c>
      <c r="B8" s="150" t="s">
        <v>1424</v>
      </c>
      <c r="C8" s="151" t="s">
        <v>1425</v>
      </c>
      <c r="D8" s="151" t="s">
        <v>2014</v>
      </c>
      <c r="E8" s="151" t="s">
        <v>1924</v>
      </c>
      <c r="F8" s="151" t="s">
        <v>1924</v>
      </c>
      <c r="G8" s="151" t="s">
        <v>1924</v>
      </c>
      <c r="H8" s="151" t="s">
        <v>1924</v>
      </c>
      <c r="I8" s="151" t="s">
        <v>1924</v>
      </c>
      <c r="J8" s="151" t="s">
        <v>1924</v>
      </c>
      <c r="K8" s="165">
        <v>100</v>
      </c>
      <c r="L8" s="165">
        <v>150</v>
      </c>
      <c r="M8" s="165">
        <v>50</v>
      </c>
      <c r="N8" s="165">
        <v>100</v>
      </c>
      <c r="O8" s="165">
        <v>110</v>
      </c>
      <c r="P8" s="165">
        <v>30</v>
      </c>
      <c r="Q8" s="165">
        <f>SUM(Table2[[#This Row],[SOAP &amp; DETTOL]:[PANT2]])</f>
        <v>540</v>
      </c>
    </row>
    <row r="9" spans="1:17">
      <c r="A9" s="151">
        <v>8</v>
      </c>
      <c r="B9" s="150" t="s">
        <v>1427</v>
      </c>
      <c r="C9" s="151" t="s">
        <v>1428</v>
      </c>
      <c r="D9" s="151" t="s">
        <v>2014</v>
      </c>
      <c r="E9" s="151" t="s">
        <v>1924</v>
      </c>
      <c r="F9" s="151" t="s">
        <v>1924</v>
      </c>
      <c r="G9" s="151" t="s">
        <v>1924</v>
      </c>
      <c r="H9" s="151" t="s">
        <v>1924</v>
      </c>
      <c r="I9" s="151" t="s">
        <v>1924</v>
      </c>
      <c r="J9" s="151" t="s">
        <v>1924</v>
      </c>
      <c r="K9" s="165">
        <v>100</v>
      </c>
      <c r="L9" s="165">
        <v>150</v>
      </c>
      <c r="M9" s="165">
        <v>50</v>
      </c>
      <c r="N9" s="165">
        <v>100</v>
      </c>
      <c r="O9" s="165">
        <v>110</v>
      </c>
      <c r="P9" s="165">
        <v>30</v>
      </c>
      <c r="Q9" s="165">
        <f>SUM(Table2[[#This Row],[SOAP &amp; DETTOL]:[PANT2]])</f>
        <v>540</v>
      </c>
    </row>
    <row r="10" spans="1:17">
      <c r="A10" s="151">
        <v>9</v>
      </c>
      <c r="B10" s="150" t="s">
        <v>1433</v>
      </c>
      <c r="C10" s="151" t="s">
        <v>1434</v>
      </c>
      <c r="D10" s="151" t="s">
        <v>2014</v>
      </c>
      <c r="E10" s="169"/>
      <c r="F10" s="170"/>
      <c r="G10" s="170"/>
      <c r="H10" s="170"/>
      <c r="I10" s="170"/>
      <c r="J10" s="170"/>
      <c r="L10" s="168"/>
      <c r="M10" s="168"/>
      <c r="Q10" s="165">
        <f>SUM(Table2[[#This Row],[SOAP &amp; DETTOL]:[PANT2]])</f>
        <v>0</v>
      </c>
    </row>
    <row r="11" spans="1:17">
      <c r="A11" s="151">
        <v>10</v>
      </c>
      <c r="B11" s="150" t="s">
        <v>1443</v>
      </c>
      <c r="C11" s="151" t="s">
        <v>1444</v>
      </c>
      <c r="D11" s="151" t="s">
        <v>2014</v>
      </c>
      <c r="E11" s="151" t="s">
        <v>2015</v>
      </c>
      <c r="F11" s="151" t="s">
        <v>2015</v>
      </c>
      <c r="G11" s="151" t="s">
        <v>2015</v>
      </c>
      <c r="H11" s="151" t="s">
        <v>2015</v>
      </c>
      <c r="I11" s="151" t="s">
        <v>2015</v>
      </c>
      <c r="J11" s="151" t="s">
        <v>2015</v>
      </c>
      <c r="K11" s="165">
        <v>0</v>
      </c>
      <c r="L11" s="165">
        <v>0</v>
      </c>
      <c r="M11" s="165">
        <v>50</v>
      </c>
      <c r="N11" s="165">
        <v>100</v>
      </c>
      <c r="O11" s="165">
        <v>110</v>
      </c>
      <c r="P11" s="165">
        <v>0</v>
      </c>
      <c r="Q11" s="165">
        <f>SUM(Table2[[#This Row],[SOAP &amp; DETTOL]:[PANT2]])</f>
        <v>260</v>
      </c>
    </row>
    <row r="12" spans="1:17">
      <c r="A12" s="151">
        <v>11</v>
      </c>
      <c r="B12" s="164" t="s">
        <v>1446</v>
      </c>
      <c r="C12" s="81" t="s">
        <v>1447</v>
      </c>
      <c r="D12" s="151" t="s">
        <v>2016</v>
      </c>
      <c r="E12" s="151" t="s">
        <v>1924</v>
      </c>
      <c r="F12" s="151" t="s">
        <v>1924</v>
      </c>
      <c r="G12" s="151" t="s">
        <v>1924</v>
      </c>
      <c r="H12" s="151" t="s">
        <v>1924</v>
      </c>
      <c r="I12" s="151" t="s">
        <v>1924</v>
      </c>
      <c r="J12" s="151" t="s">
        <v>1924</v>
      </c>
      <c r="K12" s="165">
        <v>100</v>
      </c>
      <c r="L12" s="165">
        <v>150</v>
      </c>
      <c r="M12" s="165">
        <v>50</v>
      </c>
      <c r="N12" s="165">
        <v>100</v>
      </c>
      <c r="O12" s="165">
        <v>110</v>
      </c>
      <c r="P12" s="165">
        <v>30</v>
      </c>
      <c r="Q12" s="165">
        <f>SUM(Table2[[#This Row],[SOAP &amp; DETTOL]:[PANT2]])</f>
        <v>540</v>
      </c>
    </row>
    <row r="13" spans="1:17">
      <c r="A13" s="151">
        <v>12</v>
      </c>
      <c r="B13" s="150" t="s">
        <v>1452</v>
      </c>
      <c r="C13" s="81" t="s">
        <v>1453</v>
      </c>
      <c r="D13" s="151" t="s">
        <v>2016</v>
      </c>
      <c r="E13" s="167" t="s">
        <v>2015</v>
      </c>
      <c r="F13" s="167" t="s">
        <v>2015</v>
      </c>
      <c r="G13" s="167" t="s">
        <v>2015</v>
      </c>
      <c r="H13" s="167" t="s">
        <v>2015</v>
      </c>
      <c r="I13" s="167" t="s">
        <v>2015</v>
      </c>
      <c r="J13" s="167" t="s">
        <v>2015</v>
      </c>
      <c r="K13" s="165">
        <v>0</v>
      </c>
      <c r="L13" s="165">
        <v>0</v>
      </c>
      <c r="M13" s="165">
        <v>50</v>
      </c>
      <c r="N13" s="165">
        <v>100</v>
      </c>
      <c r="O13" s="165">
        <v>110</v>
      </c>
      <c r="P13" s="165">
        <v>0</v>
      </c>
      <c r="Q13" s="165">
        <f>SUM(Table2[[#This Row],[SOAP &amp; DETTOL]:[PANT2]])</f>
        <v>260</v>
      </c>
    </row>
    <row r="14" spans="1:17">
      <c r="A14" s="151">
        <v>13</v>
      </c>
      <c r="B14" s="150" t="s">
        <v>1471</v>
      </c>
      <c r="C14" s="81" t="s">
        <v>1472</v>
      </c>
      <c r="D14" s="151" t="s">
        <v>2016</v>
      </c>
      <c r="E14" s="169"/>
      <c r="F14" s="170"/>
      <c r="G14" s="170"/>
      <c r="H14" s="170"/>
      <c r="I14" s="170"/>
      <c r="J14" s="170"/>
      <c r="L14" s="168"/>
      <c r="M14" s="168">
        <v>50</v>
      </c>
      <c r="Q14" s="165">
        <f>SUM(Table2[[#This Row],[SOAP &amp; DETTOL]:[PANT2]])</f>
        <v>50</v>
      </c>
    </row>
    <row r="15" spans="1:17">
      <c r="A15" s="151">
        <v>14</v>
      </c>
      <c r="B15" s="150" t="s">
        <v>1473</v>
      </c>
      <c r="C15" s="81" t="s">
        <v>1474</v>
      </c>
      <c r="D15" s="151" t="s">
        <v>2014</v>
      </c>
      <c r="E15" s="151" t="s">
        <v>2015</v>
      </c>
      <c r="F15" s="151" t="s">
        <v>2015</v>
      </c>
      <c r="G15" s="151" t="s">
        <v>2015</v>
      </c>
      <c r="H15" s="151" t="s">
        <v>2015</v>
      </c>
      <c r="I15" s="151" t="s">
        <v>2015</v>
      </c>
      <c r="J15" s="151" t="s">
        <v>2015</v>
      </c>
      <c r="K15" s="165">
        <v>0</v>
      </c>
      <c r="L15" s="165">
        <v>0</v>
      </c>
      <c r="M15" s="165">
        <v>50</v>
      </c>
      <c r="N15" s="165">
        <v>100</v>
      </c>
      <c r="O15" s="165">
        <v>110</v>
      </c>
      <c r="P15" s="165">
        <v>0</v>
      </c>
      <c r="Q15" s="165">
        <f>SUM(Table2[[#This Row],[SOAP &amp; DETTOL]:[PANT2]])</f>
        <v>260</v>
      </c>
    </row>
    <row r="16" spans="1:17">
      <c r="A16" s="151">
        <v>15</v>
      </c>
      <c r="B16" s="150" t="s">
        <v>1501</v>
      </c>
      <c r="C16" s="81" t="s">
        <v>1502</v>
      </c>
      <c r="D16" s="151" t="s">
        <v>2016</v>
      </c>
      <c r="E16" s="151" t="s">
        <v>2015</v>
      </c>
      <c r="F16" s="151" t="s">
        <v>2015</v>
      </c>
      <c r="G16" s="151" t="s">
        <v>2015</v>
      </c>
      <c r="H16" s="151" t="s">
        <v>2015</v>
      </c>
      <c r="I16" s="151" t="s">
        <v>2015</v>
      </c>
      <c r="J16" s="151" t="s">
        <v>2015</v>
      </c>
      <c r="K16" s="165">
        <v>0</v>
      </c>
      <c r="L16" s="165">
        <v>0</v>
      </c>
      <c r="M16" s="165">
        <v>50</v>
      </c>
      <c r="N16" s="165">
        <v>100</v>
      </c>
      <c r="O16" s="165">
        <v>110</v>
      </c>
      <c r="P16" s="165">
        <v>0</v>
      </c>
      <c r="Q16" s="165">
        <f>SUM(Table2[[#This Row],[SOAP &amp; DETTOL]:[PANT2]])</f>
        <v>260</v>
      </c>
    </row>
    <row r="17" spans="1:17">
      <c r="A17" s="151">
        <v>16</v>
      </c>
      <c r="B17" s="150" t="s">
        <v>1504</v>
      </c>
      <c r="C17" s="151" t="s">
        <v>1505</v>
      </c>
      <c r="D17" s="151" t="s">
        <v>2014</v>
      </c>
      <c r="E17" s="151" t="s">
        <v>1924</v>
      </c>
      <c r="F17" s="151" t="s">
        <v>1924</v>
      </c>
      <c r="G17" s="151" t="s">
        <v>1924</v>
      </c>
      <c r="H17" s="151" t="s">
        <v>1924</v>
      </c>
      <c r="I17" s="151" t="s">
        <v>1924</v>
      </c>
      <c r="J17" s="151" t="s">
        <v>1924</v>
      </c>
      <c r="K17" s="165">
        <v>100</v>
      </c>
      <c r="L17" s="165">
        <v>150</v>
      </c>
      <c r="M17" s="165">
        <v>50</v>
      </c>
      <c r="N17" s="165">
        <v>100</v>
      </c>
      <c r="O17" s="165">
        <v>110</v>
      </c>
      <c r="P17" s="165">
        <v>30</v>
      </c>
      <c r="Q17" s="165">
        <f>SUM(Table2[[#This Row],[SOAP &amp; DETTOL]:[PANT2]])</f>
        <v>540</v>
      </c>
    </row>
    <row r="18" spans="1:17">
      <c r="A18" t="s">
        <v>1660</v>
      </c>
      <c r="D18" s="148"/>
      <c r="E18" s="148"/>
      <c r="F18" s="148"/>
      <c r="G18" s="148"/>
      <c r="H18" s="148"/>
      <c r="I18" s="148"/>
      <c r="J18" s="148"/>
      <c r="K18" s="166">
        <f>SUBTOTAL(109,Table2[SOAP &amp; DETTOL])</f>
        <v>900</v>
      </c>
      <c r="L18" s="166">
        <f>SUBTOTAL(109,Table2[OTHER ITEMS FEE])</f>
        <v>1350</v>
      </c>
      <c r="M18" s="166">
        <f>SUBTOTAL(109,Table2[DISCHARGE FEE])</f>
        <v>750</v>
      </c>
      <c r="N18" s="166">
        <f>SUBTOTAL(109,Table2[BODY BAG])</f>
        <v>1400</v>
      </c>
      <c r="O18" s="166">
        <f>SUBTOTAL(109,Table2[BATHING])</f>
        <v>1540</v>
      </c>
      <c r="P18" s="166">
        <f>SUBTOTAL(109,Table2[PANT2])</f>
        <v>270</v>
      </c>
      <c r="Q18" s="166">
        <f>SUBTOTAL(109,Table2[MISCELLANEOUS])</f>
        <v>6210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C5DFB910-8DD2-492B-AA5B-E53712970DC7}"/>
</file>

<file path=customXml/itemProps2.xml><?xml version="1.0" encoding="utf-8"?>
<ds:datastoreItem xmlns:ds="http://schemas.openxmlformats.org/officeDocument/2006/customXml" ds:itemID="{CFF08706-408E-47C1-B349-40FDE2073D1B}"/>
</file>

<file path=customXml/itemProps3.xml><?xml version="1.0" encoding="utf-8"?>
<ds:datastoreItem xmlns:ds="http://schemas.openxmlformats.org/officeDocument/2006/customXml" ds:itemID="{BE019F52-3444-40F0-B32E-D74316EAC05C}"/>
</file>

<file path=customXml/itemProps4.xml><?xml version="1.0" encoding="utf-8"?>
<ds:datastoreItem xmlns:ds="http://schemas.openxmlformats.org/officeDocument/2006/customXml" ds:itemID="{76A858BF-8FFD-431E-9F3C-0748E763935A}"/>
</file>

<file path=customXml/itemProps5.xml><?xml version="1.0" encoding="utf-8"?>
<ds:datastoreItem xmlns:ds="http://schemas.openxmlformats.org/officeDocument/2006/customXml" ds:itemID="{D395379C-4670-49DE-99AF-C13C2D4CEEAD}"/>
</file>

<file path=customXml/itemProps6.xml><?xml version="1.0" encoding="utf-8"?>
<ds:datastoreItem xmlns:ds="http://schemas.openxmlformats.org/officeDocument/2006/customXml" ds:itemID="{1E5A4B24-CCCE-4EBC-A573-4C6E50F63715}"/>
</file>

<file path=customXml/itemProps7.xml><?xml version="1.0" encoding="utf-8"?>
<ds:datastoreItem xmlns:ds="http://schemas.openxmlformats.org/officeDocument/2006/customXml" ds:itemID="{143B4000-E06A-440C-8563-3AC226846412}"/>
</file>

<file path=customXml/itemProps8.xml><?xml version="1.0" encoding="utf-8"?>
<ds:datastoreItem xmlns:ds="http://schemas.openxmlformats.org/officeDocument/2006/customXml" ds:itemID="{E17214F4-CA8C-4E27-A274-69B551BA7FAC}"/>
</file>

<file path=customXml/itemProps9.xml><?xml version="1.0" encoding="utf-8"?>
<ds:datastoreItem xmlns:ds="http://schemas.openxmlformats.org/officeDocument/2006/customXml" ds:itemID="{183FA34E-C40A-4E9F-9B88-1B57FC59D6C8}"/>
</file>

<file path=customXml/itemProps10.xml><?xml version="1.0" encoding="utf-8"?>
<ds:datastoreItem xmlns:ds="http://schemas.openxmlformats.org/officeDocument/2006/customXml" ds:itemID="{2EFD10E2-DC17-4AB4-9F02-14D159A97707}"/>
</file>

<file path=customXml/itemProps11.xml><?xml version="1.0" encoding="utf-8"?>
<ds:datastoreItem xmlns:ds="http://schemas.openxmlformats.org/officeDocument/2006/customXml" ds:itemID="{CFA97AE1-06B7-4DDA-82E3-A5AFDC67324F}"/>
</file>

<file path=customXml/itemProps12.xml><?xml version="1.0" encoding="utf-8"?>
<ds:datastoreItem xmlns:ds="http://schemas.openxmlformats.org/officeDocument/2006/customXml" ds:itemID="{FB58AB0E-42A4-4C38-AABE-0E87E51F5F0B}"/>
</file>

<file path=customXml/itemProps13.xml><?xml version="1.0" encoding="utf-8"?>
<ds:datastoreItem xmlns:ds="http://schemas.openxmlformats.org/officeDocument/2006/customXml" ds:itemID="{F8C47C06-CC9F-4DCA-83FD-5D88532E2C7F}"/>
</file>

<file path=customXml/itemProps14.xml><?xml version="1.0" encoding="utf-8"?>
<ds:datastoreItem xmlns:ds="http://schemas.openxmlformats.org/officeDocument/2006/customXml" ds:itemID="{05DB1091-0A50-4F48-A555-1C1E90D06E00}"/>
</file>

<file path=customXml/itemProps15.xml><?xml version="1.0" encoding="utf-8"?>
<ds:datastoreItem xmlns:ds="http://schemas.openxmlformats.org/officeDocument/2006/customXml" ds:itemID="{4CD9C7A4-C9DC-48F4-938D-A95F616BA37B}"/>
</file>

<file path=customXml/itemProps16.xml><?xml version="1.0" encoding="utf-8"?>
<ds:datastoreItem xmlns:ds="http://schemas.openxmlformats.org/officeDocument/2006/customXml" ds:itemID="{A66033D8-9E09-48A9-8F58-15C22883B81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/>
  <cp:revision/>
  <dcterms:created xsi:type="dcterms:W3CDTF">2025-05-16T01:30:37Z</dcterms:created>
  <dcterms:modified xsi:type="dcterms:W3CDTF">2026-10-03T12:44:05Z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