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elia Cruz\Desktop\"/>
    </mc:Choice>
  </mc:AlternateContent>
  <bookViews>
    <workbookView xWindow="0" yWindow="0" windowWidth="19200" windowHeight="6760" firstSheet="1" activeTab="1"/>
  </bookViews>
  <sheets>
    <sheet name="Hoja1" sheetId="1" state="hidden" r:id="rId1"/>
    <sheet name="Calculo ISR" sheetId="2" r:id="rId2"/>
    <sheet name="Tablamensual" sheetId="3" r:id="rId3"/>
    <sheet name="tablaquincenal" sheetId="4" r:id="rId4"/>
    <sheet name="Tablasemanal" sheetId="5" r:id="rId5"/>
    <sheet name="IMS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6" l="1"/>
  <c r="Z9" i="6" s="1"/>
  <c r="AB10" i="6"/>
  <c r="AB11" i="6"/>
  <c r="AB9" i="6"/>
  <c r="AA11" i="6"/>
  <c r="AA10" i="6"/>
  <c r="Z11" i="6"/>
  <c r="Z10" i="6"/>
  <c r="Y11" i="6"/>
  <c r="Y10" i="6"/>
  <c r="W11" i="6"/>
  <c r="W10" i="6"/>
  <c r="U10" i="6"/>
  <c r="U11" i="6"/>
  <c r="T11" i="6"/>
  <c r="T10" i="6"/>
  <c r="T9" i="6"/>
  <c r="S10" i="6"/>
  <c r="S11" i="6"/>
  <c r="R11" i="6"/>
  <c r="R10" i="6"/>
  <c r="Q11" i="6"/>
  <c r="Q10" i="6"/>
  <c r="P10" i="6"/>
  <c r="P11" i="6"/>
  <c r="O11" i="6"/>
  <c r="O10" i="6"/>
  <c r="N11" i="6"/>
  <c r="N10" i="6"/>
  <c r="M11" i="6"/>
  <c r="M10" i="6"/>
  <c r="K11" i="6"/>
  <c r="H11" i="6"/>
  <c r="H10" i="6"/>
  <c r="G11" i="6"/>
  <c r="G10" i="6"/>
  <c r="K4" i="6"/>
  <c r="L11" i="6" s="1"/>
  <c r="K3" i="6"/>
  <c r="L10" i="6" s="1"/>
  <c r="J9" i="6"/>
  <c r="J11" i="6"/>
  <c r="J10" i="6"/>
  <c r="AC11" i="6"/>
  <c r="AC10" i="6"/>
  <c r="F10" i="6"/>
  <c r="AC9" i="6"/>
  <c r="G9" i="6"/>
  <c r="F9" i="6"/>
  <c r="AE8" i="6"/>
  <c r="AD8" i="6"/>
  <c r="K10" i="6" l="1"/>
  <c r="N9" i="6"/>
  <c r="P9" i="6"/>
  <c r="R9" i="6"/>
  <c r="V9" i="6"/>
  <c r="V10" i="6" s="1"/>
  <c r="V11" i="6" s="1"/>
  <c r="Y9" i="6"/>
  <c r="M9" i="6"/>
  <c r="K9" i="6"/>
  <c r="L9" i="6"/>
  <c r="AA9" i="6"/>
  <c r="Q9" i="6"/>
  <c r="S9" i="6"/>
  <c r="O9" i="6"/>
  <c r="U9" i="6"/>
  <c r="W9" i="6"/>
  <c r="X9" i="6"/>
  <c r="X10" i="6" s="1"/>
  <c r="X11" i="6" s="1"/>
  <c r="F11" i="6"/>
  <c r="AD11" i="6" l="1"/>
  <c r="AD10" i="6"/>
  <c r="AE9" i="6"/>
  <c r="AD9" i="6"/>
  <c r="AE10" i="6"/>
  <c r="AE11" i="6"/>
  <c r="E14" i="2" l="1"/>
  <c r="E12" i="2"/>
  <c r="E11" i="2"/>
  <c r="E10" i="2"/>
  <c r="E9" i="2"/>
  <c r="E8" i="2"/>
  <c r="E7" i="2"/>
  <c r="E6" i="2"/>
  <c r="D13" i="2"/>
  <c r="D12" i="2"/>
  <c r="D10" i="2"/>
  <c r="D8" i="2"/>
  <c r="D7" i="2"/>
  <c r="D9" i="2" s="1"/>
  <c r="D11" i="2" s="1"/>
  <c r="D6" i="2"/>
  <c r="C12" i="2"/>
  <c r="C10" i="2"/>
  <c r="C9" i="2"/>
  <c r="C11" i="2" s="1"/>
  <c r="C13" i="2" s="1"/>
  <c r="C8" i="2"/>
  <c r="C7" i="2"/>
  <c r="C6" i="2"/>
  <c r="D62" i="1" l="1"/>
  <c r="E51" i="1"/>
  <c r="D51" i="1"/>
  <c r="C59" i="1"/>
  <c r="C57" i="1"/>
  <c r="C55" i="1"/>
  <c r="C53" i="1"/>
  <c r="G40" i="1"/>
  <c r="G41" i="1" s="1"/>
  <c r="G37" i="1"/>
  <c r="D40" i="1"/>
  <c r="D37" i="1"/>
  <c r="D26" i="1"/>
  <c r="D25" i="1"/>
  <c r="D24" i="1"/>
  <c r="E20" i="1"/>
  <c r="D20" i="1"/>
  <c r="C20" i="1"/>
  <c r="D16" i="1"/>
  <c r="C18" i="1"/>
  <c r="C16" i="1"/>
  <c r="D41" i="1" l="1"/>
  <c r="E9" i="1" l="1"/>
  <c r="D9" i="1"/>
  <c r="D8" i="1"/>
  <c r="D7" i="1"/>
  <c r="D6" i="1"/>
  <c r="C5" i="1"/>
</calcChain>
</file>

<file path=xl/sharedStrings.xml><?xml version="1.0" encoding="utf-8"?>
<sst xmlns="http://schemas.openxmlformats.org/spreadsheetml/2006/main" count="153" uniqueCount="97">
  <si>
    <t>Salario Mensual</t>
  </si>
  <si>
    <t>Vacaciones</t>
  </si>
  <si>
    <t xml:space="preserve">Prima Vacacional </t>
  </si>
  <si>
    <t xml:space="preserve">Aguinaldo </t>
  </si>
  <si>
    <t>Salario diario</t>
  </si>
  <si>
    <t xml:space="preserve">6 dias </t>
  </si>
  <si>
    <t>15 dias</t>
  </si>
  <si>
    <t xml:space="preserve">horas extra </t>
  </si>
  <si>
    <t xml:space="preserve">semanal </t>
  </si>
  <si>
    <t xml:space="preserve">9 dobles </t>
  </si>
  <si>
    <t xml:space="preserve">samanal </t>
  </si>
  <si>
    <t>20 horas</t>
  </si>
  <si>
    <t>11 triples</t>
  </si>
  <si>
    <t>Salario por hora</t>
  </si>
  <si>
    <t xml:space="preserve">isr </t>
  </si>
  <si>
    <t>david</t>
  </si>
  <si>
    <t>semanal neto</t>
  </si>
  <si>
    <t>incluir pp y pa</t>
  </si>
  <si>
    <t xml:space="preserve">bruto </t>
  </si>
  <si>
    <t>pp</t>
  </si>
  <si>
    <t>pa</t>
  </si>
  <si>
    <t>menos isr</t>
  </si>
  <si>
    <t>menos imss</t>
  </si>
  <si>
    <t>salario?</t>
  </si>
  <si>
    <t>neto</t>
  </si>
  <si>
    <t xml:space="preserve">Patronal </t>
  </si>
  <si>
    <t xml:space="preserve">Calculo </t>
  </si>
  <si>
    <t xml:space="preserve">(-) </t>
  </si>
  <si>
    <t>LÍMITE INFERIOR</t>
  </si>
  <si>
    <t>(=)</t>
  </si>
  <si>
    <t>(x)</t>
  </si>
  <si>
    <t>(+)</t>
  </si>
  <si>
    <t>EXCEDENTE DEL LÍMITE INFERIOR</t>
  </si>
  <si>
    <t>% SOBRE EL EXCEDENTE DEL LÍMITE INFERIOR</t>
  </si>
  <si>
    <t>IMPUESTO MARGINAL</t>
  </si>
  <si>
    <t>LA CUOTA FIJA</t>
  </si>
  <si>
    <t>ISR DETERMINADO</t>
  </si>
  <si>
    <t>(-)</t>
  </si>
  <si>
    <t>SUBSIDIO PARA EL EMPLEO</t>
  </si>
  <si>
    <t>ISR A PAGAR</t>
  </si>
  <si>
    <t xml:space="preserve">TOTAL SALARIOS </t>
  </si>
  <si>
    <t>MENSUAL</t>
  </si>
  <si>
    <t xml:space="preserve">QUINCENAL </t>
  </si>
  <si>
    <t xml:space="preserve">SEMANAL </t>
  </si>
  <si>
    <t xml:space="preserve">PERIODO DE PAGO </t>
  </si>
  <si>
    <t>Tablas ISR 2022 pagos mensuales</t>
  </si>
  <si>
    <t>Tarifa del Impuesto Sobre la Renta</t>
  </si>
  <si>
    <t>Límite inferior</t>
  </si>
  <si>
    <t>Límite superior</t>
  </si>
  <si>
    <t>Cuota fija</t>
  </si>
  <si>
    <t>En adelante</t>
  </si>
  <si>
    <t>Por ciento para aplicarse sobre el excedente del límite inferior</t>
  </si>
  <si>
    <t>$</t>
  </si>
  <si>
    <t>%</t>
  </si>
  <si>
    <t>Monto de ingresos que sirven de base para calcular el impuesto</t>
  </si>
  <si>
    <t>Para Ingresos de</t>
  </si>
  <si>
    <t>Hasta Ingresos de</t>
  </si>
  <si>
    <t>Por ciento para aplicarse sobre</t>
  </si>
  <si>
    <t>el excedente del límite inferior</t>
  </si>
  <si>
    <t>Cantidad de subsidio para el empleo semanal</t>
  </si>
  <si>
    <t>Cantidad de subsidio para el empleo mensual</t>
  </si>
  <si>
    <t>Tablas ISR 2022: pagos quincenales</t>
  </si>
  <si>
    <t>% Sobre excedente del límite inferior</t>
  </si>
  <si>
    <t xml:space="preserve">Monto de ingresos que sirven de base para calcular el impuesto quincenal </t>
  </si>
  <si>
    <t>Tablas ISR 2022: retenciones semanales</t>
  </si>
  <si>
    <t>Cantidad de subsidio para el empleo quincenal</t>
  </si>
  <si>
    <t xml:space="preserve">En adelante </t>
  </si>
  <si>
    <t xml:space="preserve">CALCULO DE ISR POR SALARIOS </t>
  </si>
  <si>
    <t>Sueldo Bruto</t>
  </si>
  <si>
    <t>Bono Puntualidad 10%</t>
  </si>
  <si>
    <t>Bono Asistencia 10%</t>
  </si>
  <si>
    <t xml:space="preserve">Dias de Cotización </t>
  </si>
  <si>
    <t>Cuota Fija sobre 1 SMGDF</t>
  </si>
  <si>
    <t>Excedente de 3 SMG</t>
  </si>
  <si>
    <t xml:space="preserve">Prestaciones en Dinero </t>
  </si>
  <si>
    <t xml:space="preserve">Gastos Medicos Pensionados </t>
  </si>
  <si>
    <t>Invalidez y Vida</t>
  </si>
  <si>
    <t>Guarderias</t>
  </si>
  <si>
    <t>Retiro</t>
  </si>
  <si>
    <t>Cesantia y Vejez</t>
  </si>
  <si>
    <t>INFONAVIT</t>
  </si>
  <si>
    <t>ISN             (Estado de México)</t>
  </si>
  <si>
    <t xml:space="preserve">Patrón </t>
  </si>
  <si>
    <t>Trabajador</t>
  </si>
  <si>
    <t>Riesgo de Trabajo                Clase I</t>
  </si>
  <si>
    <t xml:space="preserve">Total Carga Patronal - Obrero a pagar </t>
  </si>
  <si>
    <t xml:space="preserve">Calculo de cuotas Obrero - Patronales </t>
  </si>
  <si>
    <t>Total Ingreso</t>
  </si>
  <si>
    <t>Mensual</t>
  </si>
  <si>
    <t xml:space="preserve">Quincenal </t>
  </si>
  <si>
    <t xml:space="preserve">Semanal </t>
  </si>
  <si>
    <t xml:space="preserve">Periodo de pago </t>
  </si>
  <si>
    <t>Salario Diario</t>
  </si>
  <si>
    <t>Salario Diario Integrado (S.D.I. IMSS)</t>
  </si>
  <si>
    <t xml:space="preserve">% Dependera del Estado donde se pague el salario </t>
  </si>
  <si>
    <t xml:space="preserve">Clase de Riesgo y Prima de Riesgo, dependera del cliente  </t>
  </si>
  <si>
    <t>3 UMAs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</si>
</sst>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363636"/>
      <name val="Arial"/>
      <family val="2"/>
    </font>
    <font>
      <b/>
      <sz val="9"/>
      <color rgb="FF363636"/>
      <name val="Arial"/>
      <family val="2"/>
    </font>
    <font>
      <sz val="11"/>
      <color theme="1"/>
      <name val="Arial"/>
      <family val="2"/>
    </font>
    <font>
      <b/>
      <sz val="11"/>
      <color rgb="FF0070C0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CCCC"/>
        <bgColor indexed="64"/>
      </patternFill>
    </fill>
  </fills>
  <borders count="2">
    <border>
      <left/>
      <right/>
      <top/>
      <bottom/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</borders>
  <cellStyleXfs count="1">
    <xf numFmtId="0" fontId="0" fillId="0" borderId="0"/>
  </cellStyleXfs>
  <cellXfs count="40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10" fontId="0" fillId="0" borderId="0" xfId="0" applyNumberFormat="1"/>
    <xf numFmtId="0" fontId="1" fillId="3" borderId="0" xfId="0" applyFont="1" applyFill="1"/>
    <xf numFmtId="0" fontId="0" fillId="3" borderId="0" xfId="0" applyFill="1"/>
    <xf numFmtId="0" fontId="4" fillId="4" borderId="0" xfId="0" applyFont="1" applyFill="1" applyAlignment="1">
      <alignment horizontal="center" vertical="top" wrapText="1"/>
    </xf>
    <xf numFmtId="0" fontId="3" fillId="4" borderId="0" xfId="0" applyFont="1" applyFill="1" applyAlignment="1">
      <alignment horizontal="right" vertical="top" wrapText="1"/>
    </xf>
    <xf numFmtId="4" fontId="3" fillId="4" borderId="0" xfId="0" applyNumberFormat="1" applyFont="1" applyFill="1" applyAlignment="1">
      <alignment horizontal="right" vertical="top" wrapText="1"/>
    </xf>
    <xf numFmtId="0" fontId="4" fillId="4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right" vertical="top" wrapText="1"/>
    </xf>
    <xf numFmtId="4" fontId="3" fillId="5" borderId="0" xfId="0" applyNumberFormat="1" applyFont="1" applyFill="1" applyAlignment="1">
      <alignment horizontal="right" vertical="top" wrapText="1"/>
    </xf>
    <xf numFmtId="0" fontId="3" fillId="5" borderId="0" xfId="0" applyFont="1" applyFill="1" applyAlignment="1">
      <alignment horizontal="right" vertical="top" wrapText="1"/>
    </xf>
    <xf numFmtId="4" fontId="0" fillId="0" borderId="0" xfId="0" applyNumberFormat="1"/>
    <xf numFmtId="0" fontId="5" fillId="0" borderId="0" xfId="0" applyFont="1" applyAlignment="1">
      <alignment horizontal="center" vertical="center" wrapText="1"/>
    </xf>
    <xf numFmtId="4" fontId="3" fillId="0" borderId="0" xfId="0" applyNumberFormat="1" applyFont="1"/>
    <xf numFmtId="0" fontId="1" fillId="0" borderId="0" xfId="0" applyFont="1" applyAlignment="1">
      <alignment horizontal="center"/>
    </xf>
    <xf numFmtId="4" fontId="3" fillId="5" borderId="0" xfId="0" applyNumberFormat="1" applyFont="1" applyFill="1"/>
    <xf numFmtId="4" fontId="0" fillId="5" borderId="0" xfId="0" applyNumberFormat="1" applyFill="1"/>
    <xf numFmtId="0" fontId="1" fillId="0" borderId="0" xfId="0" applyFont="1" applyAlignment="1">
      <alignment horizontal="right"/>
    </xf>
    <xf numFmtId="0" fontId="6" fillId="0" borderId="0" xfId="0" applyFont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44" fontId="6" fillId="0" borderId="0" xfId="0" applyNumberFormat="1" applyFo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62"/>
  <sheetViews>
    <sheetView topLeftCell="A34" workbookViewId="0">
      <selection activeCell="B51" sqref="B51"/>
    </sheetView>
  </sheetViews>
  <sheetFormatPr baseColWidth="10" defaultRowHeight="14.5" x14ac:dyDescent="0.35"/>
  <cols>
    <col min="2" max="2" width="18.81640625" customWidth="1"/>
  </cols>
  <sheetData>
    <row r="4" spans="2:7" x14ac:dyDescent="0.35">
      <c r="B4" t="s">
        <v>0</v>
      </c>
      <c r="C4" s="1">
        <v>5000</v>
      </c>
    </row>
    <row r="5" spans="2:7" x14ac:dyDescent="0.35">
      <c r="B5" t="s">
        <v>4</v>
      </c>
      <c r="C5" s="1">
        <f>+C4/30</f>
        <v>166.66666666666666</v>
      </c>
    </row>
    <row r="6" spans="2:7" x14ac:dyDescent="0.35">
      <c r="B6" t="s">
        <v>1</v>
      </c>
      <c r="C6" s="2" t="s">
        <v>5</v>
      </c>
      <c r="D6">
        <f>+C5*6</f>
        <v>1000</v>
      </c>
    </row>
    <row r="7" spans="2:7" x14ac:dyDescent="0.35">
      <c r="B7" t="s">
        <v>2</v>
      </c>
      <c r="C7" s="3">
        <v>0.25</v>
      </c>
      <c r="D7">
        <f>+D6*0.25</f>
        <v>250</v>
      </c>
    </row>
    <row r="8" spans="2:7" x14ac:dyDescent="0.35">
      <c r="B8" t="s">
        <v>3</v>
      </c>
      <c r="C8" s="2" t="s">
        <v>6</v>
      </c>
      <c r="D8">
        <f>+C5*15</f>
        <v>2500</v>
      </c>
    </row>
    <row r="9" spans="2:7" x14ac:dyDescent="0.35">
      <c r="D9" s="4">
        <f>SUM(D6:D8)</f>
        <v>3750</v>
      </c>
      <c r="E9">
        <f>+D9/12</f>
        <v>312.5</v>
      </c>
    </row>
    <row r="15" spans="2:7" x14ac:dyDescent="0.35">
      <c r="C15">
        <v>1800</v>
      </c>
      <c r="G15">
        <v>1800</v>
      </c>
    </row>
    <row r="16" spans="2:7" x14ac:dyDescent="0.35">
      <c r="C16">
        <f>1800/7*30</f>
        <v>7714.2857142857147</v>
      </c>
      <c r="D16">
        <f>7714.55/30*7</f>
        <v>1800.061666666667</v>
      </c>
    </row>
    <row r="17" spans="2:5" x14ac:dyDescent="0.35">
      <c r="C17" s="5">
        <v>8592.5</v>
      </c>
    </row>
    <row r="18" spans="2:5" x14ac:dyDescent="0.35">
      <c r="C18">
        <f>+C17-C16</f>
        <v>878.21428571428532</v>
      </c>
    </row>
    <row r="20" spans="2:5" x14ac:dyDescent="0.35">
      <c r="B20" t="s">
        <v>13</v>
      </c>
      <c r="C20">
        <f>+C5/8</f>
        <v>20.833333333333332</v>
      </c>
      <c r="D20">
        <f>+C20*2</f>
        <v>41.666666666666664</v>
      </c>
      <c r="E20">
        <f>+C20*3</f>
        <v>62.5</v>
      </c>
    </row>
    <row r="21" spans="2:5" x14ac:dyDescent="0.35">
      <c r="B21" t="s">
        <v>7</v>
      </c>
    </row>
    <row r="22" spans="2:5" x14ac:dyDescent="0.35">
      <c r="B22" t="s">
        <v>8</v>
      </c>
      <c r="C22" t="s">
        <v>9</v>
      </c>
    </row>
    <row r="23" spans="2:5" x14ac:dyDescent="0.35">
      <c r="B23" t="s">
        <v>10</v>
      </c>
      <c r="C23" t="s">
        <v>11</v>
      </c>
    </row>
    <row r="24" spans="2:5" x14ac:dyDescent="0.35">
      <c r="C24" t="s">
        <v>9</v>
      </c>
      <c r="D24">
        <f>+D20*9</f>
        <v>375</v>
      </c>
    </row>
    <row r="25" spans="2:5" x14ac:dyDescent="0.35">
      <c r="C25" t="s">
        <v>12</v>
      </c>
      <c r="D25">
        <f>+E20*11</f>
        <v>687.5</v>
      </c>
    </row>
    <row r="26" spans="2:5" x14ac:dyDescent="0.35">
      <c r="D26">
        <f>+D24+D25</f>
        <v>1062.5</v>
      </c>
    </row>
    <row r="27" spans="2:5" x14ac:dyDescent="0.35">
      <c r="B27" t="s">
        <v>14</v>
      </c>
    </row>
    <row r="31" spans="2:5" x14ac:dyDescent="0.35">
      <c r="B31" t="s">
        <v>15</v>
      </c>
      <c r="C31">
        <v>2000</v>
      </c>
      <c r="D31" t="s">
        <v>16</v>
      </c>
    </row>
    <row r="32" spans="2:5" x14ac:dyDescent="0.35">
      <c r="B32" t="s">
        <v>17</v>
      </c>
    </row>
    <row r="34" spans="2:10" x14ac:dyDescent="0.35">
      <c r="B34" t="s">
        <v>23</v>
      </c>
    </row>
    <row r="35" spans="2:10" x14ac:dyDescent="0.35">
      <c r="B35" t="s">
        <v>18</v>
      </c>
      <c r="C35">
        <v>2340</v>
      </c>
      <c r="F35">
        <v>1800</v>
      </c>
    </row>
    <row r="36" spans="2:10" x14ac:dyDescent="0.35">
      <c r="B36" t="s">
        <v>19</v>
      </c>
      <c r="F36">
        <v>180</v>
      </c>
    </row>
    <row r="37" spans="2:10" x14ac:dyDescent="0.35">
      <c r="B37" t="s">
        <v>20</v>
      </c>
      <c r="D37" s="8">
        <f>SUM(C35:C37)</f>
        <v>2340</v>
      </c>
      <c r="F37">
        <v>180</v>
      </c>
      <c r="G37" s="9">
        <f>SUM(F35:F37)</f>
        <v>2160</v>
      </c>
    </row>
    <row r="39" spans="2:10" x14ac:dyDescent="0.35">
      <c r="B39" t="s">
        <v>21</v>
      </c>
      <c r="C39">
        <v>258</v>
      </c>
      <c r="F39">
        <v>110</v>
      </c>
    </row>
    <row r="40" spans="2:10" x14ac:dyDescent="0.35">
      <c r="B40" t="s">
        <v>22</v>
      </c>
      <c r="C40">
        <v>82</v>
      </c>
      <c r="D40">
        <f>SUM(C39:C40)</f>
        <v>340</v>
      </c>
      <c r="F40">
        <v>50</v>
      </c>
      <c r="G40">
        <f>+F39+F40</f>
        <v>160</v>
      </c>
      <c r="J40" t="s">
        <v>25</v>
      </c>
    </row>
    <row r="41" spans="2:10" x14ac:dyDescent="0.35">
      <c r="B41" t="s">
        <v>24</v>
      </c>
      <c r="C41">
        <v>2000</v>
      </c>
      <c r="D41" s="6">
        <f>+D37-D40</f>
        <v>2000</v>
      </c>
      <c r="G41" s="6">
        <f>+G37-G40</f>
        <v>2000</v>
      </c>
    </row>
    <row r="44" spans="2:10" x14ac:dyDescent="0.35">
      <c r="C44">
        <v>2000</v>
      </c>
    </row>
    <row r="45" spans="2:10" x14ac:dyDescent="0.35">
      <c r="C45">
        <v>200</v>
      </c>
      <c r="G45">
        <v>36</v>
      </c>
    </row>
    <row r="46" spans="2:10" x14ac:dyDescent="0.35">
      <c r="C46">
        <v>200</v>
      </c>
    </row>
    <row r="50" spans="2:7" x14ac:dyDescent="0.35">
      <c r="B50" t="s">
        <v>26</v>
      </c>
    </row>
    <row r="51" spans="2:7" x14ac:dyDescent="0.35">
      <c r="C51">
        <v>2340</v>
      </c>
      <c r="D51">
        <f>+C51/7</f>
        <v>334.28571428571428</v>
      </c>
      <c r="E51">
        <f>+D51*1.0452</f>
        <v>349.39542857142851</v>
      </c>
      <c r="G51">
        <v>2160</v>
      </c>
    </row>
    <row r="52" spans="2:7" x14ac:dyDescent="0.35">
      <c r="C52">
        <v>1980.59</v>
      </c>
    </row>
    <row r="53" spans="2:7" x14ac:dyDescent="0.35">
      <c r="C53">
        <f>+C51-C52</f>
        <v>359.41000000000008</v>
      </c>
    </row>
    <row r="54" spans="2:7" x14ac:dyDescent="0.35">
      <c r="C54" s="7">
        <v>0.1792</v>
      </c>
    </row>
    <row r="55" spans="2:7" x14ac:dyDescent="0.35">
      <c r="C55">
        <f>+C53*C54</f>
        <v>64.406272000000016</v>
      </c>
    </row>
    <row r="56" spans="2:7" x14ac:dyDescent="0.35">
      <c r="C56">
        <v>181.09</v>
      </c>
    </row>
    <row r="57" spans="2:7" x14ac:dyDescent="0.35">
      <c r="C57">
        <f>+C55+C56</f>
        <v>245.49627200000003</v>
      </c>
    </row>
    <row r="58" spans="2:7" x14ac:dyDescent="0.35">
      <c r="C58">
        <v>50.12</v>
      </c>
    </row>
    <row r="59" spans="2:7" x14ac:dyDescent="0.35">
      <c r="C59" s="4">
        <f>+C57-C58</f>
        <v>195.37627200000003</v>
      </c>
    </row>
    <row r="62" spans="2:7" x14ac:dyDescent="0.35">
      <c r="D62">
        <f>333.33*1.0452</f>
        <v>348.39651599999996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tabSelected="1" workbookViewId="0">
      <selection activeCell="B18" sqref="B18"/>
    </sheetView>
  </sheetViews>
  <sheetFormatPr baseColWidth="10" defaultRowHeight="14.5" x14ac:dyDescent="0.35"/>
  <cols>
    <col min="2" max="2" width="40.7265625" customWidth="1"/>
    <col min="3" max="3" width="16.1796875" customWidth="1"/>
    <col min="4" max="4" width="15.36328125" customWidth="1"/>
    <col min="5" max="5" width="14.7265625" customWidth="1"/>
  </cols>
  <sheetData>
    <row r="2" spans="1:5" x14ac:dyDescent="0.35">
      <c r="B2" s="4" t="s">
        <v>67</v>
      </c>
    </row>
    <row r="4" spans="1:5" x14ac:dyDescent="0.35">
      <c r="B4" t="s">
        <v>44</v>
      </c>
      <c r="C4" s="24" t="s">
        <v>41</v>
      </c>
      <c r="D4" s="24" t="s">
        <v>42</v>
      </c>
      <c r="E4" s="24" t="s">
        <v>43</v>
      </c>
    </row>
    <row r="5" spans="1:5" x14ac:dyDescent="0.35">
      <c r="B5" t="s">
        <v>40</v>
      </c>
      <c r="C5" s="1">
        <v>11000</v>
      </c>
      <c r="D5" s="1">
        <v>3380</v>
      </c>
      <c r="E5" s="1">
        <v>1220</v>
      </c>
    </row>
    <row r="6" spans="1:5" x14ac:dyDescent="0.35">
      <c r="A6" s="24" t="s">
        <v>27</v>
      </c>
      <c r="B6" t="s">
        <v>28</v>
      </c>
      <c r="C6" s="1">
        <f>+Tablamensual!B9</f>
        <v>9614.67</v>
      </c>
      <c r="D6" s="1">
        <f>+tablaquincenal!B8</f>
        <v>2699.41</v>
      </c>
      <c r="E6" s="1">
        <f>+Tablasemanal!B8</f>
        <v>148.41</v>
      </c>
    </row>
    <row r="7" spans="1:5" x14ac:dyDescent="0.35">
      <c r="A7" s="24" t="s">
        <v>29</v>
      </c>
      <c r="B7" t="s">
        <v>32</v>
      </c>
      <c r="C7" s="1">
        <f>+C5-C6</f>
        <v>1385.33</v>
      </c>
      <c r="D7" s="1">
        <f>+D5-D6</f>
        <v>680.59000000000015</v>
      </c>
      <c r="E7" s="1">
        <f>+E5-E6</f>
        <v>1071.5899999999999</v>
      </c>
    </row>
    <row r="8" spans="1:5" x14ac:dyDescent="0.35">
      <c r="A8" s="24" t="s">
        <v>30</v>
      </c>
      <c r="B8" t="s">
        <v>33</v>
      </c>
      <c r="C8">
        <f>+Tablamensual!E9</f>
        <v>16</v>
      </c>
      <c r="D8">
        <f>+tablaquincenal!E8</f>
        <v>10.88</v>
      </c>
      <c r="E8">
        <f>+Tablasemanal!E8</f>
        <v>6.4</v>
      </c>
    </row>
    <row r="9" spans="1:5" x14ac:dyDescent="0.35">
      <c r="A9" s="24" t="s">
        <v>29</v>
      </c>
      <c r="B9" t="s">
        <v>34</v>
      </c>
      <c r="C9" s="1">
        <f>+C7*0.16</f>
        <v>221.65279999999998</v>
      </c>
      <c r="D9" s="1">
        <f>+D7*0.1088</f>
        <v>74.048192000000014</v>
      </c>
      <c r="E9" s="1">
        <f>+E7*0.064</f>
        <v>68.581760000000003</v>
      </c>
    </row>
    <row r="10" spans="1:5" x14ac:dyDescent="0.35">
      <c r="A10" s="24" t="s">
        <v>31</v>
      </c>
      <c r="B10" t="s">
        <v>35</v>
      </c>
      <c r="C10" s="1">
        <f>+Tablamensual!D9</f>
        <v>772.1</v>
      </c>
      <c r="D10" s="1">
        <f>+tablaquincenal!D8</f>
        <v>158.55000000000001</v>
      </c>
      <c r="E10" s="1">
        <f>+Tablasemanal!D8</f>
        <v>2.87</v>
      </c>
    </row>
    <row r="11" spans="1:5" x14ac:dyDescent="0.35">
      <c r="A11" s="24" t="s">
        <v>29</v>
      </c>
      <c r="B11" t="s">
        <v>36</v>
      </c>
      <c r="C11" s="1">
        <f>+C9+C10</f>
        <v>993.75279999999998</v>
      </c>
      <c r="D11" s="1">
        <f>+D9+D10</f>
        <v>232.59819200000004</v>
      </c>
      <c r="E11" s="1">
        <f>+E9+E10</f>
        <v>71.451760000000007</v>
      </c>
    </row>
    <row r="12" spans="1:5" x14ac:dyDescent="0.35">
      <c r="A12" s="24" t="s">
        <v>37</v>
      </c>
      <c r="B12" t="s">
        <v>38</v>
      </c>
      <c r="C12" s="1">
        <f>+Tablamensual!D33</f>
        <v>0</v>
      </c>
      <c r="D12" s="1">
        <f>+tablaquincenal!D31</f>
        <v>125.1</v>
      </c>
      <c r="E12" s="1">
        <f>+Tablasemanal!D29</f>
        <v>74.83</v>
      </c>
    </row>
    <row r="13" spans="1:5" x14ac:dyDescent="0.35">
      <c r="A13" s="24" t="s">
        <v>29</v>
      </c>
      <c r="B13" t="s">
        <v>39</v>
      </c>
      <c r="C13" s="1">
        <f>+C11-C12</f>
        <v>993.75279999999998</v>
      </c>
      <c r="D13" s="1">
        <f>+D11-D12</f>
        <v>107.49819200000005</v>
      </c>
      <c r="E13" s="1">
        <v>0</v>
      </c>
    </row>
    <row r="14" spans="1:5" x14ac:dyDescent="0.35">
      <c r="A14" s="24" t="s">
        <v>29</v>
      </c>
      <c r="B14" t="s">
        <v>38</v>
      </c>
      <c r="E14" s="1">
        <f>+E12-E11</f>
        <v>3.378239999999991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3:E33"/>
  <sheetViews>
    <sheetView workbookViewId="0">
      <selection activeCell="C26" sqref="C26"/>
    </sheetView>
  </sheetViews>
  <sheetFormatPr baseColWidth="10" defaultRowHeight="14.5" x14ac:dyDescent="0.35"/>
  <cols>
    <col min="2" max="2" width="12.90625" customWidth="1"/>
    <col min="3" max="3" width="13.453125" customWidth="1"/>
    <col min="4" max="4" width="12.26953125" customWidth="1"/>
    <col min="5" max="5" width="12.453125" customWidth="1"/>
  </cols>
  <sheetData>
    <row r="3" spans="2:5" ht="34.5" customHeight="1" x14ac:dyDescent="0.35">
      <c r="B3" s="14" t="s">
        <v>45</v>
      </c>
      <c r="C3" s="14"/>
      <c r="D3" s="14"/>
      <c r="E3" s="14"/>
    </row>
    <row r="4" spans="2:5" x14ac:dyDescent="0.35">
      <c r="B4" s="13" t="s">
        <v>46</v>
      </c>
      <c r="C4" s="13"/>
      <c r="D4" s="13"/>
      <c r="E4" s="13"/>
    </row>
    <row r="5" spans="2:5" ht="52" x14ac:dyDescent="0.35">
      <c r="B5" s="10" t="s">
        <v>47</v>
      </c>
      <c r="C5" s="10" t="s">
        <v>48</v>
      </c>
      <c r="D5" s="10" t="s">
        <v>49</v>
      </c>
      <c r="E5" s="10" t="s">
        <v>62</v>
      </c>
    </row>
    <row r="6" spans="2:5" x14ac:dyDescent="0.35">
      <c r="B6" s="11">
        <v>0.01</v>
      </c>
      <c r="C6" s="11">
        <v>644.58000000000004</v>
      </c>
      <c r="D6" s="11">
        <v>0</v>
      </c>
      <c r="E6" s="11">
        <v>1.92</v>
      </c>
    </row>
    <row r="7" spans="2:5" x14ac:dyDescent="0.35">
      <c r="B7" s="11">
        <v>644.59</v>
      </c>
      <c r="C7" s="12">
        <v>5470.92</v>
      </c>
      <c r="D7" s="11">
        <v>12.38</v>
      </c>
      <c r="E7" s="11">
        <v>6.4</v>
      </c>
    </row>
    <row r="8" spans="2:5" x14ac:dyDescent="0.35">
      <c r="B8" s="12">
        <v>5470.93</v>
      </c>
      <c r="C8" s="12">
        <v>9614.66</v>
      </c>
      <c r="D8" s="11">
        <v>321.26</v>
      </c>
      <c r="E8" s="11">
        <v>10.88</v>
      </c>
    </row>
    <row r="9" spans="2:5" x14ac:dyDescent="0.35">
      <c r="B9" s="16">
        <v>9614.67</v>
      </c>
      <c r="C9" s="16">
        <v>11176.62</v>
      </c>
      <c r="D9" s="17">
        <v>772.1</v>
      </c>
      <c r="E9" s="17">
        <v>16</v>
      </c>
    </row>
    <row r="10" spans="2:5" x14ac:dyDescent="0.35">
      <c r="B10" s="12">
        <v>11176.63</v>
      </c>
      <c r="C10" s="12">
        <v>13381.47</v>
      </c>
      <c r="D10" s="12">
        <v>1022.01</v>
      </c>
      <c r="E10" s="11">
        <v>17.920000000000002</v>
      </c>
    </row>
    <row r="11" spans="2:5" x14ac:dyDescent="0.35">
      <c r="B11" s="12">
        <v>13381.48</v>
      </c>
      <c r="C11" s="12">
        <v>26988.5</v>
      </c>
      <c r="D11" s="12">
        <v>1417.12</v>
      </c>
      <c r="E11" s="11">
        <v>21.36</v>
      </c>
    </row>
    <row r="12" spans="2:5" x14ac:dyDescent="0.35">
      <c r="B12" s="12">
        <v>26988.51</v>
      </c>
      <c r="C12" s="12">
        <v>42537.58</v>
      </c>
      <c r="D12" s="12">
        <v>4323.58</v>
      </c>
      <c r="E12" s="11">
        <v>23.52</v>
      </c>
    </row>
    <row r="13" spans="2:5" x14ac:dyDescent="0.35">
      <c r="B13" s="12">
        <v>42537.59</v>
      </c>
      <c r="C13" s="12">
        <v>81211.25</v>
      </c>
      <c r="D13" s="12">
        <v>7980.73</v>
      </c>
      <c r="E13" s="11">
        <v>30</v>
      </c>
    </row>
    <row r="14" spans="2:5" x14ac:dyDescent="0.35">
      <c r="B14" s="12">
        <v>81211.259999999995</v>
      </c>
      <c r="C14" s="12">
        <v>108281.67</v>
      </c>
      <c r="D14" s="12">
        <v>19582.830000000002</v>
      </c>
      <c r="E14" s="11">
        <v>32</v>
      </c>
    </row>
    <row r="15" spans="2:5" x14ac:dyDescent="0.35">
      <c r="B15" s="12">
        <v>108281.68</v>
      </c>
      <c r="C15" s="12">
        <v>324845.01</v>
      </c>
      <c r="D15" s="12">
        <v>28245.360000000001</v>
      </c>
      <c r="E15" s="11">
        <v>34</v>
      </c>
    </row>
    <row r="16" spans="2:5" x14ac:dyDescent="0.35">
      <c r="B16" s="12">
        <v>324845.02</v>
      </c>
      <c r="C16" s="11" t="s">
        <v>50</v>
      </c>
      <c r="D16" s="12">
        <v>101876.9</v>
      </c>
      <c r="E16" s="11">
        <v>35</v>
      </c>
    </row>
    <row r="20" spans="2:5" ht="26" customHeight="1" x14ac:dyDescent="0.35">
      <c r="B20" s="13" t="s">
        <v>54</v>
      </c>
      <c r="C20" s="13"/>
      <c r="D20" s="13"/>
      <c r="E20" s="13"/>
    </row>
    <row r="21" spans="2:5" ht="65" x14ac:dyDescent="0.35">
      <c r="B21" s="15" t="s">
        <v>55</v>
      </c>
      <c r="C21" s="15" t="s">
        <v>56</v>
      </c>
      <c r="D21" s="15" t="s">
        <v>60</v>
      </c>
    </row>
    <row r="22" spans="2:5" x14ac:dyDescent="0.35">
      <c r="B22" s="15" t="s">
        <v>52</v>
      </c>
      <c r="C22" s="15" t="s">
        <v>52</v>
      </c>
      <c r="D22" s="15" t="s">
        <v>52</v>
      </c>
    </row>
    <row r="23" spans="2:5" x14ac:dyDescent="0.35">
      <c r="B23" s="11">
        <v>0.01</v>
      </c>
      <c r="C23" s="12">
        <v>1768.96</v>
      </c>
      <c r="D23" s="11">
        <v>407.02</v>
      </c>
    </row>
    <row r="24" spans="2:5" x14ac:dyDescent="0.35">
      <c r="B24" s="12">
        <v>1768.97</v>
      </c>
      <c r="C24" s="12">
        <v>2653.38</v>
      </c>
      <c r="D24" s="11">
        <v>406.83</v>
      </c>
    </row>
    <row r="25" spans="2:5" x14ac:dyDescent="0.35">
      <c r="B25" s="12">
        <v>2653.39</v>
      </c>
      <c r="C25" s="12">
        <v>3472.84</v>
      </c>
      <c r="D25" s="11">
        <v>406.62</v>
      </c>
    </row>
    <row r="26" spans="2:5" x14ac:dyDescent="0.35">
      <c r="B26" s="12">
        <v>3472.85</v>
      </c>
      <c r="C26" s="12">
        <v>3537.87</v>
      </c>
      <c r="D26" s="11">
        <v>392.77</v>
      </c>
    </row>
    <row r="27" spans="2:5" x14ac:dyDescent="0.35">
      <c r="B27" s="12">
        <v>3537.88</v>
      </c>
      <c r="C27" s="12">
        <v>4446.1499999999996</v>
      </c>
      <c r="D27" s="11">
        <v>382.46</v>
      </c>
    </row>
    <row r="28" spans="2:5" x14ac:dyDescent="0.35">
      <c r="B28" s="12">
        <v>4446.16</v>
      </c>
      <c r="C28" s="12">
        <v>4717.18</v>
      </c>
      <c r="D28" s="11">
        <v>354.23</v>
      </c>
    </row>
    <row r="29" spans="2:5" x14ac:dyDescent="0.35">
      <c r="B29" s="12">
        <v>4717.1899999999996</v>
      </c>
      <c r="C29" s="12">
        <v>5335.42</v>
      </c>
      <c r="D29" s="11">
        <v>324.87</v>
      </c>
    </row>
    <row r="30" spans="2:5" x14ac:dyDescent="0.35">
      <c r="B30" s="12">
        <v>5335.43</v>
      </c>
      <c r="C30" s="12">
        <v>6224.67</v>
      </c>
      <c r="D30" s="11">
        <v>294.63</v>
      </c>
    </row>
    <row r="31" spans="2:5" x14ac:dyDescent="0.35">
      <c r="B31" s="12">
        <v>6224.68</v>
      </c>
      <c r="C31" s="12">
        <v>7113.9</v>
      </c>
      <c r="D31" s="11">
        <v>253.54</v>
      </c>
    </row>
    <row r="32" spans="2:5" x14ac:dyDescent="0.35">
      <c r="B32" s="12">
        <v>7113.91</v>
      </c>
      <c r="C32" s="12">
        <v>7382.33</v>
      </c>
      <c r="D32" s="11">
        <v>217.61</v>
      </c>
    </row>
    <row r="33" spans="2:4" x14ac:dyDescent="0.35">
      <c r="B33" s="12">
        <v>7382.34</v>
      </c>
      <c r="C33" s="11" t="s">
        <v>50</v>
      </c>
      <c r="D33" s="11">
        <v>0</v>
      </c>
    </row>
  </sheetData>
  <mergeCells count="3">
    <mergeCell ref="B20:E20"/>
    <mergeCell ref="B4:E4"/>
    <mergeCell ref="B3:E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3"/>
  <sheetViews>
    <sheetView topLeftCell="A19" workbookViewId="0">
      <selection activeCell="D21" sqref="D21"/>
    </sheetView>
  </sheetViews>
  <sheetFormatPr baseColWidth="10" defaultRowHeight="14.5" x14ac:dyDescent="0.35"/>
  <cols>
    <col min="2" max="2" width="13.26953125" customWidth="1"/>
    <col min="3" max="3" width="12.81640625" customWidth="1"/>
    <col min="4" max="4" width="12.6328125" customWidth="1"/>
    <col min="5" max="5" width="17.54296875" customWidth="1"/>
  </cols>
  <sheetData>
    <row r="3" spans="2:5" ht="34.5" customHeight="1" x14ac:dyDescent="0.35">
      <c r="B3" s="19" t="s">
        <v>61</v>
      </c>
      <c r="C3" s="19"/>
      <c r="D3" s="19"/>
      <c r="E3" s="19"/>
    </row>
    <row r="4" spans="2:5" ht="52" x14ac:dyDescent="0.35">
      <c r="B4" s="15" t="s">
        <v>47</v>
      </c>
      <c r="C4" s="15" t="s">
        <v>48</v>
      </c>
      <c r="D4" s="15" t="s">
        <v>49</v>
      </c>
      <c r="E4" s="15" t="s">
        <v>51</v>
      </c>
    </row>
    <row r="5" spans="2:5" x14ac:dyDescent="0.35">
      <c r="B5" s="15" t="s">
        <v>52</v>
      </c>
      <c r="C5" s="15" t="s">
        <v>52</v>
      </c>
      <c r="D5" s="15" t="s">
        <v>52</v>
      </c>
      <c r="E5" s="15" t="s">
        <v>53</v>
      </c>
    </row>
    <row r="6" spans="2:5" x14ac:dyDescent="0.35">
      <c r="B6" s="11">
        <v>0.01</v>
      </c>
      <c r="C6" s="11">
        <v>318</v>
      </c>
      <c r="D6" s="11">
        <v>0</v>
      </c>
      <c r="E6" s="11">
        <v>1.92</v>
      </c>
    </row>
    <row r="7" spans="2:5" x14ac:dyDescent="0.35">
      <c r="B7" s="11">
        <v>318.01</v>
      </c>
      <c r="C7" s="12">
        <v>2699.4</v>
      </c>
      <c r="D7" s="11">
        <v>6.15</v>
      </c>
      <c r="E7" s="11">
        <v>6.4</v>
      </c>
    </row>
    <row r="8" spans="2:5" x14ac:dyDescent="0.35">
      <c r="B8" s="16">
        <v>2699.41</v>
      </c>
      <c r="C8" s="16">
        <v>4744.05</v>
      </c>
      <c r="D8" s="17">
        <v>158.55000000000001</v>
      </c>
      <c r="E8" s="17">
        <v>10.88</v>
      </c>
    </row>
    <row r="9" spans="2:5" x14ac:dyDescent="0.35">
      <c r="B9" s="12">
        <v>4744.0600000000004</v>
      </c>
      <c r="C9" s="12">
        <v>5514.75</v>
      </c>
      <c r="D9" s="11">
        <v>381</v>
      </c>
      <c r="E9" s="11">
        <v>16</v>
      </c>
    </row>
    <row r="10" spans="2:5" x14ac:dyDescent="0.35">
      <c r="B10" s="12">
        <v>5514.76</v>
      </c>
      <c r="C10" s="12">
        <v>6602.7</v>
      </c>
      <c r="D10" s="11">
        <v>504.3</v>
      </c>
      <c r="E10" s="11">
        <v>17.920000000000002</v>
      </c>
    </row>
    <row r="11" spans="2:5" x14ac:dyDescent="0.35">
      <c r="B11" s="12">
        <v>6602.71</v>
      </c>
      <c r="C11" s="12">
        <v>13316.7</v>
      </c>
      <c r="D11" s="11">
        <v>699.3</v>
      </c>
      <c r="E11" s="11">
        <v>21.36</v>
      </c>
    </row>
    <row r="12" spans="2:5" x14ac:dyDescent="0.35">
      <c r="B12" s="12">
        <v>13316.71</v>
      </c>
      <c r="C12" s="12">
        <v>20988.9</v>
      </c>
      <c r="D12" s="12">
        <v>2133.3000000000002</v>
      </c>
      <c r="E12" s="11">
        <v>23.52</v>
      </c>
    </row>
    <row r="13" spans="2:5" x14ac:dyDescent="0.35">
      <c r="B13" s="12">
        <v>20988.91</v>
      </c>
      <c r="C13" s="12">
        <v>40071.300000000003</v>
      </c>
      <c r="D13" s="12">
        <v>3937.8</v>
      </c>
      <c r="E13" s="11">
        <v>30</v>
      </c>
    </row>
    <row r="14" spans="2:5" x14ac:dyDescent="0.35">
      <c r="B14" s="12">
        <v>40071.31</v>
      </c>
      <c r="C14" s="12">
        <v>53428.5</v>
      </c>
      <c r="D14" s="12">
        <v>9662.5499999999993</v>
      </c>
      <c r="E14" s="11">
        <v>32</v>
      </c>
    </row>
    <row r="15" spans="2:5" x14ac:dyDescent="0.35">
      <c r="B15" s="12">
        <v>53428.51</v>
      </c>
      <c r="C15" s="12">
        <v>160285.35</v>
      </c>
      <c r="D15" s="12">
        <v>13936.8</v>
      </c>
      <c r="E15" s="11">
        <v>34</v>
      </c>
    </row>
    <row r="16" spans="2:5" x14ac:dyDescent="0.35">
      <c r="B16" s="12">
        <v>160285.35999999999</v>
      </c>
      <c r="C16" s="11" t="s">
        <v>50</v>
      </c>
      <c r="D16" s="12">
        <v>50268.15</v>
      </c>
      <c r="E16" s="11">
        <v>35</v>
      </c>
    </row>
    <row r="20" spans="2:5" ht="28" customHeight="1" x14ac:dyDescent="0.35">
      <c r="B20" s="13" t="s">
        <v>63</v>
      </c>
      <c r="C20" s="13"/>
      <c r="D20" s="13"/>
      <c r="E20" s="13"/>
    </row>
    <row r="21" spans="2:5" ht="52" x14ac:dyDescent="0.35">
      <c r="B21" s="15" t="s">
        <v>55</v>
      </c>
      <c r="C21" s="15" t="s">
        <v>56</v>
      </c>
      <c r="D21" s="15" t="s">
        <v>65</v>
      </c>
    </row>
    <row r="22" spans="2:5" x14ac:dyDescent="0.35">
      <c r="B22" s="21" t="s">
        <v>52</v>
      </c>
      <c r="C22" s="21" t="s">
        <v>52</v>
      </c>
      <c r="D22" s="21" t="s">
        <v>52</v>
      </c>
    </row>
    <row r="23" spans="2:5" x14ac:dyDescent="0.35">
      <c r="B23" s="11">
        <v>0.01</v>
      </c>
      <c r="C23" s="12">
        <v>872.85</v>
      </c>
      <c r="D23" s="18">
        <v>200.85</v>
      </c>
    </row>
    <row r="24" spans="2:5" x14ac:dyDescent="0.35">
      <c r="B24" s="11">
        <v>872.86</v>
      </c>
      <c r="C24" s="18">
        <v>1309.2</v>
      </c>
      <c r="D24" s="18">
        <v>200.7</v>
      </c>
    </row>
    <row r="25" spans="2:5" x14ac:dyDescent="0.35">
      <c r="B25" s="20">
        <v>1309.21</v>
      </c>
      <c r="C25" s="18">
        <v>1713.6</v>
      </c>
      <c r="D25" s="18">
        <v>200.7</v>
      </c>
    </row>
    <row r="26" spans="2:5" x14ac:dyDescent="0.35">
      <c r="B26" s="20">
        <v>1713.61</v>
      </c>
      <c r="C26" s="18">
        <v>1745.7</v>
      </c>
      <c r="D26" s="18">
        <v>193.8</v>
      </c>
    </row>
    <row r="27" spans="2:5" x14ac:dyDescent="0.35">
      <c r="B27" s="20">
        <v>1745.71</v>
      </c>
      <c r="C27" s="18">
        <v>2193.75</v>
      </c>
      <c r="D27" s="18">
        <v>188.7</v>
      </c>
    </row>
    <row r="28" spans="2:5" x14ac:dyDescent="0.35">
      <c r="B28" s="20">
        <v>2193.7600000000002</v>
      </c>
      <c r="C28" s="18">
        <v>2327.5500000000002</v>
      </c>
      <c r="D28" s="18">
        <v>174.75</v>
      </c>
    </row>
    <row r="29" spans="2:5" x14ac:dyDescent="0.35">
      <c r="B29" s="12">
        <v>2327.56</v>
      </c>
      <c r="C29" s="18">
        <v>2632.65</v>
      </c>
      <c r="D29" s="18">
        <v>160.35</v>
      </c>
    </row>
    <row r="30" spans="2:5" x14ac:dyDescent="0.35">
      <c r="B30" s="20">
        <v>2632.66</v>
      </c>
      <c r="C30" s="18">
        <v>3071.4</v>
      </c>
      <c r="D30" s="18">
        <v>145.35</v>
      </c>
    </row>
    <row r="31" spans="2:5" x14ac:dyDescent="0.35">
      <c r="B31" s="22">
        <v>3071.41</v>
      </c>
      <c r="C31" s="23">
        <v>3510.15</v>
      </c>
      <c r="D31" s="23">
        <v>125.1</v>
      </c>
    </row>
    <row r="32" spans="2:5" x14ac:dyDescent="0.35">
      <c r="B32" s="20">
        <v>3510.16</v>
      </c>
      <c r="C32" s="18">
        <v>3641.6</v>
      </c>
      <c r="D32" s="18">
        <v>107.4</v>
      </c>
    </row>
    <row r="33" spans="2:4" x14ac:dyDescent="0.35">
      <c r="B33" s="12">
        <v>3642.61</v>
      </c>
      <c r="C33" t="s">
        <v>50</v>
      </c>
      <c r="D33">
        <v>0</v>
      </c>
    </row>
  </sheetData>
  <mergeCells count="2">
    <mergeCell ref="B3:E3"/>
    <mergeCell ref="B20: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3"/>
  <sheetViews>
    <sheetView topLeftCell="A2" workbookViewId="0">
      <selection activeCell="B16" sqref="B16"/>
    </sheetView>
  </sheetViews>
  <sheetFormatPr baseColWidth="10" defaultRowHeight="14.5" x14ac:dyDescent="0.35"/>
  <cols>
    <col min="2" max="2" width="11.90625" customWidth="1"/>
    <col min="3" max="3" width="12" customWidth="1"/>
    <col min="4" max="4" width="12.453125" customWidth="1"/>
    <col min="5" max="5" width="15.08984375" customWidth="1"/>
  </cols>
  <sheetData>
    <row r="3" spans="2:5" ht="46" customHeight="1" x14ac:dyDescent="0.35">
      <c r="B3" s="19" t="s">
        <v>64</v>
      </c>
      <c r="C3" s="19"/>
      <c r="D3" s="19"/>
      <c r="E3" s="19"/>
    </row>
    <row r="4" spans="2:5" ht="28.5" customHeight="1" x14ac:dyDescent="0.35">
      <c r="B4" s="15" t="s">
        <v>47</v>
      </c>
      <c r="C4" s="15" t="s">
        <v>48</v>
      </c>
      <c r="D4" s="15" t="s">
        <v>49</v>
      </c>
      <c r="E4" s="15" t="s">
        <v>57</v>
      </c>
    </row>
    <row r="5" spans="2:5" ht="52" x14ac:dyDescent="0.35">
      <c r="B5" s="11"/>
      <c r="C5" s="11"/>
      <c r="D5" s="11"/>
      <c r="E5" s="15" t="s">
        <v>58</v>
      </c>
    </row>
    <row r="6" spans="2:5" x14ac:dyDescent="0.35">
      <c r="B6" s="15" t="s">
        <v>52</v>
      </c>
      <c r="C6" s="15" t="s">
        <v>52</v>
      </c>
      <c r="D6" s="15" t="s">
        <v>52</v>
      </c>
      <c r="E6" s="15" t="s">
        <v>53</v>
      </c>
    </row>
    <row r="7" spans="2:5" x14ac:dyDescent="0.35">
      <c r="B7" s="11">
        <v>0.01</v>
      </c>
      <c r="C7" s="11">
        <v>148.4</v>
      </c>
      <c r="D7" s="11">
        <v>0</v>
      </c>
      <c r="E7" s="11">
        <v>1.92</v>
      </c>
    </row>
    <row r="8" spans="2:5" x14ac:dyDescent="0.35">
      <c r="B8" s="17">
        <v>148.41</v>
      </c>
      <c r="C8" s="16">
        <v>1259.72</v>
      </c>
      <c r="D8" s="17">
        <v>2.87</v>
      </c>
      <c r="E8" s="17">
        <v>6.4</v>
      </c>
    </row>
    <row r="9" spans="2:5" x14ac:dyDescent="0.35">
      <c r="B9" s="12">
        <v>1259.73</v>
      </c>
      <c r="C9" s="12">
        <v>2213.89</v>
      </c>
      <c r="D9" s="11">
        <v>73.989999999999995</v>
      </c>
      <c r="E9" s="11">
        <v>10.88</v>
      </c>
    </row>
    <row r="10" spans="2:5" x14ac:dyDescent="0.35">
      <c r="B10" s="12">
        <v>2213.9</v>
      </c>
      <c r="C10" s="12">
        <v>2573.5500000000002</v>
      </c>
      <c r="D10" s="11">
        <v>177.8</v>
      </c>
      <c r="E10" s="11">
        <v>16</v>
      </c>
    </row>
    <row r="11" spans="2:5" x14ac:dyDescent="0.35">
      <c r="B11" s="12">
        <v>2573.56</v>
      </c>
      <c r="C11" s="12">
        <v>3081.26</v>
      </c>
      <c r="D11" s="11">
        <v>235.34</v>
      </c>
      <c r="E11" s="11">
        <v>17.920000000000002</v>
      </c>
    </row>
    <row r="12" spans="2:5" x14ac:dyDescent="0.35">
      <c r="B12" s="12">
        <v>3081.27</v>
      </c>
      <c r="C12" s="12">
        <v>6214.46</v>
      </c>
      <c r="D12" s="11">
        <v>326.33999999999997</v>
      </c>
      <c r="E12" s="11">
        <v>21.36</v>
      </c>
    </row>
    <row r="13" spans="2:5" x14ac:dyDescent="0.35">
      <c r="B13" s="12">
        <v>6214.47</v>
      </c>
      <c r="C13" s="12">
        <v>9794.82</v>
      </c>
      <c r="D13" s="11">
        <v>995.54</v>
      </c>
      <c r="E13" s="11">
        <v>23.52</v>
      </c>
    </row>
    <row r="14" spans="2:5" x14ac:dyDescent="0.35">
      <c r="B14" s="12">
        <v>9794.83</v>
      </c>
      <c r="C14" s="12">
        <v>18699.939999999999</v>
      </c>
      <c r="D14" s="12">
        <v>1837.64</v>
      </c>
      <c r="E14" s="11">
        <v>30</v>
      </c>
    </row>
    <row r="15" spans="2:5" x14ac:dyDescent="0.35">
      <c r="B15" s="12">
        <v>18699.95</v>
      </c>
      <c r="C15" s="12">
        <v>24933.3</v>
      </c>
      <c r="D15" s="12">
        <v>4509.1899999999996</v>
      </c>
      <c r="E15" s="11">
        <v>32</v>
      </c>
    </row>
    <row r="16" spans="2:5" x14ac:dyDescent="0.35">
      <c r="B16" s="12">
        <v>24933.31</v>
      </c>
      <c r="C16" s="12">
        <v>74799.83</v>
      </c>
      <c r="D16" s="12">
        <v>6503.84</v>
      </c>
      <c r="E16" s="11">
        <v>34</v>
      </c>
    </row>
    <row r="17" spans="2:5" x14ac:dyDescent="0.35">
      <c r="B17" s="12">
        <v>74799.839999999997</v>
      </c>
      <c r="C17" s="11" t="s">
        <v>50</v>
      </c>
      <c r="D17" s="12">
        <v>23458.47</v>
      </c>
      <c r="E17" s="11">
        <v>35</v>
      </c>
    </row>
    <row r="20" spans="2:5" x14ac:dyDescent="0.35">
      <c r="B20" s="13" t="s">
        <v>63</v>
      </c>
      <c r="C20" s="13"/>
      <c r="D20" s="13"/>
      <c r="E20" s="13"/>
    </row>
    <row r="21" spans="2:5" ht="65" x14ac:dyDescent="0.35">
      <c r="B21" s="15" t="s">
        <v>55</v>
      </c>
      <c r="C21" s="15" t="s">
        <v>56</v>
      </c>
      <c r="D21" s="15" t="s">
        <v>59</v>
      </c>
    </row>
    <row r="22" spans="2:5" x14ac:dyDescent="0.35">
      <c r="B22" s="15" t="s">
        <v>52</v>
      </c>
      <c r="C22" s="15" t="s">
        <v>52</v>
      </c>
      <c r="D22" s="15" t="s">
        <v>52</v>
      </c>
    </row>
    <row r="23" spans="2:5" x14ac:dyDescent="0.35">
      <c r="B23" s="18">
        <v>0.01</v>
      </c>
      <c r="C23" s="18">
        <v>407.33</v>
      </c>
      <c r="D23" s="18">
        <v>93.73</v>
      </c>
    </row>
    <row r="24" spans="2:5" x14ac:dyDescent="0.35">
      <c r="B24" s="18">
        <v>407.34</v>
      </c>
      <c r="C24" s="18">
        <v>610.96</v>
      </c>
      <c r="D24" s="18">
        <v>93.66</v>
      </c>
    </row>
    <row r="25" spans="2:5" x14ac:dyDescent="0.35">
      <c r="B25" s="18">
        <v>610.97</v>
      </c>
      <c r="C25" s="18">
        <v>799.68</v>
      </c>
      <c r="D25" s="18">
        <v>93.66</v>
      </c>
    </row>
    <row r="26" spans="2:5" x14ac:dyDescent="0.35">
      <c r="B26" s="18">
        <v>799.69</v>
      </c>
      <c r="C26" s="18">
        <v>814.66</v>
      </c>
      <c r="D26" s="18">
        <v>90.44</v>
      </c>
    </row>
    <row r="27" spans="2:5" x14ac:dyDescent="0.35">
      <c r="B27" s="18">
        <v>814.67</v>
      </c>
      <c r="C27" s="18">
        <v>1023.75</v>
      </c>
      <c r="D27" s="18">
        <v>88.06</v>
      </c>
    </row>
    <row r="28" spans="2:5" x14ac:dyDescent="0.35">
      <c r="B28" s="18">
        <v>1023.76</v>
      </c>
      <c r="C28" s="18">
        <v>1086.19</v>
      </c>
      <c r="D28" s="18">
        <v>81.55</v>
      </c>
    </row>
    <row r="29" spans="2:5" x14ac:dyDescent="0.35">
      <c r="B29" s="18">
        <v>1086.2</v>
      </c>
      <c r="C29" s="18">
        <v>1228.57</v>
      </c>
      <c r="D29" s="18">
        <v>74.83</v>
      </c>
    </row>
    <row r="30" spans="2:5" x14ac:dyDescent="0.35">
      <c r="B30" s="18">
        <v>1228.58</v>
      </c>
      <c r="C30" s="18">
        <v>1433.32</v>
      </c>
      <c r="D30" s="18">
        <v>67.83</v>
      </c>
    </row>
    <row r="31" spans="2:5" x14ac:dyDescent="0.35">
      <c r="B31" s="18">
        <v>1433.33</v>
      </c>
      <c r="C31" s="18">
        <v>1638.07</v>
      </c>
      <c r="D31" s="18">
        <v>58.38</v>
      </c>
    </row>
    <row r="32" spans="2:5" x14ac:dyDescent="0.35">
      <c r="B32" s="18">
        <v>1638.08</v>
      </c>
      <c r="C32" s="18">
        <v>1699.88</v>
      </c>
      <c r="D32" s="18">
        <v>50.12</v>
      </c>
    </row>
    <row r="33" spans="2:4" x14ac:dyDescent="0.35">
      <c r="B33" s="18">
        <v>1699.89</v>
      </c>
      <c r="C33" t="s">
        <v>66</v>
      </c>
      <c r="D33" s="18">
        <v>0</v>
      </c>
    </row>
  </sheetData>
  <mergeCells count="2">
    <mergeCell ref="B3:E3"/>
    <mergeCell ref="B20:E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1"/>
  <sheetViews>
    <sheetView workbookViewId="0">
      <selection activeCell="A4" sqref="A4"/>
    </sheetView>
  </sheetViews>
  <sheetFormatPr baseColWidth="10" defaultRowHeight="14" x14ac:dyDescent="0.3"/>
  <cols>
    <col min="1" max="2" width="10.90625" style="25"/>
    <col min="3" max="3" width="14" style="25" customWidth="1"/>
    <col min="4" max="5" width="11" style="25" bestFit="1" customWidth="1"/>
    <col min="6" max="6" width="11.90625" style="25" bestFit="1" customWidth="1"/>
    <col min="7" max="31" width="11" style="25" bestFit="1" customWidth="1"/>
    <col min="32" max="16384" width="10.90625" style="25"/>
  </cols>
  <sheetData>
    <row r="1" spans="2:31" x14ac:dyDescent="0.3">
      <c r="J1" s="36"/>
      <c r="K1" s="37" t="s">
        <v>96</v>
      </c>
    </row>
    <row r="2" spans="2:31" x14ac:dyDescent="0.3">
      <c r="J2" s="25">
        <v>2022</v>
      </c>
      <c r="K2" s="25">
        <v>288.66000000000003</v>
      </c>
      <c r="U2" s="39" t="s">
        <v>95</v>
      </c>
      <c r="AC2" s="35" t="s">
        <v>94</v>
      </c>
    </row>
    <row r="3" spans="2:31" x14ac:dyDescent="0.3">
      <c r="B3" s="25" t="s">
        <v>86</v>
      </c>
      <c r="K3" s="25">
        <f>+K2/30*15</f>
        <v>144.33000000000001</v>
      </c>
      <c r="U3" s="39"/>
      <c r="AC3" s="35"/>
    </row>
    <row r="4" spans="2:31" x14ac:dyDescent="0.3">
      <c r="K4" s="25">
        <f>+K2/30*7</f>
        <v>67.354000000000013</v>
      </c>
      <c r="U4" s="39"/>
      <c r="AC4" s="35"/>
    </row>
    <row r="5" spans="2:31" ht="14.5" thickBot="1" x14ac:dyDescent="0.35"/>
    <row r="6" spans="2:31" ht="43" thickTop="1" thickBot="1" x14ac:dyDescent="0.35">
      <c r="B6" s="29" t="s">
        <v>91</v>
      </c>
      <c r="C6" s="29" t="s">
        <v>68</v>
      </c>
      <c r="D6" s="29" t="s">
        <v>69</v>
      </c>
      <c r="E6" s="29" t="s">
        <v>70</v>
      </c>
      <c r="F6" s="29" t="s">
        <v>87</v>
      </c>
      <c r="G6" s="29" t="s">
        <v>92</v>
      </c>
      <c r="H6" s="29" t="s">
        <v>93</v>
      </c>
      <c r="I6" s="29" t="s">
        <v>71</v>
      </c>
      <c r="J6" s="26" t="s">
        <v>72</v>
      </c>
      <c r="K6" s="27" t="s">
        <v>73</v>
      </c>
      <c r="L6" s="27"/>
      <c r="M6" s="27" t="s">
        <v>74</v>
      </c>
      <c r="N6" s="27"/>
      <c r="O6" s="27" t="s">
        <v>75</v>
      </c>
      <c r="P6" s="27"/>
      <c r="Q6" s="27" t="s">
        <v>76</v>
      </c>
      <c r="R6" s="27"/>
      <c r="S6" s="28" t="s">
        <v>77</v>
      </c>
      <c r="T6" s="28"/>
      <c r="U6" s="27" t="s">
        <v>84</v>
      </c>
      <c r="V6" s="27"/>
      <c r="W6" s="27" t="s">
        <v>78</v>
      </c>
      <c r="X6" s="27"/>
      <c r="Y6" s="27" t="s">
        <v>79</v>
      </c>
      <c r="Z6" s="27"/>
      <c r="AA6" s="27" t="s">
        <v>80</v>
      </c>
      <c r="AB6" s="27"/>
      <c r="AC6" s="38" t="s">
        <v>81</v>
      </c>
      <c r="AD6" s="29" t="s">
        <v>85</v>
      </c>
      <c r="AE6" s="29"/>
    </row>
    <row r="7" spans="2:31" ht="15" thickTop="1" thickBot="1" x14ac:dyDescent="0.35">
      <c r="B7" s="29"/>
      <c r="C7" s="29"/>
      <c r="D7" s="29"/>
      <c r="E7" s="29"/>
      <c r="F7" s="29"/>
      <c r="G7" s="29"/>
      <c r="H7" s="29"/>
      <c r="I7" s="29"/>
      <c r="J7" s="30" t="s">
        <v>82</v>
      </c>
      <c r="K7" s="30" t="s">
        <v>82</v>
      </c>
      <c r="L7" s="30" t="s">
        <v>83</v>
      </c>
      <c r="M7" s="30" t="s">
        <v>82</v>
      </c>
      <c r="N7" s="30" t="s">
        <v>83</v>
      </c>
      <c r="O7" s="30" t="s">
        <v>82</v>
      </c>
      <c r="P7" s="30" t="s">
        <v>83</v>
      </c>
      <c r="Q7" s="30" t="s">
        <v>82</v>
      </c>
      <c r="R7" s="30" t="s">
        <v>83</v>
      </c>
      <c r="S7" s="30" t="s">
        <v>82</v>
      </c>
      <c r="T7" s="30" t="s">
        <v>83</v>
      </c>
      <c r="U7" s="30" t="s">
        <v>82</v>
      </c>
      <c r="V7" s="30" t="s">
        <v>83</v>
      </c>
      <c r="W7" s="30" t="s">
        <v>82</v>
      </c>
      <c r="X7" s="30" t="s">
        <v>83</v>
      </c>
      <c r="Y7" s="30" t="s">
        <v>82</v>
      </c>
      <c r="Z7" s="30" t="s">
        <v>83</v>
      </c>
      <c r="AA7" s="30" t="s">
        <v>82</v>
      </c>
      <c r="AB7" s="30" t="s">
        <v>83</v>
      </c>
      <c r="AC7" s="30" t="s">
        <v>82</v>
      </c>
      <c r="AD7" s="30" t="s">
        <v>82</v>
      </c>
      <c r="AE7" s="30" t="s">
        <v>83</v>
      </c>
    </row>
    <row r="8" spans="2:31" ht="15" thickTop="1" thickBot="1" x14ac:dyDescent="0.35">
      <c r="B8" s="29"/>
      <c r="C8" s="29"/>
      <c r="D8" s="29"/>
      <c r="E8" s="29"/>
      <c r="F8" s="29"/>
      <c r="G8" s="29"/>
      <c r="H8" s="29"/>
      <c r="I8" s="29"/>
      <c r="J8" s="31">
        <v>0.20399999999999999</v>
      </c>
      <c r="K8" s="31">
        <v>1.0999999999999999E-2</v>
      </c>
      <c r="L8" s="31">
        <v>4.0000000000000001E-3</v>
      </c>
      <c r="M8" s="31">
        <v>7.0000000000000001E-3</v>
      </c>
      <c r="N8" s="31">
        <v>2.5000000000000001E-3</v>
      </c>
      <c r="O8" s="31">
        <v>1.0500000000000001E-2</v>
      </c>
      <c r="P8" s="31">
        <v>3.8E-3</v>
      </c>
      <c r="Q8" s="31">
        <v>1.7500000000000002E-2</v>
      </c>
      <c r="R8" s="31">
        <v>6.3E-3</v>
      </c>
      <c r="S8" s="31">
        <v>0.01</v>
      </c>
      <c r="T8" s="31">
        <v>0</v>
      </c>
      <c r="U8" s="32">
        <v>5.0000000000000001E-3</v>
      </c>
      <c r="V8" s="31">
        <v>0</v>
      </c>
      <c r="W8" s="31">
        <v>0.02</v>
      </c>
      <c r="X8" s="31">
        <v>0</v>
      </c>
      <c r="Y8" s="31">
        <v>3.15E-2</v>
      </c>
      <c r="Z8" s="31">
        <v>1.1299999999999999E-2</v>
      </c>
      <c r="AA8" s="31">
        <v>0.05</v>
      </c>
      <c r="AB8" s="31">
        <v>0</v>
      </c>
      <c r="AC8" s="32">
        <v>0.03</v>
      </c>
      <c r="AD8" s="31">
        <f>+J8+K8+M8+O8+Q8+S8+U8+W8+Y8+AA8</f>
        <v>0.36649999999999999</v>
      </c>
      <c r="AE8" s="31">
        <f>+L8+N8+P8+R8+T8+V8+X8+Z8+AB8</f>
        <v>2.7900000000000001E-2</v>
      </c>
    </row>
    <row r="9" spans="2:31" ht="14.5" thickTop="1" x14ac:dyDescent="0.3">
      <c r="B9" s="25" t="s">
        <v>88</v>
      </c>
      <c r="C9" s="33">
        <v>11000</v>
      </c>
      <c r="D9" s="33">
        <v>0</v>
      </c>
      <c r="E9" s="33">
        <v>0</v>
      </c>
      <c r="F9" s="33">
        <f>+C9+D9+E9</f>
        <v>11000</v>
      </c>
      <c r="G9" s="33">
        <f>C9/30</f>
        <v>366.66666666666669</v>
      </c>
      <c r="H9" s="33">
        <f>(C9/30)*1.0452</f>
        <v>383.24</v>
      </c>
      <c r="I9" s="34">
        <v>30</v>
      </c>
      <c r="J9" s="25">
        <f>(96.22*30)*20.4%</f>
        <v>588.8664</v>
      </c>
      <c r="K9" s="25">
        <f>(H9-K2)*30*1.1%</f>
        <v>31.211399999999998</v>
      </c>
      <c r="L9" s="25">
        <f>(H9-K2)*30*0.4%</f>
        <v>11.349599999999999</v>
      </c>
      <c r="M9" s="25">
        <f>(H9*30)*M8</f>
        <v>80.480400000000003</v>
      </c>
      <c r="N9" s="25">
        <f>(H9*30)*N8</f>
        <v>28.743000000000002</v>
      </c>
      <c r="O9" s="25">
        <f>(H9*30)*O8</f>
        <v>120.72060000000002</v>
      </c>
      <c r="P9" s="25">
        <f>(H9*30)*P8</f>
        <v>43.689360000000001</v>
      </c>
      <c r="Q9" s="25">
        <f>(H9*30)*Q8</f>
        <v>201.20100000000002</v>
      </c>
      <c r="R9" s="25">
        <f>(H9*30)*R8</f>
        <v>72.432360000000003</v>
      </c>
      <c r="S9" s="25">
        <f>(H9*30)*S8</f>
        <v>114.97200000000001</v>
      </c>
      <c r="T9" s="25">
        <f>(J9*30)*T8</f>
        <v>0</v>
      </c>
      <c r="U9" s="25">
        <f>(H9*30)*U8</f>
        <v>57.486000000000004</v>
      </c>
      <c r="V9" s="25">
        <f>(H9*30)*V8</f>
        <v>0</v>
      </c>
      <c r="W9" s="25">
        <f>(H9*30)*W8</f>
        <v>229.94400000000002</v>
      </c>
      <c r="X9" s="25">
        <f>(H9*30)*X8</f>
        <v>0</v>
      </c>
      <c r="Y9" s="25">
        <f>(H9*30)*Y8</f>
        <v>362.16180000000003</v>
      </c>
      <c r="Z9" s="25">
        <f>(H9*30)*Z8</f>
        <v>129.91836000000001</v>
      </c>
      <c r="AA9" s="25">
        <f>(H9*30)*AA8</f>
        <v>574.86</v>
      </c>
      <c r="AB9" s="25">
        <f>(J9*30)*AB8</f>
        <v>0</v>
      </c>
      <c r="AC9" s="33">
        <f>SUM(C9:E9)*AC8</f>
        <v>330</v>
      </c>
      <c r="AD9" s="33">
        <f>+J9+K9+M9+O9+Q9+S9+U9+W9+Y9+AA9+AC9</f>
        <v>2691.9036000000001</v>
      </c>
      <c r="AE9" s="33">
        <f>+L9+N9+P9+R9+T9+V9+X9+Z9+AB9</f>
        <v>286.13267999999999</v>
      </c>
    </row>
    <row r="10" spans="2:31" x14ac:dyDescent="0.3">
      <c r="B10" s="25" t="s">
        <v>89</v>
      </c>
      <c r="C10" s="33">
        <v>3380</v>
      </c>
      <c r="D10" s="33">
        <v>0</v>
      </c>
      <c r="E10" s="33">
        <v>0</v>
      </c>
      <c r="F10" s="33">
        <f t="shared" ref="F10:F11" si="0">+C10+D10+E10</f>
        <v>3380</v>
      </c>
      <c r="G10" s="33">
        <f>C10/15</f>
        <v>225.33333333333334</v>
      </c>
      <c r="H10" s="33">
        <f>(C10/15)*1.0452</f>
        <v>235.51839999999999</v>
      </c>
      <c r="I10" s="34">
        <v>15</v>
      </c>
      <c r="J10" s="25">
        <f>(96.22*15)*20.4%</f>
        <v>294.4332</v>
      </c>
      <c r="K10" s="25">
        <f>(H10-K3)*15*1.1%</f>
        <v>15.046085999999997</v>
      </c>
      <c r="L10" s="25">
        <f>(H10-K3)*15*0.4%</f>
        <v>5.4713039999999982</v>
      </c>
      <c r="M10" s="25">
        <f>(H10*15)*M8</f>
        <v>24.729431999999999</v>
      </c>
      <c r="N10" s="25">
        <f>(H10*15)*N8</f>
        <v>8.8319399999999995</v>
      </c>
      <c r="O10" s="25">
        <f>(H10*15)*O8</f>
        <v>37.094148000000004</v>
      </c>
      <c r="P10" s="25">
        <f>(H10*15)*P8</f>
        <v>13.4245488</v>
      </c>
      <c r="Q10" s="25">
        <f>(H10*15)*Q8</f>
        <v>61.82358</v>
      </c>
      <c r="R10" s="25">
        <f>(H10*15)*R8</f>
        <v>22.2564888</v>
      </c>
      <c r="S10" s="25">
        <f>(H10*15)*S8</f>
        <v>35.327759999999998</v>
      </c>
      <c r="T10" s="25">
        <f>(J10*15)*T9</f>
        <v>0</v>
      </c>
      <c r="U10" s="25">
        <f>(H10*15)*U8</f>
        <v>17.663879999999999</v>
      </c>
      <c r="V10" s="25">
        <f>(H10*15)*V9</f>
        <v>0</v>
      </c>
      <c r="W10" s="25">
        <f>(H10*15)*W8</f>
        <v>70.655519999999996</v>
      </c>
      <c r="X10" s="25">
        <f>(H10*15)*X9</f>
        <v>0</v>
      </c>
      <c r="Y10" s="25">
        <f>(H10*15)*Y8</f>
        <v>111.282444</v>
      </c>
      <c r="Z10" s="25">
        <f>(H10*15)*Z8</f>
        <v>39.920368799999999</v>
      </c>
      <c r="AA10" s="25">
        <f>(H10*15)*AA8</f>
        <v>176.6388</v>
      </c>
      <c r="AB10" s="25">
        <f>(J10*15)*AB9</f>
        <v>0</v>
      </c>
      <c r="AC10" s="33">
        <f>SUM(C10:E10)*AC8</f>
        <v>101.39999999999999</v>
      </c>
      <c r="AD10" s="33">
        <f>+J10+K10+M10+O10+Q10+S10+U10+W10+Y10+AA10+AC10</f>
        <v>946.09484999999984</v>
      </c>
      <c r="AE10" s="33">
        <f>+L10+N10+P10+R10+T10+V10+X10+Z10+AB10</f>
        <v>89.904650399999994</v>
      </c>
    </row>
    <row r="11" spans="2:31" x14ac:dyDescent="0.3">
      <c r="B11" s="25" t="s">
        <v>90</v>
      </c>
      <c r="C11" s="33">
        <v>1220</v>
      </c>
      <c r="D11" s="33">
        <v>0</v>
      </c>
      <c r="E11" s="33">
        <v>0</v>
      </c>
      <c r="F11" s="33">
        <f t="shared" si="0"/>
        <v>1220</v>
      </c>
      <c r="G11" s="33">
        <f>C11/7</f>
        <v>174.28571428571428</v>
      </c>
      <c r="H11" s="33">
        <f>(C11/7)*1.0452</f>
        <v>182.16342857142854</v>
      </c>
      <c r="I11" s="34">
        <v>7</v>
      </c>
      <c r="J11" s="25">
        <f>(96.22*7)*20.4%</f>
        <v>137.40215999999998</v>
      </c>
      <c r="K11" s="25">
        <f>(H11-K4)*7*1.1%</f>
        <v>8.8403259999999975</v>
      </c>
      <c r="L11" s="25">
        <f>(H11-K4)*7*0.4%</f>
        <v>3.2146639999999991</v>
      </c>
      <c r="M11" s="25">
        <f>(H11*7)*M8</f>
        <v>8.9260079999999995</v>
      </c>
      <c r="N11" s="25">
        <f>(H11*7)*N8</f>
        <v>3.1878599999999997</v>
      </c>
      <c r="O11" s="25">
        <f>(H11*7)*O8</f>
        <v>13.389011999999999</v>
      </c>
      <c r="P11" s="25">
        <f>(H11*7)*P8</f>
        <v>4.8455471999999995</v>
      </c>
      <c r="Q11" s="25">
        <f>(H11*7)*Q8</f>
        <v>22.315019999999997</v>
      </c>
      <c r="R11" s="25">
        <f>(H11*7)*R8</f>
        <v>8.0334071999999992</v>
      </c>
      <c r="S11" s="25">
        <f>(H11*7)*S8</f>
        <v>12.751439999999999</v>
      </c>
      <c r="T11" s="25">
        <f>(J11*7)*T8</f>
        <v>0</v>
      </c>
      <c r="U11" s="25">
        <f>(H11*7)*U8</f>
        <v>6.3757199999999994</v>
      </c>
      <c r="V11" s="25">
        <f>(E11*7)*V10</f>
        <v>0</v>
      </c>
      <c r="W11" s="25">
        <f>(H11*7)*W8</f>
        <v>25.502879999999998</v>
      </c>
      <c r="X11" s="25">
        <f>(H11*7)*X10</f>
        <v>0</v>
      </c>
      <c r="Y11" s="25">
        <f>(H11*7)*Y8</f>
        <v>40.167035999999996</v>
      </c>
      <c r="Z11" s="25">
        <f>(H11*7)*Z8</f>
        <v>14.409127199999997</v>
      </c>
      <c r="AA11" s="25">
        <f>(H11*7)*AA8</f>
        <v>63.75719999999999</v>
      </c>
      <c r="AB11" s="25">
        <f>(J11*7)*AB10</f>
        <v>0</v>
      </c>
      <c r="AC11" s="33">
        <f>SUM(C11:E11)*AC8</f>
        <v>36.6</v>
      </c>
      <c r="AD11" s="33">
        <f t="shared" ref="AD11" si="1">+J11+K11+M11+O11+Q11+S11+U11+W11+Y11+AA11+AC11</f>
        <v>376.02680200000003</v>
      </c>
      <c r="AE11" s="33">
        <f t="shared" ref="AE11" si="2">+L11+N11+P11+R11+T11+V11+X11+Z11+AB11</f>
        <v>33.690605599999998</v>
      </c>
    </row>
  </sheetData>
  <mergeCells count="20">
    <mergeCell ref="AC2:AC4"/>
    <mergeCell ref="U2:U4"/>
    <mergeCell ref="U6:V6"/>
    <mergeCell ref="W6:X6"/>
    <mergeCell ref="Y6:Z6"/>
    <mergeCell ref="AA6:AB6"/>
    <mergeCell ref="AD6:AE6"/>
    <mergeCell ref="B6:B8"/>
    <mergeCell ref="I6:I8"/>
    <mergeCell ref="K6:L6"/>
    <mergeCell ref="M6:N6"/>
    <mergeCell ref="O6:P6"/>
    <mergeCell ref="Q6:R6"/>
    <mergeCell ref="S6:T6"/>
    <mergeCell ref="C6:C8"/>
    <mergeCell ref="D6:D8"/>
    <mergeCell ref="E6:E8"/>
    <mergeCell ref="F6:F8"/>
    <mergeCell ref="G6:G8"/>
    <mergeCell ref="H6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Calculo ISR</vt:lpstr>
      <vt:lpstr>Tablamensual</vt:lpstr>
      <vt:lpstr>tablaquincenal</vt:lpstr>
      <vt:lpstr>Tablasemanal</vt:lpstr>
      <vt:lpstr>IMSS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SIGAMEX</dc:creator>
  <cp:lastModifiedBy>SIGAMEX</cp:lastModifiedBy>
  <dcterms:created xsi:type="dcterms:W3CDTF">2022-05-19T16:33:35Z</dcterms:created>
  <dcterms:modified xsi:type="dcterms:W3CDTF">2022-05-20T14:04:01Z</dcterms:modified>
</cp:coreProperties>
</file>