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ai\Desktop\"/>
    </mc:Choice>
  </mc:AlternateContent>
  <xr:revisionPtr revIDLastSave="0" documentId="13_ncr:1_{E5C2EE6F-D775-4CB5-937D-6B6145080E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verview" sheetId="1" r:id="rId1"/>
    <sheet name="Assumptions" sheetId="6" r:id="rId2"/>
    <sheet name="1st Scenario" sheetId="4" r:id="rId3"/>
    <sheet name="2nd Scenario" sheetId="5" r:id="rId4"/>
    <sheet name="Raw data -&gt;" sheetId="11" r:id="rId5"/>
    <sheet name="Balance Sheet" sheetId="7" r:id="rId6"/>
    <sheet name="Income Statement" sheetId="8" r:id="rId7"/>
    <sheet name="Cash Flow" sheetId="9" r:id="rId8"/>
    <sheet name="Investment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4" i="1"/>
  <c r="I15" i="1"/>
  <c r="I13" i="1"/>
  <c r="E13" i="1"/>
  <c r="I7" i="1"/>
  <c r="I4" i="1"/>
  <c r="I5" i="1"/>
  <c r="I6" i="1"/>
  <c r="E4" i="1"/>
  <c r="E16" i="1"/>
  <c r="K14" i="5"/>
  <c r="L14" i="5" s="1"/>
  <c r="M14" i="5" s="1"/>
  <c r="K13" i="5"/>
  <c r="L13" i="5"/>
  <c r="M13" i="5"/>
  <c r="M12" i="5"/>
  <c r="K12" i="5"/>
  <c r="L12" i="5"/>
  <c r="K10" i="5"/>
  <c r="L10" i="5"/>
  <c r="M10" i="5"/>
  <c r="K7" i="5"/>
  <c r="L7" i="5"/>
  <c r="M7" i="5"/>
  <c r="K5" i="5"/>
  <c r="L5" i="5" s="1"/>
  <c r="M5" i="5" s="1"/>
  <c r="K3" i="5"/>
  <c r="L3" i="5"/>
  <c r="M3" i="5"/>
  <c r="E15" i="1"/>
  <c r="E6" i="1"/>
  <c r="E14" i="1"/>
  <c r="E7" i="1"/>
  <c r="E5" i="1"/>
  <c r="E12" i="4"/>
  <c r="F12" i="4"/>
  <c r="G12" i="4"/>
  <c r="E3" i="5"/>
  <c r="D3" i="5"/>
  <c r="C3" i="5"/>
  <c r="E5" i="5"/>
  <c r="F5" i="5"/>
  <c r="G5" i="5" s="1"/>
  <c r="D5" i="5"/>
  <c r="C5" i="5"/>
  <c r="D12" i="5"/>
  <c r="E12" i="5"/>
  <c r="F12" i="5"/>
  <c r="G12" i="5"/>
  <c r="H12" i="5"/>
  <c r="I12" i="5"/>
  <c r="J12" i="5"/>
  <c r="D10" i="5"/>
  <c r="E10" i="5"/>
  <c r="F10" i="5"/>
  <c r="G10" i="5"/>
  <c r="H10" i="5"/>
  <c r="I10" i="5"/>
  <c r="J10" i="5"/>
  <c r="C12" i="5"/>
  <c r="C10" i="5"/>
  <c r="C7" i="5"/>
  <c r="E5" i="4"/>
  <c r="F5" i="4" s="1"/>
  <c r="G5" i="4" s="1"/>
  <c r="H5" i="4" s="1"/>
  <c r="I5" i="4" s="1"/>
  <c r="J5" i="4" s="1"/>
  <c r="F4" i="4"/>
  <c r="G4" i="4"/>
  <c r="H4" i="4"/>
  <c r="I4" i="4"/>
  <c r="J4" i="4"/>
  <c r="E4" i="4"/>
  <c r="G3" i="4"/>
  <c r="H3" i="4" s="1"/>
  <c r="F3" i="4"/>
  <c r="E3" i="4"/>
  <c r="B19" i="6"/>
  <c r="E25" i="6"/>
  <c r="E24" i="6"/>
  <c r="F25" i="6"/>
  <c r="F24" i="6"/>
  <c r="B27" i="6"/>
  <c r="B10" i="6"/>
  <c r="C13" i="5" l="1"/>
  <c r="C14" i="5" s="1"/>
  <c r="F3" i="5"/>
  <c r="G3" i="5" s="1"/>
  <c r="H3" i="5" s="1"/>
  <c r="I3" i="5" s="1"/>
  <c r="J3" i="5" s="1"/>
  <c r="E7" i="5"/>
  <c r="E13" i="5" s="1"/>
  <c r="H5" i="5"/>
  <c r="G7" i="5"/>
  <c r="G13" i="5" s="1"/>
  <c r="F7" i="5"/>
  <c r="F13" i="5" s="1"/>
  <c r="D7" i="5"/>
  <c r="D13" i="5" s="1"/>
  <c r="D14" i="5" s="1"/>
  <c r="I3" i="4"/>
  <c r="D12" i="4"/>
  <c r="H12" i="4"/>
  <c r="I12" i="4"/>
  <c r="J12" i="4"/>
  <c r="C12" i="4"/>
  <c r="D7" i="4"/>
  <c r="E7" i="4"/>
  <c r="F7" i="4"/>
  <c r="G7" i="4"/>
  <c r="H7" i="4"/>
  <c r="H13" i="4" s="1"/>
  <c r="C7" i="4"/>
  <c r="C13" i="4" s="1"/>
  <c r="C14" i="4" s="1"/>
  <c r="D10" i="4"/>
  <c r="E10" i="4"/>
  <c r="F10" i="4"/>
  <c r="G10" i="4"/>
  <c r="H10" i="4"/>
  <c r="I10" i="4"/>
  <c r="J10" i="4"/>
  <c r="C10" i="4"/>
  <c r="H12" i="10"/>
  <c r="G12" i="10"/>
  <c r="F12" i="10"/>
  <c r="E12" i="10"/>
  <c r="D12" i="10"/>
  <c r="C12" i="10"/>
  <c r="F9" i="10"/>
  <c r="C9" i="10"/>
  <c r="G8" i="10"/>
  <c r="H8" i="10" s="1"/>
  <c r="H9" i="10" s="1"/>
  <c r="H7" i="10"/>
  <c r="G7" i="10"/>
  <c r="E7" i="10"/>
  <c r="D7" i="10"/>
  <c r="E6" i="10"/>
  <c r="E9" i="10" s="1"/>
  <c r="H5" i="10"/>
  <c r="G5" i="10"/>
  <c r="E5" i="10"/>
  <c r="D5" i="10"/>
  <c r="D9" i="10" s="1"/>
  <c r="G9" i="10" l="1"/>
  <c r="G13" i="4"/>
  <c r="D13" i="4"/>
  <c r="E14" i="5"/>
  <c r="F14" i="5"/>
  <c r="G14" i="5" s="1"/>
  <c r="H7" i="5"/>
  <c r="H13" i="5" s="1"/>
  <c r="I5" i="5"/>
  <c r="J3" i="4"/>
  <c r="I7" i="4"/>
  <c r="I13" i="4" s="1"/>
  <c r="E13" i="4"/>
  <c r="F13" i="4"/>
  <c r="D14" i="4" l="1"/>
  <c r="E14" i="4" s="1"/>
  <c r="F14" i="4" s="1"/>
  <c r="G14" i="4" s="1"/>
  <c r="H14" i="4" s="1"/>
  <c r="I14" i="4" s="1"/>
  <c r="H14" i="5"/>
  <c r="J5" i="5"/>
  <c r="J7" i="5" s="1"/>
  <c r="J13" i="5" s="1"/>
  <c r="I7" i="5"/>
  <c r="I13" i="5" s="1"/>
  <c r="J7" i="4"/>
  <c r="J13" i="4" s="1"/>
  <c r="I14" i="5" l="1"/>
  <c r="J14" i="5" s="1"/>
  <c r="J14" i="4"/>
</calcChain>
</file>

<file path=xl/sharedStrings.xml><?xml version="1.0" encoding="utf-8"?>
<sst xmlns="http://schemas.openxmlformats.org/spreadsheetml/2006/main" count="218" uniqueCount="168">
  <si>
    <t>Year</t>
  </si>
  <si>
    <t>Sales Revenue</t>
  </si>
  <si>
    <t>Additional marketing</t>
  </si>
  <si>
    <t>Additional wage</t>
  </si>
  <si>
    <t>Salary of the project implementation team</t>
  </si>
  <si>
    <t>Purchase of services</t>
  </si>
  <si>
    <t>Net cash flows from operating activities</t>
  </si>
  <si>
    <t>Investments in fixed assets - equipment</t>
  </si>
  <si>
    <t>Investments in fixed assets - buildings</t>
  </si>
  <si>
    <t>Net cash flows from investing activities</t>
  </si>
  <si>
    <t>Bank loan</t>
  </si>
  <si>
    <t>Net cash flows from financing activities</t>
  </si>
  <si>
    <t>Cash flow</t>
  </si>
  <si>
    <t>Cumulative cash flow</t>
  </si>
  <si>
    <t>Articles</t>
  </si>
  <si>
    <t>Actual</t>
  </si>
  <si>
    <t>FIXED ASSETS</t>
  </si>
  <si>
    <t>INTANGIBLE ASSETS</t>
  </si>
  <si>
    <t>Patents and licenses</t>
  </si>
  <si>
    <t>software</t>
  </si>
  <si>
    <t>Other current assets</t>
  </si>
  <si>
    <t>TANGIBLE ASSETS</t>
  </si>
  <si>
    <t>Land</t>
  </si>
  <si>
    <t>Buildings and structures</t>
  </si>
  <si>
    <t>Machinery and equipment</t>
  </si>
  <si>
    <t>Vehicles</t>
  </si>
  <si>
    <t>Other equipment, tools and installations</t>
  </si>
  <si>
    <t>Construction work in progress</t>
  </si>
  <si>
    <t>Financial assets</t>
  </si>
  <si>
    <t>OTHER FIXED ASSETS</t>
  </si>
  <si>
    <t>CURRENT ASSETS</t>
  </si>
  <si>
    <t>STOCKS</t>
  </si>
  <si>
    <t>Raw materials and components</t>
  </si>
  <si>
    <t>Unfinished production</t>
  </si>
  <si>
    <t>Finished products</t>
  </si>
  <si>
    <t>Goods for resale</t>
  </si>
  <si>
    <t>Other</t>
  </si>
  <si>
    <t>AMOUNTS RECEIVABLE DURING ONE YEAR</t>
  </si>
  <si>
    <t>Trade receivables</t>
  </si>
  <si>
    <t>Other receivables</t>
  </si>
  <si>
    <t>OTHER CURRENT ASSETS</t>
  </si>
  <si>
    <t>CASH AND CASH EQUIVALENTS</t>
  </si>
  <si>
    <t>TOTAL ASSETS:</t>
  </si>
  <si>
    <t>PERSONAL CAPITAL</t>
  </si>
  <si>
    <t>CAPITAL:</t>
  </si>
  <si>
    <t>Authorized capital</t>
  </si>
  <si>
    <t>Discount extras</t>
  </si>
  <si>
    <t>REVALUATION RESERVE</t>
  </si>
  <si>
    <t>RESERVES:</t>
  </si>
  <si>
    <t>Mandatory</t>
  </si>
  <si>
    <t>Retained Earnings (LOSS)</t>
  </si>
  <si>
    <t>Profit (loss) for the reporting year</t>
  </si>
  <si>
    <t>Profit (loss) for the previous year</t>
  </si>
  <si>
    <t>GRANTS AND SUBSIDIES</t>
  </si>
  <si>
    <t>PAYMENT SUMS AND LIABILITIES</t>
  </si>
  <si>
    <t>AMOUNTS PAYABLE AFTER ONE YEAR AND NON-CURRENT LIABILITIES</t>
  </si>
  <si>
    <t>Financial debts</t>
  </si>
  <si>
    <t>Other debts</t>
  </si>
  <si>
    <t>AMOUNTS PAYABLE WITHIN ONE YEAR AND CURRENT LIABILITIES</t>
  </si>
  <si>
    <t>Current part of long - term debt</t>
  </si>
  <si>
    <t>Debts to suppliers</t>
  </si>
  <si>
    <t>TOTAL EQUITY AND LIABILITIES:</t>
  </si>
  <si>
    <t>Statement of profit or loss(Income Statement), EUR</t>
  </si>
  <si>
    <t>I.</t>
  </si>
  <si>
    <t>SALES REVENUE</t>
  </si>
  <si>
    <t>II.</t>
  </si>
  <si>
    <t>COST OF SALES</t>
  </si>
  <si>
    <t>Depreciation and amortization</t>
  </si>
  <si>
    <t>Materials (raw materials)</t>
  </si>
  <si>
    <t>Wage</t>
  </si>
  <si>
    <t>Rental of industrial premises</t>
  </si>
  <si>
    <t>Others</t>
  </si>
  <si>
    <t>III.</t>
  </si>
  <si>
    <t>GROSS PROFIT (LOSS)</t>
  </si>
  <si>
    <t>IV.</t>
  </si>
  <si>
    <t>OPERATING COSTS</t>
  </si>
  <si>
    <t>IV.1</t>
  </si>
  <si>
    <t>For sale</t>
  </si>
  <si>
    <t>Marketing</t>
  </si>
  <si>
    <t>IV.2</t>
  </si>
  <si>
    <t>General and administrative</t>
  </si>
  <si>
    <t>Rent of premises</t>
  </si>
  <si>
    <t>V.</t>
  </si>
  <si>
    <t>OPERATING PROFIT</t>
  </si>
  <si>
    <t>VI.</t>
  </si>
  <si>
    <t>ANOTHER ACTIVITY</t>
  </si>
  <si>
    <t>VI.1.</t>
  </si>
  <si>
    <t>Income</t>
  </si>
  <si>
    <t>VI.2.</t>
  </si>
  <si>
    <t>Costs</t>
  </si>
  <si>
    <t>VII.</t>
  </si>
  <si>
    <t>FINANCING AND INVESTING ACTIVITIES</t>
  </si>
  <si>
    <t>VII.1.</t>
  </si>
  <si>
    <t>VII.2.</t>
  </si>
  <si>
    <t>X.</t>
  </si>
  <si>
    <t>LOSSES</t>
  </si>
  <si>
    <t>XI.</t>
  </si>
  <si>
    <t>PROFIT (LOSS) BEFORE TAX</t>
  </si>
  <si>
    <t>XII.</t>
  </si>
  <si>
    <t>INCOME TAX</t>
  </si>
  <si>
    <t>XIII.</t>
  </si>
  <si>
    <t>NET PROFIT (LOSS)</t>
  </si>
  <si>
    <t>Cash inflow (including VAT):</t>
  </si>
  <si>
    <t>From customers</t>
  </si>
  <si>
    <t>Cash benefits:</t>
  </si>
  <si>
    <t>Money paid to suppliers</t>
  </si>
  <si>
    <t>For wages</t>
  </si>
  <si>
    <t>Fees paid</t>
  </si>
  <si>
    <t>Other benefits</t>
  </si>
  <si>
    <t>Net cash flows from manufacturing activities</t>
  </si>
  <si>
    <t>Acquisition of fixed assets</t>
  </si>
  <si>
    <t>Transfer of fixed assets</t>
  </si>
  <si>
    <t>Other cash flows from investing activities (listed)</t>
  </si>
  <si>
    <t>Shareholders' contributions</t>
  </si>
  <si>
    <t>Dividends are paid</t>
  </si>
  <si>
    <t>Obtaining loans</t>
  </si>
  <si>
    <t>Repayment of loans</t>
  </si>
  <si>
    <t>Interest paid</t>
  </si>
  <si>
    <t>Other cash flows from financing activities</t>
  </si>
  <si>
    <t>Amount of money at the beginning of the year</t>
  </si>
  <si>
    <t>Amount of money at the end of the year</t>
  </si>
  <si>
    <t>1 scenario</t>
  </si>
  <si>
    <t>2 scenario</t>
  </si>
  <si>
    <t>Project value and funding sources, EUR</t>
  </si>
  <si>
    <t>EUR, without VAT</t>
  </si>
  <si>
    <t>Total</t>
  </si>
  <si>
    <t>Total value of the project</t>
  </si>
  <si>
    <t>Financing of credit institutions</t>
  </si>
  <si>
    <t>Project funding sources, total</t>
  </si>
  <si>
    <t>Duration - 5 years, interest rate - 5 percent.</t>
  </si>
  <si>
    <t>Repayment - equal installments</t>
  </si>
  <si>
    <t>Assumptions for the first scenario:</t>
  </si>
  <si>
    <t>Assumptions for the second scenario:</t>
  </si>
  <si>
    <r>
      <t xml:space="preserve">Project: </t>
    </r>
    <r>
      <rPr>
        <sz val="10"/>
        <color theme="1"/>
        <rFont val="Arial"/>
        <family val="2"/>
        <charset val="186"/>
      </rPr>
      <t>will carry out active marketing activities and develop a digital product.</t>
    </r>
  </si>
  <si>
    <r>
      <t xml:space="preserve">Increase in sales: </t>
    </r>
    <r>
      <rPr>
        <sz val="10"/>
        <color theme="1"/>
        <rFont val="Arial"/>
        <family val="2"/>
        <charset val="186"/>
      </rPr>
      <t>Sales are expected to grow by 30% during the campaign every year. In subsequent periods, growth is expected to fall to 15%.</t>
    </r>
  </si>
  <si>
    <r>
      <t xml:space="preserve">Cost: </t>
    </r>
    <r>
      <rPr>
        <sz val="10"/>
        <color theme="1"/>
        <rFont val="Arial"/>
        <family val="2"/>
        <charset val="186"/>
      </rPr>
      <t>The provision and development of services will require the hiring of 10 people with 2x the average salary of the company, starting in the first year.</t>
    </r>
  </si>
  <si>
    <r>
      <t>Costs:</t>
    </r>
    <r>
      <rPr>
        <sz val="10"/>
        <color theme="1"/>
        <rFont val="Arial"/>
        <family val="2"/>
        <charset val="186"/>
      </rPr>
      <t xml:space="preserve"> After the campaign ends, advertising budgets are expected to fall to € 1 million per year.</t>
    </r>
  </si>
  <si>
    <r>
      <t>Duration of the project:</t>
    </r>
    <r>
      <rPr>
        <sz val="10"/>
        <color theme="1"/>
        <rFont val="Arial"/>
        <family val="2"/>
        <charset val="186"/>
      </rPr>
      <t xml:space="preserve"> 2 years.</t>
    </r>
  </si>
  <si>
    <r>
      <t>Project:</t>
    </r>
    <r>
      <rPr>
        <sz val="10"/>
        <color theme="1"/>
        <rFont val="Arial"/>
        <family val="2"/>
        <charset val="186"/>
      </rPr>
      <t xml:space="preserve"> to build a factory, including buildings and machine tools required for production.</t>
    </r>
  </si>
  <si>
    <r>
      <t>Increase in sales:</t>
    </r>
    <r>
      <rPr>
        <sz val="10"/>
        <color theme="1"/>
        <rFont val="Arial"/>
        <family val="2"/>
        <charset val="186"/>
      </rPr>
      <t xml:space="preserve"> It is planned that after the implementation of the project, the sales volumes will increase by 50% from the current ones and should continue to increase by 10% annually.</t>
    </r>
  </si>
  <si>
    <r>
      <t xml:space="preserve">Cost: </t>
    </r>
    <r>
      <rPr>
        <sz val="10"/>
        <color theme="1"/>
        <rFont val="Arial"/>
        <family val="2"/>
        <charset val="186"/>
      </rPr>
      <t>An additional 10 people with an average salary of the company will be needed to service the new production capacity.</t>
    </r>
  </si>
  <si>
    <r>
      <t>Costs:</t>
    </r>
    <r>
      <rPr>
        <sz val="10"/>
        <color theme="1"/>
        <rFont val="Arial"/>
        <family val="2"/>
        <charset val="186"/>
      </rPr>
      <t xml:space="preserve"> Marketing budgets would need to be further adjusted to maintain projected sales growth.</t>
    </r>
  </si>
  <si>
    <t>Assumptions</t>
  </si>
  <si>
    <t>Inflation rate</t>
  </si>
  <si>
    <t>Discount rate</t>
  </si>
  <si>
    <t>Average yearly employee salary</t>
  </si>
  <si>
    <t>* Yearly salary is growing by inflation rate in my calculations.</t>
  </si>
  <si>
    <t>Average yearly employee salary calucation</t>
  </si>
  <si>
    <t>Start headcount</t>
  </si>
  <si>
    <t>End headcount</t>
  </si>
  <si>
    <t>Total salaries</t>
  </si>
  <si>
    <t>Avg. headcount</t>
  </si>
  <si>
    <t>Avg. annual salary</t>
  </si>
  <si>
    <t>Average employee increase per month</t>
  </si>
  <si>
    <r>
      <rPr>
        <b/>
        <sz val="10"/>
        <color theme="1"/>
        <rFont val="Arial"/>
        <family val="2"/>
        <charset val="186"/>
      </rPr>
      <t>Marketing funding rate</t>
    </r>
    <r>
      <rPr>
        <sz val="10"/>
        <color theme="1"/>
        <rFont val="Arial"/>
        <family val="2"/>
        <charset val="186"/>
      </rPr>
      <t xml:space="preserve"> (sales revenue / marketing cost)</t>
    </r>
  </si>
  <si>
    <t>* Chose 2% because it reflects Lithuania average long term inflation rate, ensuring economic stability and aligning with the central bank target.</t>
  </si>
  <si>
    <t>Raw Data ---&gt;</t>
  </si>
  <si>
    <t>1st Scenario</t>
  </si>
  <si>
    <t>NPV</t>
  </si>
  <si>
    <t>IRR</t>
  </si>
  <si>
    <t>ROI</t>
  </si>
  <si>
    <t>Payback period</t>
  </si>
  <si>
    <t>2nd Scenario</t>
  </si>
  <si>
    <t>Forecast for future payback period</t>
  </si>
  <si>
    <t>*The company had 9 employees at the beginning of 2023 and 60 at the end of 2024.</t>
  </si>
  <si>
    <t>Sensitivity Analysis</t>
  </si>
  <si>
    <r>
      <t xml:space="preserve">Insights:
</t>
    </r>
    <r>
      <rPr>
        <b/>
        <sz val="12"/>
        <color theme="1"/>
        <rFont val="Calibri"/>
        <family val="2"/>
        <charset val="186"/>
      </rPr>
      <t xml:space="preserve">*  I chose 8 years evalution </t>
    </r>
    <r>
      <rPr>
        <sz val="12"/>
        <color theme="1"/>
        <rFont val="Calibri"/>
        <family val="2"/>
        <charset val="186"/>
      </rPr>
      <t>to see the full financial impact and long-term results of the projects. This period helps show true profitability and payback time.</t>
    </r>
    <r>
      <rPr>
        <b/>
        <sz val="18"/>
        <color theme="1"/>
        <rFont val="Calibri"/>
        <family val="2"/>
        <charset val="186"/>
      </rPr>
      <t xml:space="preserve">
</t>
    </r>
    <r>
      <rPr>
        <sz val="12"/>
        <color theme="1"/>
        <rFont val="Calibri"/>
        <family val="2"/>
        <charset val="186"/>
      </rPr>
      <t xml:space="preserve">- </t>
    </r>
    <r>
      <rPr>
        <b/>
        <sz val="12"/>
        <color theme="1"/>
        <rFont val="Calibri"/>
        <family val="2"/>
        <charset val="186"/>
      </rPr>
      <t>The 1st scenario</t>
    </r>
    <r>
      <rPr>
        <sz val="12"/>
        <color theme="1"/>
        <rFont val="Calibri"/>
        <family val="2"/>
        <charset val="186"/>
      </rPr>
      <t xml:space="preserve"> (manufacturing expansion) shows a </t>
    </r>
    <r>
      <rPr>
        <b/>
        <sz val="12"/>
        <color theme="1"/>
        <rFont val="Calibri"/>
        <family val="2"/>
        <charset val="186"/>
      </rPr>
      <t>positive NPV</t>
    </r>
    <r>
      <rPr>
        <sz val="12"/>
        <color theme="1"/>
        <rFont val="Calibri"/>
        <family val="2"/>
        <charset val="186"/>
      </rPr>
      <t xml:space="preserve"> and an IRR of 19%, indicating strong financial viability. </t>
    </r>
    <r>
      <rPr>
        <b/>
        <sz val="12"/>
        <color theme="1"/>
        <rFont val="Calibri"/>
        <family val="2"/>
        <charset val="186"/>
      </rPr>
      <t>This scenario should be approved.</t>
    </r>
    <r>
      <rPr>
        <b/>
        <sz val="18"/>
        <color theme="1"/>
        <rFont val="Calibri"/>
        <family val="2"/>
        <charset val="186"/>
      </rPr>
      <t xml:space="preserve">
</t>
    </r>
    <r>
      <rPr>
        <sz val="12"/>
        <color theme="1"/>
        <rFont val="Calibri"/>
        <family val="2"/>
        <charset val="186"/>
      </rPr>
      <t xml:space="preserve">- </t>
    </r>
    <r>
      <rPr>
        <b/>
        <sz val="12"/>
        <color theme="1"/>
        <rFont val="Calibri"/>
        <family val="2"/>
        <charset val="186"/>
      </rPr>
      <t>The 2nd scenario</t>
    </r>
    <r>
      <rPr>
        <sz val="12"/>
        <color theme="1"/>
        <rFont val="Calibri"/>
        <family val="2"/>
        <charset val="186"/>
      </rPr>
      <t xml:space="preserve"> (digital product + marketing) performs very poorly — with a</t>
    </r>
    <r>
      <rPr>
        <b/>
        <sz val="12"/>
        <color theme="1"/>
        <rFont val="Calibri"/>
        <family val="2"/>
        <charset val="186"/>
      </rPr>
      <t xml:space="preserve"> highly negative NPV</t>
    </r>
    <r>
      <rPr>
        <sz val="12"/>
        <color theme="1"/>
        <rFont val="Calibri"/>
        <family val="2"/>
        <charset val="186"/>
      </rPr>
      <t xml:space="preserve">, negative IRR of –10%. This </t>
    </r>
    <r>
      <rPr>
        <b/>
        <sz val="12"/>
        <color theme="1"/>
        <rFont val="Calibri"/>
        <family val="2"/>
        <charset val="186"/>
      </rPr>
      <t>scenario should not be aprroved.</t>
    </r>
  </si>
  <si>
    <t>* Using CAPM method the estimated discount rate for Lithuanian startup is: 9.6% (3% risk free rate, beta = 1.2, market risk premium = 5.5%)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</si>
</sst>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%"/>
    <numFmt numFmtId="165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  <charset val="186"/>
    </font>
    <font>
      <i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  <font>
      <b/>
      <sz val="11"/>
      <color theme="0"/>
      <name val="Calibri"/>
      <family val="2"/>
      <charset val="186"/>
      <scheme val="minor"/>
    </font>
    <font>
      <u/>
      <sz val="10"/>
      <color theme="1"/>
      <name val="Arial"/>
      <family val="2"/>
      <charset val="186"/>
    </font>
    <font>
      <sz val="10"/>
      <name val="Arial"/>
      <family val="2"/>
      <charset val="186"/>
    </font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0"/>
      <color theme="1"/>
      <name val="HelveticaNowDisplay-Md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  <charset val="186"/>
    </font>
    <font>
      <b/>
      <sz val="10"/>
      <color theme="0"/>
      <name val="Arial"/>
      <family val="2"/>
      <charset val="186"/>
    </font>
    <font>
      <b/>
      <sz val="20"/>
      <color theme="0"/>
      <name val="Calibri"/>
      <family val="2"/>
      <charset val="186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20"/>
      <color theme="0"/>
      <name val="Calibri"/>
      <family val="2"/>
      <charset val="186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86"/>
    </font>
    <font>
      <b/>
      <sz val="18"/>
      <color theme="1"/>
      <name val="Calibri"/>
      <family val="2"/>
      <charset val="186"/>
    </font>
    <font>
      <sz val="12"/>
      <color theme="1"/>
      <name val="Calibri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5" fillId="0" borderId="3" xfId="0" applyFont="1" applyBorder="1" applyAlignment="1"/>
    <xf numFmtId="0" fontId="3" fillId="0" borderId="3" xfId="0" applyFont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>
      <alignment horizontal="right" wrapText="1"/>
    </xf>
    <xf numFmtId="3" fontId="5" fillId="2" borderId="0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/>
    <xf numFmtId="0" fontId="3" fillId="2" borderId="5" xfId="0" applyFont="1" applyFill="1" applyBorder="1" applyAlignment="1"/>
    <xf numFmtId="0" fontId="3" fillId="2" borderId="7" xfId="0" applyFont="1" applyFill="1" applyBorder="1" applyAlignment="1"/>
    <xf numFmtId="0" fontId="6" fillId="3" borderId="0" xfId="0" applyFont="1" applyFill="1"/>
    <xf numFmtId="0" fontId="5" fillId="0" borderId="0" xfId="0" applyFont="1"/>
    <xf numFmtId="0" fontId="5" fillId="0" borderId="4" xfId="0" applyFont="1" applyBorder="1" applyAlignment="1"/>
    <xf numFmtId="0" fontId="3" fillId="0" borderId="4" xfId="0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3" fillId="0" borderId="4" xfId="0" applyFont="1" applyBorder="1" applyAlignment="1"/>
    <xf numFmtId="3" fontId="3" fillId="0" borderId="4" xfId="0" applyNumberFormat="1" applyFont="1" applyBorder="1" applyAlignment="1">
      <alignment horizontal="right"/>
    </xf>
    <xf numFmtId="0" fontId="0" fillId="2" borderId="0" xfId="0" applyFill="1" applyBorder="1"/>
    <xf numFmtId="0" fontId="5" fillId="0" borderId="1" xfId="0" applyFont="1" applyBorder="1" applyAlignment="1"/>
    <xf numFmtId="0" fontId="4" fillId="0" borderId="4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/>
    <xf numFmtId="0" fontId="7" fillId="0" borderId="3" xfId="0" applyFont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4" xfId="0" applyNumberFormat="1" applyFont="1" applyBorder="1"/>
    <xf numFmtId="0" fontId="5" fillId="0" borderId="15" xfId="0" applyFont="1" applyBorder="1" applyAlignment="1">
      <alignment horizontal="left"/>
    </xf>
    <xf numFmtId="3" fontId="5" fillId="0" borderId="16" xfId="0" applyNumberFormat="1" applyFont="1" applyBorder="1"/>
    <xf numFmtId="0" fontId="5" fillId="0" borderId="17" xfId="0" applyFont="1" applyBorder="1" applyAlignment="1">
      <alignment horizontal="left"/>
    </xf>
    <xf numFmtId="3" fontId="5" fillId="0" borderId="18" xfId="0" applyNumberFormat="1" applyFont="1" applyBorder="1"/>
    <xf numFmtId="0" fontId="5" fillId="0" borderId="19" xfId="0" applyFont="1" applyBorder="1" applyAlignment="1">
      <alignment horizontal="left"/>
    </xf>
    <xf numFmtId="3" fontId="5" fillId="0" borderId="20" xfId="0" applyNumberFormat="1" applyFont="1" applyBorder="1"/>
    <xf numFmtId="0" fontId="3" fillId="0" borderId="21" xfId="0" applyFont="1" applyBorder="1"/>
    <xf numFmtId="3" fontId="3" fillId="0" borderId="22" xfId="0" applyNumberFormat="1" applyFont="1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8" fillId="0" borderId="25" xfId="0" applyFont="1" applyBorder="1"/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wrapText="1"/>
    </xf>
    <xf numFmtId="0" fontId="5" fillId="0" borderId="13" xfId="0" applyFont="1" applyBorder="1"/>
    <xf numFmtId="0" fontId="5" fillId="0" borderId="27" xfId="0" applyFont="1" applyBorder="1" applyAlignment="1">
      <alignment horizontal="left"/>
    </xf>
    <xf numFmtId="3" fontId="5" fillId="0" borderId="28" xfId="0" applyNumberFormat="1" applyFont="1" applyBorder="1"/>
    <xf numFmtId="3" fontId="5" fillId="0" borderId="0" xfId="0" applyNumberFormat="1" applyFont="1"/>
    <xf numFmtId="0" fontId="5" fillId="0" borderId="29" xfId="0" applyFont="1" applyBorder="1"/>
    <xf numFmtId="3" fontId="5" fillId="0" borderId="30" xfId="0" applyNumberFormat="1" applyFont="1" applyBorder="1"/>
    <xf numFmtId="3" fontId="5" fillId="0" borderId="20" xfId="0" applyNumberFormat="1" applyFont="1" applyBorder="1" applyAlignment="1"/>
    <xf numFmtId="0" fontId="5" fillId="2" borderId="0" xfId="0" applyFont="1" applyFill="1" applyBorder="1"/>
    <xf numFmtId="0" fontId="0" fillId="2" borderId="0" xfId="0" applyFont="1" applyFill="1" applyAlignment="1"/>
    <xf numFmtId="0" fontId="3" fillId="2" borderId="0" xfId="0" applyFont="1" applyFill="1"/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/>
    <xf numFmtId="0" fontId="8" fillId="2" borderId="25" xfId="0" applyFont="1" applyFill="1" applyBorder="1" applyAlignment="1"/>
    <xf numFmtId="0" fontId="8" fillId="2" borderId="31" xfId="0" applyFont="1" applyFill="1" applyBorder="1" applyAlignment="1"/>
    <xf numFmtId="0" fontId="3" fillId="2" borderId="2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4" fontId="5" fillId="2" borderId="14" xfId="0" applyNumberFormat="1" applyFont="1" applyFill="1" applyBorder="1"/>
    <xf numFmtId="4" fontId="5" fillId="2" borderId="32" xfId="0" applyNumberFormat="1" applyFont="1" applyFill="1" applyBorder="1"/>
    <xf numFmtId="0" fontId="10" fillId="2" borderId="13" xfId="0" applyFont="1" applyFill="1" applyBorder="1" applyAlignment="1">
      <alignment vertical="center"/>
    </xf>
    <xf numFmtId="4" fontId="3" fillId="2" borderId="14" xfId="0" applyNumberFormat="1" applyFont="1" applyFill="1" applyBorder="1"/>
    <xf numFmtId="4" fontId="3" fillId="2" borderId="32" xfId="0" applyNumberFormat="1" applyFont="1" applyFill="1" applyBorder="1"/>
    <xf numFmtId="0" fontId="10" fillId="2" borderId="33" xfId="0" applyFont="1" applyFill="1" applyBorder="1" applyAlignment="1">
      <alignment vertical="center"/>
    </xf>
    <xf numFmtId="4" fontId="3" fillId="2" borderId="34" xfId="0" applyNumberFormat="1" applyFont="1" applyFill="1" applyBorder="1"/>
    <xf numFmtId="4" fontId="3" fillId="2" borderId="35" xfId="0" applyNumberFormat="1" applyFont="1" applyFill="1" applyBorder="1"/>
    <xf numFmtId="4" fontId="5" fillId="2" borderId="35" xfId="0" applyNumberFormat="1" applyFont="1" applyFill="1" applyBorder="1"/>
    <xf numFmtId="0" fontId="10" fillId="2" borderId="21" xfId="0" applyFont="1" applyFill="1" applyBorder="1" applyAlignment="1">
      <alignment vertical="center"/>
    </xf>
    <xf numFmtId="4" fontId="3" fillId="2" borderId="36" xfId="0" applyNumberFormat="1" applyFont="1" applyFill="1" applyBorder="1"/>
    <xf numFmtId="4" fontId="3" fillId="2" borderId="22" xfId="0" applyNumberFormat="1" applyFont="1" applyFill="1" applyBorder="1"/>
    <xf numFmtId="4" fontId="3" fillId="2" borderId="37" xfId="0" applyNumberFormat="1" applyFont="1" applyFill="1" applyBorder="1"/>
    <xf numFmtId="4" fontId="5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/>
    <xf numFmtId="43" fontId="0" fillId="2" borderId="0" xfId="1" applyFont="1" applyFill="1"/>
    <xf numFmtId="0" fontId="5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/>
    <xf numFmtId="0" fontId="3" fillId="2" borderId="0" xfId="0" applyFont="1" applyFill="1" applyBorder="1" applyAlignment="1">
      <alignment vertical="center"/>
    </xf>
    <xf numFmtId="0" fontId="12" fillId="2" borderId="0" xfId="0" applyFont="1" applyFill="1" applyAlignment="1"/>
    <xf numFmtId="0" fontId="13" fillId="2" borderId="38" xfId="0" applyFont="1" applyFill="1" applyBorder="1"/>
    <xf numFmtId="0" fontId="5" fillId="2" borderId="38" xfId="0" applyFont="1" applyFill="1" applyBorder="1" applyAlignment="1">
      <alignment wrapText="1"/>
    </xf>
    <xf numFmtId="9" fontId="5" fillId="2" borderId="0" xfId="2" applyFont="1" applyFill="1" applyBorder="1" applyAlignment="1">
      <alignment horizontal="right" wrapText="1"/>
    </xf>
    <xf numFmtId="0" fontId="3" fillId="0" borderId="38" xfId="0" applyFont="1" applyBorder="1" applyAlignment="1">
      <alignment wrapText="1"/>
    </xf>
    <xf numFmtId="9" fontId="5" fillId="0" borderId="0" xfId="2" applyFont="1" applyBorder="1" applyAlignment="1">
      <alignment horizontal="right" wrapText="1"/>
    </xf>
    <xf numFmtId="0" fontId="3" fillId="2" borderId="38" xfId="0" applyFont="1" applyFill="1" applyBorder="1" applyAlignment="1">
      <alignment wrapText="1"/>
    </xf>
    <xf numFmtId="0" fontId="13" fillId="2" borderId="0" xfId="0" applyFont="1" applyFill="1" applyBorder="1"/>
    <xf numFmtId="2" fontId="5" fillId="2" borderId="0" xfId="0" applyNumberFormat="1" applyFont="1" applyFill="1" applyBorder="1" applyAlignment="1">
      <alignment horizontal="right" wrapText="1"/>
    </xf>
    <xf numFmtId="0" fontId="5" fillId="2" borderId="38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12" fillId="2" borderId="0" xfId="0" applyFont="1" applyFill="1" applyAlignment="1">
      <alignment wrapText="1"/>
    </xf>
    <xf numFmtId="0" fontId="12" fillId="2" borderId="0" xfId="0" applyFont="1" applyFill="1" applyBorder="1"/>
    <xf numFmtId="0" fontId="0" fillId="2" borderId="0" xfId="0" applyFill="1" applyBorder="1" applyAlignme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164" fontId="5" fillId="0" borderId="0" xfId="2" applyNumberFormat="1" applyFont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5" xfId="1" applyNumberFormat="1" applyFont="1" applyFill="1" applyBorder="1" applyAlignment="1">
      <alignment horizontal="right" wrapText="1"/>
    </xf>
    <xf numFmtId="165" fontId="0" fillId="0" borderId="0" xfId="1" applyNumberFormat="1" applyFont="1"/>
    <xf numFmtId="165" fontId="5" fillId="2" borderId="7" xfId="1" applyNumberFormat="1" applyFont="1" applyFill="1" applyBorder="1" applyAlignment="1">
      <alignment horizontal="right" wrapText="1"/>
    </xf>
    <xf numFmtId="0" fontId="16" fillId="2" borderId="0" xfId="0" applyFont="1" applyFill="1"/>
    <xf numFmtId="6" fontId="0" fillId="2" borderId="0" xfId="0" applyNumberFormat="1" applyFill="1"/>
    <xf numFmtId="165" fontId="5" fillId="4" borderId="0" xfId="1" applyNumberFormat="1" applyFont="1" applyFill="1" applyBorder="1" applyAlignment="1">
      <alignment horizontal="right" wrapText="1"/>
    </xf>
    <xf numFmtId="165" fontId="5" fillId="4" borderId="5" xfId="1" applyNumberFormat="1" applyFont="1" applyFill="1" applyBorder="1" applyAlignment="1">
      <alignment horizontal="right" wrapText="1"/>
    </xf>
    <xf numFmtId="165" fontId="5" fillId="4" borderId="7" xfId="1" applyNumberFormat="1" applyFont="1" applyFill="1" applyBorder="1" applyAlignment="1">
      <alignment horizontal="right" wrapText="1"/>
    </xf>
    <xf numFmtId="0" fontId="0" fillId="4" borderId="0" xfId="0" applyFill="1" applyAlignment="1"/>
    <xf numFmtId="0" fontId="0" fillId="2" borderId="0" xfId="0" applyFill="1" applyAlignment="1">
      <alignment vertical="top"/>
    </xf>
    <xf numFmtId="9" fontId="0" fillId="2" borderId="6" xfId="0" applyNumberFormat="1" applyFill="1" applyBorder="1"/>
    <xf numFmtId="164" fontId="0" fillId="2" borderId="6" xfId="0" applyNumberFormat="1" applyFill="1" applyBorder="1"/>
    <xf numFmtId="0" fontId="2" fillId="2" borderId="0" xfId="0" applyFont="1" applyFill="1"/>
    <xf numFmtId="0" fontId="19" fillId="2" borderId="0" xfId="0" applyFont="1" applyFill="1"/>
    <xf numFmtId="165" fontId="2" fillId="2" borderId="0" xfId="1" applyNumberFormat="1" applyFont="1" applyFill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ont="1" applyFill="1" applyBorder="1" applyAlignment="1"/>
    <xf numFmtId="9" fontId="0" fillId="2" borderId="44" xfId="2" applyFont="1" applyFill="1" applyBorder="1" applyAlignment="1">
      <alignment horizontal="center"/>
    </xf>
    <xf numFmtId="9" fontId="0" fillId="2" borderId="45" xfId="2" applyFont="1" applyFill="1" applyBorder="1" applyAlignment="1">
      <alignment horizontal="center"/>
    </xf>
    <xf numFmtId="0" fontId="17" fillId="2" borderId="42" xfId="0" applyFont="1" applyFill="1" applyBorder="1" applyAlignment="1">
      <alignment horizontal="left"/>
    </xf>
    <xf numFmtId="0" fontId="17" fillId="2" borderId="5" xfId="0" applyFont="1" applyFill="1" applyBorder="1" applyAlignment="1">
      <alignment horizontal="left"/>
    </xf>
    <xf numFmtId="0" fontId="17" fillId="2" borderId="43" xfId="0" applyFont="1" applyFill="1" applyBorder="1" applyAlignment="1">
      <alignment horizontal="left"/>
    </xf>
    <xf numFmtId="0" fontId="17" fillId="2" borderId="6" xfId="0" applyFont="1" applyFill="1" applyBorder="1" applyAlignment="1">
      <alignment horizontal="left"/>
    </xf>
    <xf numFmtId="1" fontId="0" fillId="2" borderId="44" xfId="0" applyNumberFormat="1" applyFill="1" applyBorder="1" applyAlignment="1">
      <alignment horizontal="center"/>
    </xf>
    <xf numFmtId="1" fontId="0" fillId="2" borderId="45" xfId="0" applyNumberFormat="1" applyFill="1" applyBorder="1" applyAlignment="1">
      <alignment horizontal="center"/>
    </xf>
    <xf numFmtId="0" fontId="2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8" fillId="3" borderId="0" xfId="0" applyFont="1" applyFill="1" applyAlignment="1">
      <alignment horizontal="center"/>
    </xf>
    <xf numFmtId="6" fontId="0" fillId="2" borderId="6" xfId="0" applyNumberFormat="1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8" fontId="0" fillId="2" borderId="6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6" fontId="0" fillId="2" borderId="6" xfId="0" applyNumberFormat="1" applyFill="1" applyBorder="1" applyAlignment="1">
      <alignment horizontal="right"/>
    </xf>
    <xf numFmtId="2" fontId="0" fillId="2" borderId="44" xfId="0" applyNumberFormat="1" applyFill="1" applyBorder="1" applyAlignment="1">
      <alignment horizontal="center"/>
    </xf>
    <xf numFmtId="2" fontId="0" fillId="2" borderId="45" xfId="0" applyNumberFormat="1" applyFill="1" applyBorder="1" applyAlignment="1">
      <alignment horizontal="center"/>
    </xf>
    <xf numFmtId="0" fontId="15" fillId="3" borderId="0" xfId="0" applyFont="1" applyFill="1" applyAlignment="1">
      <alignment horizontal="center" vertical="center"/>
    </xf>
    <xf numFmtId="0" fontId="14" fillId="3" borderId="39" xfId="0" applyFont="1" applyFill="1" applyBorder="1" applyAlignment="1">
      <alignment horizontal="center" wrapText="1"/>
    </xf>
    <xf numFmtId="0" fontId="14" fillId="3" borderId="40" xfId="0" applyFont="1" applyFill="1" applyBorder="1" applyAlignment="1">
      <alignment horizontal="center" wrapText="1"/>
    </xf>
    <xf numFmtId="0" fontId="14" fillId="3" borderId="41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Cashflow (9.6% discount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1st Scenario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FB5A-4533-B69E-7EA180DDD46F}"/>
              </c:ext>
            </c:extLst>
          </c:dPt>
          <c:cat>
            <c:numRef>
              <c:f>'1st Scenario'!$G$27:$N$27</c:f>
              <c:numCache>
                <c:formatCode>General</c:formatCode>
                <c:ptCount val="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</c:numCache>
            </c:numRef>
          </c:cat>
          <c:val>
            <c:numRef>
              <c:f>'1st Scenario'!$G$28:$N$28</c:f>
              <c:numCache>
                <c:formatCode>_(* #,##0_);_(* \(#,##0\);_(* "-"??_);_(@_)</c:formatCode>
                <c:ptCount val="8"/>
                <c:pt idx="0">
                  <c:v>-1230975</c:v>
                </c:pt>
                <c:pt idx="1">
                  <c:v>-5154874</c:v>
                </c:pt>
                <c:pt idx="2">
                  <c:v>-4352556.926</c:v>
                </c:pt>
                <c:pt idx="3">
                  <c:v>-3353791.4199599996</c:v>
                </c:pt>
                <c:pt idx="4">
                  <c:v>-2138456.1021831986</c:v>
                </c:pt>
                <c:pt idx="5">
                  <c:v>8516.0757267386653</c:v>
                </c:pt>
                <c:pt idx="6">
                  <c:v>2649543.1883502346</c:v>
                </c:pt>
                <c:pt idx="7">
                  <c:v>5580463.9334970973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A-4533-B69E-7EA180DDD46F}"/>
            </c:ext>
          </c:extLst>
        </c:ser>
        <c:ser>
          <c:idx val="1"/>
          <c:order val="1"/>
          <c:tx>
            <c:v>2nd Scenario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'1st Scenario'!$G$27:$N$27</c:f>
              <c:numCache>
                <c:formatCode>General</c:formatCode>
                <c:ptCount val="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</c:numCache>
            </c:numRef>
          </c:cat>
          <c:val>
            <c:numRef>
              <c:f>'1st Scenario'!$G$29:$N$29</c:f>
              <c:numCache>
                <c:formatCode>_(* #,##0_);_(* \(#,##0\);_(* "-"??_);_(@_)</c:formatCode>
                <c:ptCount val="8"/>
                <c:pt idx="0">
                  <c:v>-2941187.8</c:v>
                </c:pt>
                <c:pt idx="1">
                  <c:v>-6189468.54</c:v>
                </c:pt>
                <c:pt idx="2">
                  <c:v>-7191195.2369999997</c:v>
                </c:pt>
                <c:pt idx="3">
                  <c:v>-7907866.4084700001</c:v>
                </c:pt>
                <c:pt idx="4">
                  <c:v>-8295174.9819789007</c:v>
                </c:pt>
                <c:pt idx="5">
                  <c:v>-7609211.8493589051</c:v>
                </c:pt>
                <c:pt idx="6">
                  <c:v>-5791314.691847574</c:v>
                </c:pt>
                <c:pt idx="7">
                  <c:v>-3466912.4666112396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A-4533-B69E-7EA180DDD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775919"/>
        <c:axId val="1657808703"/>
      </c:lineChart>
      <c:dateAx>
        <c:axId val="164577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08703"/>
        <c:crossesAt val="-10000000"/>
        <c:auto val="0"/>
        <c:lblOffset val="100"/>
        <c:baseTimeUnit val="days"/>
      </c:dateAx>
      <c:valAx>
        <c:axId val="165780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579119</xdr:colOff>
      <xdr:row>1</xdr:row>
      <xdr:rowOff>0</xdr:rowOff>
    </xdr:from>
    <xdr:to>
      <xdr:col>19</xdr:col>
      <xdr:colOff>281941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FF9CC-612A-4A2D-9BC0-5BE5E22C8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0.15419</cdr:x>
      <cdr:y>0.54447</cdr:y>
    </cdr:from>
    <cdr:to>
      <cdr:x>0.98238</cdr:x>
      <cdr:y>0.54447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B78929B-1CDB-4327-B5A5-0DBD300BE7CF}"/>
            </a:ext>
          </a:extLst>
        </cdr:cNvPr>
        <cdr:cNvCxnSpPr/>
      </cdr:nvCxnSpPr>
      <cdr:spPr>
        <a:xfrm xmlns:a="http://schemas.openxmlformats.org/drawingml/2006/main" flipV="1">
          <a:off x="800101" y="1539240"/>
          <a:ext cx="429768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2060"/>
  </sheetPr>
  <dimension ref="B2:P33"/>
  <sheetViews>
    <sheetView tabSelected="1" workbookViewId="0"/>
  </sheetViews>
  <sheetFormatPr defaultRowHeight="14.4"/>
  <cols>
    <col min="1" max="1" width="2.44140625" style="1" customWidth="1"/>
    <col min="2" max="7" width="8.88671875" style="1"/>
    <col min="8" max="8" width="11.88671875" style="1" bestFit="1" customWidth="1"/>
    <col min="9" max="9" width="13.109375" style="1" bestFit="1" customWidth="1"/>
    <col min="10" max="16384" width="8.88671875" style="1"/>
  </cols>
  <sheetData>
    <row r="2" spans="2:10">
      <c r="B2" s="132" t="s">
        <v>157</v>
      </c>
      <c r="C2" s="132"/>
      <c r="D2" s="132"/>
      <c r="E2" s="132"/>
      <c r="F2" s="132"/>
      <c r="H2" s="137" t="s">
        <v>165</v>
      </c>
      <c r="I2" s="137"/>
      <c r="J2" s="137"/>
    </row>
    <row r="3" spans="2:10">
      <c r="B3" s="132"/>
      <c r="C3" s="132"/>
      <c r="D3" s="132"/>
      <c r="E3" s="132"/>
      <c r="F3" s="132"/>
      <c r="H3" s="114" t="s">
        <v>144</v>
      </c>
      <c r="I3" s="136" t="s">
        <v>158</v>
      </c>
      <c r="J3" s="136"/>
    </row>
    <row r="4" spans="2:10">
      <c r="B4" s="127" t="s">
        <v>158</v>
      </c>
      <c r="C4" s="127"/>
      <c r="D4" s="127"/>
      <c r="E4" s="133">
        <f>NPV(Assumptions!B16,'1st Scenario'!E13:J13)+'1st Scenario'!C13+'1st Scenario'!D13</f>
        <v>2180701.1570765339</v>
      </c>
      <c r="F4" s="133"/>
      <c r="H4" s="115">
        <v>7.0000000000000007E-2</v>
      </c>
      <c r="I4" s="138">
        <f>NPV(H4,'1st Scenario'!$E$13:$J$13)+'1st Scenario'!$C$13+'1st Scenario'!$D$13</f>
        <v>2933318.0271919547</v>
      </c>
      <c r="J4" s="138"/>
    </row>
    <row r="5" spans="2:10">
      <c r="B5" s="127" t="s">
        <v>159</v>
      </c>
      <c r="C5" s="127"/>
      <c r="D5" s="127"/>
      <c r="E5" s="134">
        <f>IRR('1st Scenario'!C13:J13)</f>
        <v>0.18573380968774655</v>
      </c>
      <c r="F5" s="135"/>
      <c r="H5" s="115">
        <v>0.08</v>
      </c>
      <c r="I5" s="138">
        <f>NPV(H5,'1st Scenario'!$E$13:$J$13)+'1st Scenario'!$C$13+'1st Scenario'!$D$13</f>
        <v>2631569.5312802866</v>
      </c>
      <c r="J5" s="138"/>
    </row>
    <row r="6" spans="2:10">
      <c r="B6" s="124" t="s">
        <v>160</v>
      </c>
      <c r="C6" s="125"/>
      <c r="D6" s="126"/>
      <c r="E6" s="122">
        <f>-SUM('1st Scenario'!E13:J13)/SUM('1st Scenario'!C13:D13)</f>
        <v>2.082560685963827</v>
      </c>
      <c r="F6" s="123"/>
      <c r="H6" s="115">
        <v>9.6000000000000002E-2</v>
      </c>
      <c r="I6" s="138">
        <f>NPV(H6,'1st Scenario'!$E$13:$J$13)+'1st Scenario'!$C$13+'1st Scenario'!$D$13</f>
        <v>2180701.1570765339</v>
      </c>
      <c r="J6" s="138"/>
    </row>
    <row r="7" spans="2:10">
      <c r="B7" s="127" t="s">
        <v>161</v>
      </c>
      <c r="C7" s="127"/>
      <c r="D7" s="127"/>
      <c r="E7" s="128">
        <f>2029+ABS('1st Scenario'!G14/'1st Scenario'!H13)</f>
        <v>2029.9960334484936</v>
      </c>
      <c r="F7" s="129"/>
      <c r="H7" s="115">
        <v>0.11</v>
      </c>
      <c r="I7" s="138">
        <f>NPV(H7,'1st Scenario'!$E$13:$J$13)+'1st Scenario'!$C$13+'1st Scenario'!$D$13</f>
        <v>1815785.4141134396</v>
      </c>
      <c r="J7" s="138"/>
    </row>
    <row r="8" spans="2:10">
      <c r="H8" s="20"/>
      <c r="I8" s="20"/>
      <c r="J8" s="20"/>
    </row>
    <row r="11" spans="2:10">
      <c r="B11" s="132" t="s">
        <v>162</v>
      </c>
      <c r="C11" s="132"/>
      <c r="D11" s="132"/>
      <c r="E11" s="132"/>
      <c r="F11" s="132"/>
      <c r="H11" s="137" t="s">
        <v>165</v>
      </c>
      <c r="I11" s="137"/>
      <c r="J11" s="137"/>
    </row>
    <row r="12" spans="2:10">
      <c r="B12" s="132"/>
      <c r="C12" s="132"/>
      <c r="D12" s="132"/>
      <c r="E12" s="132"/>
      <c r="F12" s="132"/>
      <c r="H12" s="114" t="s">
        <v>144</v>
      </c>
      <c r="I12" s="136" t="s">
        <v>158</v>
      </c>
      <c r="J12" s="136"/>
    </row>
    <row r="13" spans="2:10">
      <c r="B13" s="127" t="s">
        <v>158</v>
      </c>
      <c r="C13" s="127"/>
      <c r="D13" s="127"/>
      <c r="E13" s="133">
        <f>NPV(H15,'2nd Scenario'!C13:J13)</f>
        <v>-4421051.6247104136</v>
      </c>
      <c r="F13" s="133"/>
      <c r="H13" s="115">
        <v>7.0000000000000007E-2</v>
      </c>
      <c r="I13" s="138">
        <f>NPV(H13,'2nd Scenario'!$C$13:$J$13)</f>
        <v>-4284541.4422822557</v>
      </c>
      <c r="J13" s="138"/>
    </row>
    <row r="14" spans="2:10">
      <c r="B14" s="127" t="s">
        <v>159</v>
      </c>
      <c r="C14" s="127"/>
      <c r="D14" s="127"/>
      <c r="E14" s="134">
        <f>IRR('2nd Scenario'!C13:J13)</f>
        <v>-9.8488727760970174E-2</v>
      </c>
      <c r="F14" s="135"/>
      <c r="H14" s="115">
        <v>0.08</v>
      </c>
      <c r="I14" s="138">
        <f>NPV(H14,'2nd Scenario'!$C$13:$J$13)</f>
        <v>-4344971.7166299587</v>
      </c>
      <c r="J14" s="138"/>
    </row>
    <row r="15" spans="2:10">
      <c r="B15" s="124" t="s">
        <v>160</v>
      </c>
      <c r="C15" s="125"/>
      <c r="D15" s="126"/>
      <c r="E15" s="122">
        <f>SUM('2nd Scenario'!H13:J13)/SUM(Investment!F9)</f>
        <v>0.80471041922794373</v>
      </c>
      <c r="F15" s="123"/>
      <c r="H15" s="115">
        <v>9.6000000000000002E-2</v>
      </c>
      <c r="I15" s="138">
        <f>NPV(H15,'2nd Scenario'!$C$13:$J$13)</f>
        <v>-4421051.6247104136</v>
      </c>
      <c r="J15" s="138"/>
    </row>
    <row r="16" spans="2:10">
      <c r="B16" s="127" t="s">
        <v>161</v>
      </c>
      <c r="C16" s="127"/>
      <c r="D16" s="127"/>
      <c r="E16" s="139">
        <f>2033+ABS('2nd Scenario'!K14/'2nd Scenario'!L13)</f>
        <v>2033.1558752581939</v>
      </c>
      <c r="F16" s="140"/>
      <c r="H16" s="115">
        <v>0.11</v>
      </c>
      <c r="I16" s="138">
        <f>NPV(H16,'2nd Scenario'!$C$13:$J$13)</f>
        <v>-4469523.3979202183</v>
      </c>
      <c r="J16" s="138"/>
    </row>
    <row r="20" spans="2:16">
      <c r="B20" s="130" t="s">
        <v>166</v>
      </c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</row>
    <row r="21" spans="2:16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</row>
    <row r="22" spans="2:16"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</row>
    <row r="23" spans="2:16"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</row>
    <row r="24" spans="2:16"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</row>
    <row r="25" spans="2:16"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</row>
    <row r="26" spans="2:16"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</row>
    <row r="27" spans="2:16"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</row>
    <row r="28" spans="2:16"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</row>
    <row r="29" spans="2:16"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2:16"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</row>
    <row r="31" spans="2:16"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</row>
    <row r="32" spans="2:16"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</row>
    <row r="33" spans="2:16"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</row>
  </sheetData>
  <mergeCells count="31">
    <mergeCell ref="E16:F16"/>
    <mergeCell ref="B15:D15"/>
    <mergeCell ref="E15:F15"/>
    <mergeCell ref="H2:J2"/>
    <mergeCell ref="H11:J11"/>
    <mergeCell ref="I3:J3"/>
    <mergeCell ref="I4:J4"/>
    <mergeCell ref="I5:J5"/>
    <mergeCell ref="I6:J6"/>
    <mergeCell ref="I7:J7"/>
    <mergeCell ref="B2:F3"/>
    <mergeCell ref="B4:D4"/>
    <mergeCell ref="B5:D5"/>
    <mergeCell ref="E4:F4"/>
    <mergeCell ref="E5:F5"/>
    <mergeCell ref="E6:F6"/>
    <mergeCell ref="B6:D6"/>
    <mergeCell ref="B7:D7"/>
    <mergeCell ref="E7:F7"/>
    <mergeCell ref="B20:P33"/>
    <mergeCell ref="I12:J12"/>
    <mergeCell ref="B11:F12"/>
    <mergeCell ref="B13:D13"/>
    <mergeCell ref="E13:F13"/>
    <mergeCell ref="B14:D14"/>
    <mergeCell ref="E14:F14"/>
    <mergeCell ref="I13:J13"/>
    <mergeCell ref="I14:J14"/>
    <mergeCell ref="I15:J15"/>
    <mergeCell ref="I16:J16"/>
    <mergeCell ref="B16:D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24AB-B7EA-4317-8AA0-89D626508700}">
  <sheetPr>
    <tabColor rgb="FF002060"/>
  </sheetPr>
  <dimension ref="B2:J27"/>
  <sheetViews>
    <sheetView workbookViewId="0"/>
  </sheetViews>
  <sheetFormatPr defaultRowHeight="14.4"/>
  <cols>
    <col min="1" max="1" width="2.88671875" style="1" customWidth="1"/>
    <col min="2" max="2" width="37.109375" style="1" bestFit="1" customWidth="1"/>
    <col min="3" max="3" width="13.88671875" style="1" bestFit="1" customWidth="1"/>
    <col min="4" max="4" width="13.33203125" style="1" bestFit="1" customWidth="1"/>
    <col min="5" max="5" width="11.5546875" style="1" bestFit="1" customWidth="1"/>
    <col min="6" max="6" width="13.6640625" style="1" bestFit="1" customWidth="1"/>
    <col min="7" max="7" width="16" style="1" bestFit="1" customWidth="1"/>
    <col min="8" max="16384" width="8.88671875" style="1"/>
  </cols>
  <sheetData>
    <row r="2" spans="2:10">
      <c r="B2" s="141" t="s">
        <v>142</v>
      </c>
      <c r="C2" s="141"/>
      <c r="D2" s="141"/>
      <c r="E2" s="141"/>
      <c r="F2" s="141"/>
      <c r="G2" s="141"/>
    </row>
    <row r="3" spans="2:10">
      <c r="B3" s="141"/>
      <c r="C3" s="141"/>
      <c r="D3" s="141"/>
      <c r="E3" s="141"/>
      <c r="F3" s="141"/>
      <c r="G3" s="141"/>
    </row>
    <row r="4" spans="2:10">
      <c r="B4" s="93"/>
    </row>
    <row r="5" spans="2:10">
      <c r="B5" s="87" t="s">
        <v>10</v>
      </c>
    </row>
    <row r="6" spans="2:10">
      <c r="B6" s="79" t="s">
        <v>129</v>
      </c>
    </row>
    <row r="7" spans="2:10">
      <c r="B7" s="80" t="s">
        <v>130</v>
      </c>
    </row>
    <row r="8" spans="2:10">
      <c r="B8" s="20"/>
      <c r="C8" s="20"/>
    </row>
    <row r="9" spans="2:10" ht="27">
      <c r="B9" s="88" t="s">
        <v>154</v>
      </c>
      <c r="C9" s="20"/>
    </row>
    <row r="10" spans="2:10">
      <c r="B10" s="89">
        <f>'Income Statement'!E18/'Income Statement'!E6</f>
        <v>0.11855774497797363</v>
      </c>
      <c r="C10" s="20"/>
    </row>
    <row r="11" spans="2:10">
      <c r="B11" s="20"/>
      <c r="C11" s="20"/>
    </row>
    <row r="12" spans="2:10" ht="14.4" customHeight="1">
      <c r="B12" s="90" t="s">
        <v>143</v>
      </c>
      <c r="C12" s="20"/>
      <c r="D12" s="101" t="s">
        <v>155</v>
      </c>
      <c r="E12" s="100"/>
      <c r="F12" s="100"/>
      <c r="G12" s="100"/>
      <c r="H12" s="100"/>
      <c r="I12" s="100"/>
      <c r="J12" s="100"/>
    </row>
    <row r="13" spans="2:10">
      <c r="B13" s="91">
        <v>0.02</v>
      </c>
      <c r="D13" s="100"/>
      <c r="E13" s="100"/>
      <c r="F13" s="100"/>
      <c r="G13" s="100"/>
      <c r="H13" s="100"/>
      <c r="I13" s="100"/>
      <c r="J13" s="100"/>
    </row>
    <row r="14" spans="2:10">
      <c r="B14" s="20"/>
    </row>
    <row r="15" spans="2:10">
      <c r="B15" s="92" t="s">
        <v>144</v>
      </c>
      <c r="D15" s="1" t="s">
        <v>167</v>
      </c>
    </row>
    <row r="16" spans="2:10">
      <c r="B16" s="102">
        <v>9.6000000000000002E-2</v>
      </c>
    </row>
    <row r="18" spans="2:9">
      <c r="B18" s="92" t="s">
        <v>145</v>
      </c>
      <c r="D18" s="113" t="s">
        <v>146</v>
      </c>
      <c r="E18" s="113"/>
      <c r="F18" s="113"/>
      <c r="G18" s="113"/>
      <c r="H18" s="113"/>
      <c r="I18" s="113"/>
    </row>
    <row r="19" spans="2:9">
      <c r="B19" s="7">
        <f>G25</f>
        <v>28627</v>
      </c>
      <c r="D19" s="113" t="s">
        <v>164</v>
      </c>
      <c r="E19" s="113"/>
      <c r="F19" s="113"/>
      <c r="G19" s="113"/>
      <c r="H19" s="113"/>
      <c r="I19" s="113"/>
    </row>
    <row r="21" spans="2:9" ht="15" thickBot="1"/>
    <row r="22" spans="2:9">
      <c r="B22" s="142" t="s">
        <v>147</v>
      </c>
      <c r="C22" s="143"/>
      <c r="D22" s="143"/>
      <c r="E22" s="143"/>
      <c r="F22" s="143"/>
      <c r="G22" s="144"/>
    </row>
    <row r="23" spans="2:9">
      <c r="B23" s="92" t="s">
        <v>0</v>
      </c>
      <c r="C23" s="95" t="s">
        <v>148</v>
      </c>
      <c r="D23" s="95" t="s">
        <v>149</v>
      </c>
      <c r="E23" s="95" t="s">
        <v>150</v>
      </c>
      <c r="F23" s="95" t="s">
        <v>151</v>
      </c>
      <c r="G23" s="95" t="s">
        <v>152</v>
      </c>
    </row>
    <row r="24" spans="2:9">
      <c r="B24" s="7">
        <v>2023</v>
      </c>
      <c r="C24" s="7">
        <v>9</v>
      </c>
      <c r="D24" s="7">
        <v>33</v>
      </c>
      <c r="E24" s="8">
        <f>'Income Statement'!D22</f>
        <v>499967</v>
      </c>
      <c r="F24" s="7">
        <f>AVERAGE(C24:D24)</f>
        <v>21</v>
      </c>
      <c r="G24" s="7">
        <v>23588</v>
      </c>
    </row>
    <row r="25" spans="2:9">
      <c r="B25" s="7">
        <v>2024</v>
      </c>
      <c r="C25" s="7">
        <v>36</v>
      </c>
      <c r="D25" s="7">
        <v>60</v>
      </c>
      <c r="E25" s="8">
        <f>'Income Statement'!E22</f>
        <v>1368507</v>
      </c>
      <c r="F25" s="7">
        <f>AVERAGE(C25:D25)</f>
        <v>48</v>
      </c>
      <c r="G25" s="7">
        <v>28627</v>
      </c>
    </row>
    <row r="26" spans="2:9">
      <c r="B26" s="92" t="s">
        <v>153</v>
      </c>
      <c r="C26" s="82"/>
      <c r="D26" s="82"/>
      <c r="E26" s="82"/>
      <c r="F26" s="82"/>
      <c r="G26" s="82"/>
    </row>
    <row r="27" spans="2:9">
      <c r="B27" s="94">
        <f>(60-9)/23</f>
        <v>2.2173913043478262</v>
      </c>
      <c r="C27" s="82"/>
      <c r="D27" s="82"/>
      <c r="E27" s="82"/>
      <c r="F27" s="82"/>
      <c r="G27" s="82"/>
    </row>
  </sheetData>
  <mergeCells count="2">
    <mergeCell ref="B2:G3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E667-92F9-416C-B15B-403AF16C8D6D}">
  <sheetPr>
    <tabColor rgb="FF002060"/>
  </sheetPr>
  <dimension ref="B2:T77"/>
  <sheetViews>
    <sheetView workbookViewId="0"/>
  </sheetViews>
  <sheetFormatPr defaultRowHeight="14.4"/>
  <cols>
    <col min="1" max="1" width="2.88671875" style="1" customWidth="1"/>
    <col min="2" max="2" width="36.88671875" style="2" bestFit="1" customWidth="1"/>
    <col min="3" max="3" width="14.33203125" style="1" customWidth="1"/>
    <col min="4" max="6" width="11" style="1" bestFit="1" customWidth="1"/>
    <col min="7" max="12" width="13.21875" style="1" bestFit="1" customWidth="1"/>
    <col min="13" max="13" width="14.33203125" style="1" bestFit="1" customWidth="1"/>
    <col min="14" max="14" width="13.21875" style="1" bestFit="1" customWidth="1"/>
    <col min="15" max="16384" width="8.88671875" style="1"/>
  </cols>
  <sheetData>
    <row r="2" spans="2:15">
      <c r="B2" s="12" t="s">
        <v>0</v>
      </c>
      <c r="C2" s="12">
        <v>2025</v>
      </c>
      <c r="D2" s="12">
        <v>2026</v>
      </c>
      <c r="E2" s="12">
        <v>2027</v>
      </c>
      <c r="F2" s="12">
        <v>2028</v>
      </c>
      <c r="G2" s="12">
        <v>2029</v>
      </c>
      <c r="H2" s="12">
        <v>2030</v>
      </c>
      <c r="I2" s="12">
        <v>2031</v>
      </c>
      <c r="J2" s="12">
        <v>2032</v>
      </c>
    </row>
    <row r="3" spans="2:15">
      <c r="B3" s="6" t="s">
        <v>1</v>
      </c>
      <c r="C3" s="103"/>
      <c r="D3" s="103"/>
      <c r="E3" s="103">
        <f>'Income Statement'!E6 * ((1 + Assumptions!B13)^2) * 0.5</f>
        <v>2296294.9308000002</v>
      </c>
      <c r="F3" s="103">
        <f>E3*1.1</f>
        <v>2525924.4238800006</v>
      </c>
      <c r="G3" s="103">
        <f t="shared" ref="G3:J3" si="0">F3*1.1</f>
        <v>2778516.866268001</v>
      </c>
      <c r="H3" s="103">
        <f t="shared" si="0"/>
        <v>3056368.5528948014</v>
      </c>
      <c r="I3" s="103">
        <f t="shared" si="0"/>
        <v>3362005.4081842816</v>
      </c>
      <c r="J3" s="103">
        <f t="shared" si="0"/>
        <v>3698205.9490027102</v>
      </c>
      <c r="M3" s="108"/>
    </row>
    <row r="4" spans="2:15">
      <c r="B4" s="6" t="s">
        <v>2</v>
      </c>
      <c r="C4" s="103">
        <v>0</v>
      </c>
      <c r="D4" s="103">
        <v>0</v>
      </c>
      <c r="E4" s="103">
        <f>-E3*Assumptions!$B$10</f>
        <v>-272243.54879999999</v>
      </c>
      <c r="F4" s="103">
        <f>-F3*Assumptions!$B$10</f>
        <v>-299467.90368000005</v>
      </c>
      <c r="G4" s="103">
        <f>-G3*Assumptions!$B$10</f>
        <v>-329414.69404800009</v>
      </c>
      <c r="H4" s="103">
        <f>-H3*Assumptions!$B$10</f>
        <v>-362356.16345280013</v>
      </c>
      <c r="I4" s="103">
        <f>-I3*Assumptions!$B$10</f>
        <v>-398591.77979808016</v>
      </c>
      <c r="J4" s="103">
        <f>-J3*Assumptions!$B$10</f>
        <v>-438450.95777788822</v>
      </c>
      <c r="K4" s="81"/>
      <c r="L4" s="81"/>
    </row>
    <row r="5" spans="2:15">
      <c r="B5" s="6" t="s">
        <v>3</v>
      </c>
      <c r="C5" s="103">
        <v>-56000</v>
      </c>
      <c r="D5" s="103">
        <v>-84000</v>
      </c>
      <c r="E5" s="103">
        <f>-10*Assumptions!B19*((1+Assumptions!B13)^2)</f>
        <v>-297835.30800000002</v>
      </c>
      <c r="F5" s="103">
        <f>E5*(1+Assumptions!$B$13)</f>
        <v>-303792.01416000002</v>
      </c>
      <c r="G5" s="103">
        <f>F5*(1+Assumptions!$B$13)</f>
        <v>-309867.85444320005</v>
      </c>
      <c r="H5" s="103">
        <f>G5*(1+Assumptions!$B$13)</f>
        <v>-316065.21153206407</v>
      </c>
      <c r="I5" s="103">
        <f>H5*(1+Assumptions!$B$13)</f>
        <v>-322386.51576270536</v>
      </c>
      <c r="J5" s="103">
        <f>I5*(1+Assumptions!$B$13)</f>
        <v>-328834.24607795948</v>
      </c>
      <c r="K5" s="81"/>
      <c r="L5" s="81"/>
    </row>
    <row r="6" spans="2:15">
      <c r="B6" s="9" t="s">
        <v>5</v>
      </c>
      <c r="C6" s="103">
        <v>-500000</v>
      </c>
      <c r="D6" s="103">
        <v>-250000</v>
      </c>
      <c r="E6" s="103">
        <v>0</v>
      </c>
      <c r="F6" s="103">
        <v>0</v>
      </c>
      <c r="G6" s="103">
        <v>0</v>
      </c>
      <c r="H6" s="103">
        <v>0</v>
      </c>
      <c r="I6" s="103">
        <v>0</v>
      </c>
      <c r="J6" s="103">
        <v>0</v>
      </c>
      <c r="K6" s="81"/>
      <c r="L6" s="81"/>
    </row>
    <row r="7" spans="2:15">
      <c r="B7" s="10" t="s">
        <v>6</v>
      </c>
      <c r="C7" s="104">
        <f t="shared" ref="C7:J7" si="1">SUM(C3:C6)</f>
        <v>-556000</v>
      </c>
      <c r="D7" s="104">
        <f t="shared" si="1"/>
        <v>-334000</v>
      </c>
      <c r="E7" s="104">
        <f t="shared" si="1"/>
        <v>1726216.0740000003</v>
      </c>
      <c r="F7" s="104">
        <f t="shared" si="1"/>
        <v>1922664.5060400006</v>
      </c>
      <c r="G7" s="104">
        <f t="shared" si="1"/>
        <v>2139234.3177768011</v>
      </c>
      <c r="H7" s="104">
        <f t="shared" si="1"/>
        <v>2377947.1779099372</v>
      </c>
      <c r="I7" s="104">
        <f t="shared" si="1"/>
        <v>2641027.112623496</v>
      </c>
      <c r="J7" s="104">
        <f t="shared" si="1"/>
        <v>2930920.7451468627</v>
      </c>
      <c r="K7" s="81"/>
      <c r="L7" s="81"/>
    </row>
    <row r="8" spans="2:15">
      <c r="B8" s="6" t="s">
        <v>7</v>
      </c>
      <c r="C8" s="103">
        <v>-444000</v>
      </c>
      <c r="D8" s="103">
        <v>-666000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81"/>
      <c r="L8" s="81"/>
    </row>
    <row r="9" spans="2:15">
      <c r="B9" s="6" t="s">
        <v>8</v>
      </c>
      <c r="C9" s="103">
        <v>0</v>
      </c>
      <c r="D9" s="103">
        <v>-2000000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81"/>
      <c r="L9" s="81"/>
    </row>
    <row r="10" spans="2:15">
      <c r="B10" s="10" t="s">
        <v>9</v>
      </c>
      <c r="C10" s="104">
        <f>SUM(C8:C9)</f>
        <v>-444000</v>
      </c>
      <c r="D10" s="104">
        <f t="shared" ref="D10:J10" si="2">SUM(D8:D9)</f>
        <v>-2666000</v>
      </c>
      <c r="E10" s="104">
        <f t="shared" si="2"/>
        <v>0</v>
      </c>
      <c r="F10" s="104">
        <f t="shared" si="2"/>
        <v>0</v>
      </c>
      <c r="G10" s="104">
        <f t="shared" si="2"/>
        <v>0</v>
      </c>
      <c r="H10" s="104">
        <f t="shared" si="2"/>
        <v>0</v>
      </c>
      <c r="I10" s="104">
        <f t="shared" si="2"/>
        <v>0</v>
      </c>
      <c r="J10" s="104">
        <f t="shared" si="2"/>
        <v>0</v>
      </c>
      <c r="K10" s="81"/>
      <c r="L10" s="81"/>
    </row>
    <row r="11" spans="2:15">
      <c r="B11" s="6" t="s">
        <v>10</v>
      </c>
      <c r="C11" s="105">
        <v>-230975</v>
      </c>
      <c r="D11" s="103">
        <v>-923899</v>
      </c>
      <c r="E11" s="103">
        <v>-923899</v>
      </c>
      <c r="F11" s="103">
        <v>-923899</v>
      </c>
      <c r="G11" s="103">
        <v>-923899</v>
      </c>
      <c r="H11" s="105">
        <v>-230975</v>
      </c>
      <c r="I11" s="103">
        <v>0</v>
      </c>
      <c r="J11" s="103">
        <v>0</v>
      </c>
      <c r="K11" s="81"/>
      <c r="L11" s="81"/>
    </row>
    <row r="12" spans="2:15">
      <c r="B12" s="10" t="s">
        <v>11</v>
      </c>
      <c r="C12" s="104">
        <f>SUM(C11)</f>
        <v>-230975</v>
      </c>
      <c r="D12" s="104">
        <f t="shared" ref="D12:J12" si="3">SUM(D11)</f>
        <v>-923899</v>
      </c>
      <c r="E12" s="104">
        <f t="shared" si="3"/>
        <v>-923899</v>
      </c>
      <c r="F12" s="104">
        <f t="shared" si="3"/>
        <v>-923899</v>
      </c>
      <c r="G12" s="104">
        <f t="shared" si="3"/>
        <v>-923899</v>
      </c>
      <c r="H12" s="104">
        <f t="shared" si="3"/>
        <v>-230975</v>
      </c>
      <c r="I12" s="104">
        <f t="shared" si="3"/>
        <v>0</v>
      </c>
      <c r="J12" s="104">
        <f t="shared" si="3"/>
        <v>0</v>
      </c>
      <c r="K12" s="81"/>
      <c r="L12" s="81"/>
    </row>
    <row r="13" spans="2:15">
      <c r="B13" s="11" t="s">
        <v>12</v>
      </c>
      <c r="C13" s="106">
        <f>SUM(C7,C10,C12)</f>
        <v>-1230975</v>
      </c>
      <c r="D13" s="106">
        <f t="shared" ref="D13:J13" si="4">SUM(D7,D10,D12)</f>
        <v>-3923899</v>
      </c>
      <c r="E13" s="106">
        <f t="shared" si="4"/>
        <v>802317.07400000026</v>
      </c>
      <c r="F13" s="106">
        <f t="shared" si="4"/>
        <v>998765.50604000059</v>
      </c>
      <c r="G13" s="106">
        <f t="shared" si="4"/>
        <v>1215335.3177768011</v>
      </c>
      <c r="H13" s="106">
        <f t="shared" si="4"/>
        <v>2146972.1779099372</v>
      </c>
      <c r="I13" s="106">
        <f t="shared" si="4"/>
        <v>2641027.112623496</v>
      </c>
      <c r="J13" s="106">
        <f t="shared" si="4"/>
        <v>2930920.7451468627</v>
      </c>
      <c r="K13" s="81"/>
      <c r="L13" s="81"/>
    </row>
    <row r="14" spans="2:15">
      <c r="B14" s="5" t="s">
        <v>13</v>
      </c>
      <c r="C14" s="103">
        <f>C13</f>
        <v>-1230975</v>
      </c>
      <c r="D14" s="103">
        <f>C14+D13</f>
        <v>-5154874</v>
      </c>
      <c r="E14" s="103">
        <f t="shared" ref="E14:F14" si="5">D14+E13</f>
        <v>-4352556.926</v>
      </c>
      <c r="F14" s="103">
        <f t="shared" si="5"/>
        <v>-3353791.4199599996</v>
      </c>
      <c r="G14" s="103">
        <f>F14+G13</f>
        <v>-2138456.1021831986</v>
      </c>
      <c r="H14" s="103">
        <f t="shared" ref="H14" si="6">G14+H13</f>
        <v>8516.0757267386653</v>
      </c>
      <c r="I14" s="103">
        <f t="shared" ref="I14" si="7">H14+I13</f>
        <v>2649543.1883502346</v>
      </c>
      <c r="J14" s="103">
        <f>I14+J13</f>
        <v>5580463.9334970973</v>
      </c>
      <c r="K14" s="81"/>
      <c r="L14" s="81"/>
    </row>
    <row r="15" spans="2:15"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2:15" ht="18" customHeight="1">
      <c r="B16" s="83" t="s">
        <v>131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</row>
    <row r="17" spans="2:20" ht="14.4" customHeight="1">
      <c r="B17" s="85" t="s">
        <v>138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 spans="2:20" ht="14.4" customHeight="1">
      <c r="B18" s="85" t="s">
        <v>139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</row>
    <row r="19" spans="2:20" ht="14.4" customHeight="1">
      <c r="B19" s="85" t="s">
        <v>140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 spans="2:20" ht="14.4" customHeight="1">
      <c r="B20" s="85" t="s">
        <v>141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</row>
    <row r="21" spans="2:20" ht="15" customHeight="1">
      <c r="B21" s="85" t="s">
        <v>137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119"/>
      <c r="Q21" s="119"/>
      <c r="R21" s="119"/>
      <c r="S21" s="119"/>
    </row>
    <row r="22" spans="2:20">
      <c r="B22" s="86"/>
      <c r="C22" s="84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</row>
    <row r="23" spans="2:20">
      <c r="B23" s="86"/>
      <c r="C23" s="84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</row>
    <row r="24" spans="2:20">
      <c r="C24" s="119"/>
      <c r="D24" s="119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</row>
    <row r="25" spans="2:20">
      <c r="C25" s="119"/>
      <c r="D25" s="119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9"/>
    </row>
    <row r="26" spans="2:20">
      <c r="C26" s="119"/>
      <c r="D26" s="119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9"/>
    </row>
    <row r="27" spans="2:20">
      <c r="C27" s="119"/>
      <c r="D27" s="119"/>
      <c r="E27" s="116"/>
      <c r="F27" s="116"/>
      <c r="G27" s="117">
        <v>2025</v>
      </c>
      <c r="H27" s="117">
        <v>2026</v>
      </c>
      <c r="I27" s="117">
        <v>2027</v>
      </c>
      <c r="J27" s="117">
        <v>2028</v>
      </c>
      <c r="K27" s="117">
        <v>2029</v>
      </c>
      <c r="L27" s="117">
        <v>2030</v>
      </c>
      <c r="M27" s="117">
        <v>2031</v>
      </c>
      <c r="N27" s="117">
        <v>2032</v>
      </c>
      <c r="O27" s="116"/>
      <c r="P27" s="116"/>
      <c r="Q27" s="116"/>
      <c r="R27" s="116"/>
      <c r="S27" s="116"/>
      <c r="T27" s="119"/>
    </row>
    <row r="28" spans="2:20">
      <c r="C28" s="119"/>
      <c r="D28" s="119"/>
      <c r="E28" s="116"/>
      <c r="F28" s="116"/>
      <c r="G28" s="118">
        <v>-1230975</v>
      </c>
      <c r="H28" s="118">
        <v>-5154874</v>
      </c>
      <c r="I28" s="118">
        <v>-4352556.926</v>
      </c>
      <c r="J28" s="118">
        <v>-3353791.4199599996</v>
      </c>
      <c r="K28" s="118">
        <v>-2138456.1021831986</v>
      </c>
      <c r="L28" s="118">
        <v>8516.0757267386653</v>
      </c>
      <c r="M28" s="118">
        <v>2649543.1883502346</v>
      </c>
      <c r="N28" s="118">
        <v>5580463.9334970973</v>
      </c>
      <c r="O28" s="116"/>
      <c r="P28" s="116"/>
      <c r="Q28" s="116"/>
      <c r="R28" s="116"/>
      <c r="S28" s="116"/>
      <c r="T28" s="119"/>
    </row>
    <row r="29" spans="2:20">
      <c r="C29" s="119"/>
      <c r="D29" s="119"/>
      <c r="E29" s="116"/>
      <c r="F29" s="116"/>
      <c r="G29" s="118">
        <v>-2941187.8</v>
      </c>
      <c r="H29" s="118">
        <v>-6189468.54</v>
      </c>
      <c r="I29" s="118">
        <v>-7191195.2369999997</v>
      </c>
      <c r="J29" s="118">
        <v>-7907866.4084700001</v>
      </c>
      <c r="K29" s="118">
        <v>-8295174.9819789007</v>
      </c>
      <c r="L29" s="118">
        <v>-7609211.8493589051</v>
      </c>
      <c r="M29" s="118">
        <v>-5791314.691847574</v>
      </c>
      <c r="N29" s="118">
        <v>-3466912.4666112396</v>
      </c>
      <c r="O29" s="116"/>
      <c r="P29" s="116"/>
      <c r="Q29" s="116"/>
      <c r="R29" s="116"/>
      <c r="S29" s="116"/>
      <c r="T29" s="119"/>
    </row>
    <row r="30" spans="2:20">
      <c r="C30" s="119"/>
      <c r="D30" s="119"/>
      <c r="E30" s="116"/>
      <c r="F30" s="116"/>
      <c r="G30" s="116">
        <v>0</v>
      </c>
      <c r="H30" s="116">
        <v>0</v>
      </c>
      <c r="I30" s="116">
        <v>0</v>
      </c>
      <c r="J30" s="116">
        <v>0</v>
      </c>
      <c r="K30" s="116">
        <v>0</v>
      </c>
      <c r="L30" s="116">
        <v>0</v>
      </c>
      <c r="M30" s="116">
        <v>0</v>
      </c>
      <c r="N30" s="116">
        <v>0</v>
      </c>
      <c r="O30" s="116"/>
      <c r="P30" s="116"/>
      <c r="Q30" s="116"/>
      <c r="R30" s="116"/>
      <c r="S30" s="116"/>
      <c r="T30" s="119"/>
    </row>
    <row r="31" spans="2:20">
      <c r="C31" s="119"/>
      <c r="D31" s="119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9"/>
    </row>
    <row r="32" spans="2:20">
      <c r="C32" s="119"/>
      <c r="D32" s="119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9"/>
    </row>
    <row r="33" spans="3:20">
      <c r="C33" s="119"/>
      <c r="D33" s="119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9"/>
    </row>
    <row r="34" spans="3:20"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</row>
    <row r="35" spans="3:20"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</row>
    <row r="36" spans="3:20"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</row>
    <row r="37" spans="3:20"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</row>
    <row r="38" spans="3:20"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</row>
    <row r="39" spans="3:20"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</row>
    <row r="40" spans="3:20"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</row>
    <row r="41" spans="3:20"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</row>
    <row r="42" spans="3:20"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</row>
    <row r="43" spans="3:20"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</row>
    <row r="44" spans="3:20"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</row>
    <row r="45" spans="3:20"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</row>
    <row r="46" spans="3:20"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</row>
    <row r="47" spans="3:20"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</row>
    <row r="48" spans="3:20"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</row>
    <row r="49" spans="3:14"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</row>
    <row r="50" spans="3:14"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</row>
    <row r="51" spans="3:14"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</row>
    <row r="52" spans="3:14"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</row>
    <row r="53" spans="3:14"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</row>
    <row r="54" spans="3:14"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</row>
    <row r="55" spans="3:14"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</row>
    <row r="56" spans="3:14"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</row>
    <row r="57" spans="3:14"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</row>
    <row r="58" spans="3:14"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</row>
    <row r="59" spans="3:14"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</row>
    <row r="60" spans="3:14"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</row>
    <row r="61" spans="3:14"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</row>
    <row r="62" spans="3:14"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</row>
    <row r="63" spans="3:14"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</row>
    <row r="64" spans="3:14"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</row>
    <row r="65" spans="3:14"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</row>
    <row r="66" spans="3:14"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</row>
    <row r="67" spans="3:14"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</row>
    <row r="68" spans="3:14"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</row>
    <row r="69" spans="3:14"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</row>
    <row r="70" spans="3:14"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</row>
    <row r="71" spans="3:14"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</row>
    <row r="72" spans="3:14"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</row>
    <row r="73" spans="3:14"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</row>
    <row r="74" spans="3:14"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</row>
    <row r="75" spans="3:14"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</row>
    <row r="76" spans="3:14"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</row>
    <row r="77" spans="3:14"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62DB-4EDD-441C-9ABA-9BF825F9D0BE}">
  <sheetPr>
    <tabColor rgb="FF002060"/>
  </sheetPr>
  <dimension ref="B1:Z41"/>
  <sheetViews>
    <sheetView workbookViewId="0"/>
  </sheetViews>
  <sheetFormatPr defaultRowHeight="14.4"/>
  <cols>
    <col min="1" max="1" width="2.88671875" style="1" customWidth="1"/>
    <col min="2" max="2" width="36.88671875" style="1" bestFit="1" customWidth="1"/>
    <col min="3" max="4" width="11" style="1" bestFit="1" customWidth="1"/>
    <col min="5" max="9" width="12" style="1" bestFit="1" customWidth="1"/>
    <col min="10" max="10" width="11" style="1" bestFit="1" customWidth="1"/>
    <col min="11" max="11" width="11" style="1" customWidth="1"/>
    <col min="12" max="12" width="10.88671875" style="1" customWidth="1"/>
    <col min="13" max="13" width="11.33203125" style="1" customWidth="1"/>
    <col min="14" max="16384" width="8.88671875" style="1"/>
  </cols>
  <sheetData>
    <row r="1" spans="2:26">
      <c r="K1" s="112" t="s">
        <v>163</v>
      </c>
      <c r="L1" s="112"/>
      <c r="M1" s="112"/>
    </row>
    <row r="2" spans="2:26">
      <c r="B2" s="12" t="s">
        <v>0</v>
      </c>
      <c r="C2" s="12">
        <v>2025</v>
      </c>
      <c r="D2" s="12">
        <v>2026</v>
      </c>
      <c r="E2" s="12">
        <v>2027</v>
      </c>
      <c r="F2" s="12">
        <v>2028</v>
      </c>
      <c r="G2" s="12">
        <v>2029</v>
      </c>
      <c r="H2" s="12">
        <v>2030</v>
      </c>
      <c r="I2" s="12">
        <v>2031</v>
      </c>
      <c r="J2" s="12">
        <v>2032</v>
      </c>
      <c r="K2" s="12">
        <v>2033</v>
      </c>
      <c r="L2" s="12">
        <v>2034</v>
      </c>
      <c r="M2" s="12">
        <v>2035</v>
      </c>
    </row>
    <row r="3" spans="2:26">
      <c r="B3" s="6" t="s">
        <v>1</v>
      </c>
      <c r="C3" s="103">
        <f>'Income Statement'!E6*0.3</f>
        <v>1324276.2</v>
      </c>
      <c r="D3" s="103">
        <f>C3*1.3</f>
        <v>1721559.06</v>
      </c>
      <c r="E3" s="103">
        <f>D3*1.15</f>
        <v>1979792.919</v>
      </c>
      <c r="F3" s="103">
        <f t="shared" ref="F3:M3" si="0">E3*1.15</f>
        <v>2276761.8568499996</v>
      </c>
      <c r="G3" s="103">
        <f t="shared" si="0"/>
        <v>2618276.1353774993</v>
      </c>
      <c r="H3" s="103">
        <f t="shared" si="0"/>
        <v>3011017.5556841241</v>
      </c>
      <c r="I3" s="103">
        <f t="shared" si="0"/>
        <v>3462670.1890367423</v>
      </c>
      <c r="J3" s="103">
        <f t="shared" si="0"/>
        <v>3982070.7173922532</v>
      </c>
      <c r="K3" s="109">
        <f t="shared" si="0"/>
        <v>4579381.3250010908</v>
      </c>
      <c r="L3" s="109">
        <f t="shared" si="0"/>
        <v>5266288.5237512542</v>
      </c>
      <c r="M3" s="109">
        <f t="shared" si="0"/>
        <v>6056231.8023139415</v>
      </c>
    </row>
    <row r="4" spans="2:26">
      <c r="B4" s="6" t="s">
        <v>2</v>
      </c>
      <c r="C4" s="103">
        <v>0</v>
      </c>
      <c r="D4" s="103">
        <v>0</v>
      </c>
      <c r="E4" s="103">
        <v>-1000000</v>
      </c>
      <c r="F4" s="103">
        <v>-1000000</v>
      </c>
      <c r="G4" s="103">
        <v>-1000000</v>
      </c>
      <c r="H4" s="103">
        <v>-1000000</v>
      </c>
      <c r="I4" s="103">
        <v>-1000000</v>
      </c>
      <c r="J4" s="103">
        <v>-1000000</v>
      </c>
      <c r="K4" s="109">
        <v>-1000000</v>
      </c>
      <c r="L4" s="109">
        <v>-1000000</v>
      </c>
      <c r="M4" s="109">
        <v>-1000000</v>
      </c>
    </row>
    <row r="5" spans="2:26">
      <c r="B5" s="6" t="s">
        <v>3</v>
      </c>
      <c r="C5" s="103">
        <f>-2*Assumptions!B19*10</f>
        <v>-572540</v>
      </c>
      <c r="D5" s="103">
        <f>C5*(1+Assumptions!$B$13)</f>
        <v>-583990.80000000005</v>
      </c>
      <c r="E5" s="103">
        <f>D5*(1+Assumptions!$B$13)</f>
        <v>-595670.61600000004</v>
      </c>
      <c r="F5" s="103">
        <f>E5*(1+Assumptions!$B$13)</f>
        <v>-607584.02832000004</v>
      </c>
      <c r="G5" s="103">
        <f>F5*(1+Assumptions!$B$13)</f>
        <v>-619735.7088864001</v>
      </c>
      <c r="H5" s="103">
        <f>G5*(1+Assumptions!$B$13)</f>
        <v>-632130.42306412815</v>
      </c>
      <c r="I5" s="103">
        <f>H5*(1+Assumptions!$B$13)</f>
        <v>-644773.03152541071</v>
      </c>
      <c r="J5" s="103">
        <f>I5*(1+Assumptions!$B$13)</f>
        <v>-657668.49215591897</v>
      </c>
      <c r="K5" s="109">
        <f>J5*(1+Assumptions!$B$13)</f>
        <v>-670821.86199903733</v>
      </c>
      <c r="L5" s="109">
        <f>K5*(1+Assumptions!$B$13)</f>
        <v>-684238.29923901812</v>
      </c>
      <c r="M5" s="109">
        <f>L5*(1+Assumptions!$B$13)</f>
        <v>-697923.06522379851</v>
      </c>
    </row>
    <row r="6" spans="2:26">
      <c r="B6" s="9" t="s">
        <v>5</v>
      </c>
      <c r="C6" s="103">
        <v>-3000000</v>
      </c>
      <c r="D6" s="103">
        <v>-3000000</v>
      </c>
      <c r="E6" s="103">
        <v>0</v>
      </c>
      <c r="F6" s="103">
        <v>0</v>
      </c>
      <c r="G6" s="103">
        <v>0</v>
      </c>
      <c r="H6" s="103">
        <v>0</v>
      </c>
      <c r="I6" s="103">
        <v>0</v>
      </c>
      <c r="J6" s="103">
        <v>0</v>
      </c>
      <c r="K6" s="109">
        <v>0</v>
      </c>
      <c r="L6" s="109">
        <v>0</v>
      </c>
      <c r="M6" s="109">
        <v>0</v>
      </c>
    </row>
    <row r="7" spans="2:26">
      <c r="B7" s="10" t="s">
        <v>6</v>
      </c>
      <c r="C7" s="104">
        <f>SUM(C3:C6)</f>
        <v>-2248263.7999999998</v>
      </c>
      <c r="D7" s="104">
        <f t="shared" ref="D7:J7" si="1">SUM(D3:D6)</f>
        <v>-1862431.74</v>
      </c>
      <c r="E7" s="104">
        <f t="shared" si="1"/>
        <v>384122.30299999996</v>
      </c>
      <c r="F7" s="104">
        <f t="shared" si="1"/>
        <v>669177.82852999959</v>
      </c>
      <c r="G7" s="104">
        <f t="shared" si="1"/>
        <v>998540.42649109918</v>
      </c>
      <c r="H7" s="104">
        <f t="shared" si="1"/>
        <v>1378887.1326199961</v>
      </c>
      <c r="I7" s="104">
        <f t="shared" si="1"/>
        <v>1817897.1575113316</v>
      </c>
      <c r="J7" s="104">
        <f t="shared" si="1"/>
        <v>2324402.2252363344</v>
      </c>
      <c r="K7" s="110">
        <f t="shared" ref="K7" si="2">SUM(K3:K6)</f>
        <v>2908559.4630020536</v>
      </c>
      <c r="L7" s="110">
        <f t="shared" ref="L7" si="3">SUM(L3:L6)</f>
        <v>3582050.2245122362</v>
      </c>
      <c r="M7" s="110">
        <f t="shared" ref="M7" si="4">SUM(M3:M6)</f>
        <v>4358308.7370901434</v>
      </c>
    </row>
    <row r="8" spans="2:26">
      <c r="B8" s="6" t="s">
        <v>7</v>
      </c>
      <c r="C8" s="103">
        <v>0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9">
        <v>0</v>
      </c>
      <c r="L8" s="109">
        <v>0</v>
      </c>
      <c r="M8" s="109">
        <v>0</v>
      </c>
    </row>
    <row r="9" spans="2:26">
      <c r="B9" s="6" t="s">
        <v>8</v>
      </c>
      <c r="C9" s="103">
        <v>0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9">
        <v>0</v>
      </c>
      <c r="L9" s="109">
        <v>0</v>
      </c>
      <c r="M9" s="109">
        <v>0</v>
      </c>
    </row>
    <row r="10" spans="2:26">
      <c r="B10" s="10" t="s">
        <v>9</v>
      </c>
      <c r="C10" s="104">
        <f>SUM(C8:C9)</f>
        <v>0</v>
      </c>
      <c r="D10" s="104">
        <f t="shared" ref="D10:J10" si="5">SUM(D8:D9)</f>
        <v>0</v>
      </c>
      <c r="E10" s="104">
        <f t="shared" si="5"/>
        <v>0</v>
      </c>
      <c r="F10" s="104">
        <f t="shared" si="5"/>
        <v>0</v>
      </c>
      <c r="G10" s="104">
        <f t="shared" si="5"/>
        <v>0</v>
      </c>
      <c r="H10" s="104">
        <f t="shared" si="5"/>
        <v>0</v>
      </c>
      <c r="I10" s="104">
        <f t="shared" si="5"/>
        <v>0</v>
      </c>
      <c r="J10" s="104">
        <f t="shared" si="5"/>
        <v>0</v>
      </c>
      <c r="K10" s="110">
        <f t="shared" ref="K10" si="6">SUM(K8:K9)</f>
        <v>0</v>
      </c>
      <c r="L10" s="110">
        <f t="shared" ref="L10" si="7">SUM(L8:L9)</f>
        <v>0</v>
      </c>
      <c r="M10" s="110">
        <f t="shared" ref="M10" si="8">SUM(M8:M9)</f>
        <v>0</v>
      </c>
    </row>
    <row r="11" spans="2:26">
      <c r="B11" s="6" t="s">
        <v>10</v>
      </c>
      <c r="C11" s="103">
        <v>-692924</v>
      </c>
      <c r="D11" s="103">
        <v>-1385849</v>
      </c>
      <c r="E11" s="103">
        <v>-1385849</v>
      </c>
      <c r="F11" s="103">
        <v>-1385849</v>
      </c>
      <c r="G11" s="103">
        <v>-1385849</v>
      </c>
      <c r="H11" s="103">
        <v>-692924</v>
      </c>
      <c r="I11" s="103">
        <v>0</v>
      </c>
      <c r="J11" s="103">
        <v>0</v>
      </c>
      <c r="K11" s="109">
        <v>0</v>
      </c>
      <c r="L11" s="109">
        <v>0</v>
      </c>
      <c r="M11" s="109">
        <v>0</v>
      </c>
    </row>
    <row r="12" spans="2:26">
      <c r="B12" s="10" t="s">
        <v>11</v>
      </c>
      <c r="C12" s="104">
        <f>SUM(C11)</f>
        <v>-692924</v>
      </c>
      <c r="D12" s="104">
        <f t="shared" ref="D12:J12" si="9">SUM(D11)</f>
        <v>-1385849</v>
      </c>
      <c r="E12" s="104">
        <f t="shared" si="9"/>
        <v>-1385849</v>
      </c>
      <c r="F12" s="104">
        <f t="shared" si="9"/>
        <v>-1385849</v>
      </c>
      <c r="G12" s="104">
        <f t="shared" si="9"/>
        <v>-1385849</v>
      </c>
      <c r="H12" s="104">
        <f t="shared" si="9"/>
        <v>-692924</v>
      </c>
      <c r="I12" s="104">
        <f t="shared" si="9"/>
        <v>0</v>
      </c>
      <c r="J12" s="104">
        <f t="shared" si="9"/>
        <v>0</v>
      </c>
      <c r="K12" s="110">
        <f t="shared" ref="K12" si="10">SUM(K11)</f>
        <v>0</v>
      </c>
      <c r="L12" s="110">
        <f t="shared" ref="L12:M12" si="11">SUM(L11)</f>
        <v>0</v>
      </c>
      <c r="M12" s="110">
        <f t="shared" si="11"/>
        <v>0</v>
      </c>
    </row>
    <row r="13" spans="2:26">
      <c r="B13" s="11" t="s">
        <v>12</v>
      </c>
      <c r="C13" s="106">
        <f>SUM(C7,C10,C12)</f>
        <v>-2941187.8</v>
      </c>
      <c r="D13" s="106">
        <f t="shared" ref="D13:J13" si="12">SUM(D7,D10,D12)</f>
        <v>-3248280.74</v>
      </c>
      <c r="E13" s="106">
        <f t="shared" si="12"/>
        <v>-1001726.697</v>
      </c>
      <c r="F13" s="106">
        <f t="shared" si="12"/>
        <v>-716671.17147000041</v>
      </c>
      <c r="G13" s="106">
        <f t="shared" si="12"/>
        <v>-387308.57350890082</v>
      </c>
      <c r="H13" s="106">
        <f t="shared" si="12"/>
        <v>685963.13261999609</v>
      </c>
      <c r="I13" s="106">
        <f t="shared" si="12"/>
        <v>1817897.1575113316</v>
      </c>
      <c r="J13" s="106">
        <f t="shared" si="12"/>
        <v>2324402.2252363344</v>
      </c>
      <c r="K13" s="111">
        <f t="shared" ref="K13" si="13">SUM(K7,K10,K12)</f>
        <v>2908559.4630020536</v>
      </c>
      <c r="L13" s="111">
        <f t="shared" ref="L13" si="14">SUM(L7,L10,L12)</f>
        <v>3582050.2245122362</v>
      </c>
      <c r="M13" s="111">
        <f t="shared" ref="M13" si="15">SUM(M7,M10,M12)</f>
        <v>4358308.7370901434</v>
      </c>
    </row>
    <row r="14" spans="2:26">
      <c r="B14" s="5" t="s">
        <v>13</v>
      </c>
      <c r="C14" s="103">
        <f>C13</f>
        <v>-2941187.8</v>
      </c>
      <c r="D14" s="103">
        <f>C14+D13</f>
        <v>-6189468.54</v>
      </c>
      <c r="E14" s="103">
        <f t="shared" ref="E14:J14" si="16">D14+E13</f>
        <v>-7191195.2369999997</v>
      </c>
      <c r="F14" s="103">
        <f t="shared" si="16"/>
        <v>-7907866.4084700001</v>
      </c>
      <c r="G14" s="103">
        <f t="shared" si="16"/>
        <v>-8295174.9819789007</v>
      </c>
      <c r="H14" s="103">
        <f t="shared" si="16"/>
        <v>-7609211.8493589051</v>
      </c>
      <c r="I14" s="103">
        <f t="shared" si="16"/>
        <v>-5791314.691847574</v>
      </c>
      <c r="J14" s="103">
        <f t="shared" si="16"/>
        <v>-3466912.4666112396</v>
      </c>
      <c r="K14" s="109">
        <f t="shared" ref="K14" si="17">J14+K13</f>
        <v>-558353.00360918604</v>
      </c>
      <c r="L14" s="109">
        <f t="shared" ref="L14" si="18">K14+L13</f>
        <v>3023697.2209030502</v>
      </c>
      <c r="M14" s="109">
        <f t="shared" ref="M14" si="19">L14+M13</f>
        <v>7382005.9579931935</v>
      </c>
    </row>
    <row r="15" spans="2:26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2:26">
      <c r="B16" s="83" t="s">
        <v>132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98"/>
      <c r="N16" s="98"/>
      <c r="O16" s="83"/>
      <c r="P16" s="9"/>
      <c r="Q16" s="9"/>
      <c r="R16" s="9"/>
      <c r="S16" s="9"/>
      <c r="T16" s="9"/>
      <c r="U16" s="9"/>
      <c r="V16" s="9"/>
      <c r="W16" s="9"/>
      <c r="X16" s="82"/>
      <c r="Y16" s="82"/>
      <c r="Z16" s="84"/>
    </row>
    <row r="17" spans="2:26">
      <c r="B17" s="85" t="s">
        <v>133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98"/>
      <c r="N17" s="98"/>
      <c r="O17" s="85"/>
      <c r="P17" s="9"/>
      <c r="Q17" s="9"/>
      <c r="R17" s="9"/>
      <c r="S17" s="9"/>
      <c r="T17" s="9"/>
      <c r="U17" s="9"/>
      <c r="V17" s="9"/>
      <c r="W17" s="9"/>
      <c r="X17" s="82"/>
      <c r="Y17" s="82"/>
      <c r="Z17" s="84"/>
    </row>
    <row r="18" spans="2:26">
      <c r="B18" s="85" t="s">
        <v>134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98"/>
      <c r="N18" s="98"/>
      <c r="O18" s="85"/>
      <c r="P18" s="9"/>
      <c r="Q18" s="9"/>
      <c r="R18" s="9"/>
      <c r="S18" s="9"/>
      <c r="T18" s="9"/>
      <c r="U18" s="9"/>
      <c r="V18" s="9"/>
      <c r="W18" s="9"/>
      <c r="X18" s="82"/>
      <c r="Y18" s="82"/>
      <c r="Z18" s="84"/>
    </row>
    <row r="19" spans="2:26">
      <c r="B19" s="85" t="s">
        <v>135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98"/>
      <c r="N19" s="98"/>
      <c r="O19" s="85"/>
      <c r="P19" s="9"/>
      <c r="Q19" s="9"/>
      <c r="R19" s="9"/>
      <c r="S19" s="9"/>
      <c r="T19" s="9"/>
      <c r="U19" s="9"/>
      <c r="V19" s="9"/>
      <c r="W19" s="9"/>
      <c r="X19" s="82"/>
      <c r="Y19" s="82"/>
      <c r="Z19" s="84"/>
    </row>
    <row r="20" spans="2:26">
      <c r="B20" s="85" t="s">
        <v>136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98"/>
      <c r="N20" s="98"/>
      <c r="O20" s="85"/>
      <c r="P20" s="9"/>
      <c r="Q20" s="9"/>
      <c r="R20" s="9"/>
      <c r="S20" s="9"/>
      <c r="T20" s="9"/>
      <c r="U20" s="9"/>
      <c r="V20" s="9"/>
      <c r="W20" s="9"/>
      <c r="X20" s="82"/>
      <c r="Y20" s="82"/>
      <c r="Z20" s="84"/>
    </row>
    <row r="21" spans="2:26">
      <c r="B21" s="85" t="s">
        <v>137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98"/>
      <c r="N21" s="98"/>
      <c r="O21" s="96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4"/>
    </row>
    <row r="22" spans="2:26"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98"/>
      <c r="N22" s="98"/>
      <c r="O22" s="97"/>
      <c r="P22" s="97"/>
      <c r="Q22" s="97"/>
      <c r="R22" s="97"/>
      <c r="S22" s="97"/>
      <c r="T22" s="97"/>
      <c r="U22" s="97"/>
      <c r="V22" s="97"/>
      <c r="W22" s="97"/>
      <c r="X22" s="84"/>
      <c r="Y22" s="84"/>
      <c r="Z22" s="84"/>
    </row>
    <row r="23" spans="2:26"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98"/>
      <c r="N23" s="98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2:26"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98"/>
      <c r="N24" s="98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2:26"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120"/>
      <c r="N25" s="120"/>
      <c r="O25" s="119"/>
      <c r="P25" s="119"/>
      <c r="Q25" s="119"/>
    </row>
    <row r="26" spans="2:26">
      <c r="B26" s="99"/>
      <c r="C26" s="121"/>
      <c r="D26" s="121"/>
      <c r="E26" s="121"/>
      <c r="F26" s="120"/>
      <c r="G26" s="120"/>
      <c r="H26" s="120"/>
      <c r="I26" s="120"/>
      <c r="J26" s="120"/>
      <c r="K26" s="120"/>
      <c r="L26" s="120"/>
      <c r="M26" s="120"/>
      <c r="N26" s="120"/>
      <c r="O26" s="119"/>
      <c r="P26" s="119"/>
      <c r="Q26" s="119"/>
    </row>
    <row r="27" spans="2:26">
      <c r="B27" s="99"/>
      <c r="C27" s="121"/>
      <c r="D27" s="121"/>
      <c r="E27" s="121"/>
      <c r="F27" s="120"/>
      <c r="G27" s="120"/>
      <c r="H27" s="120"/>
      <c r="I27" s="120"/>
      <c r="J27" s="120"/>
      <c r="K27" s="120"/>
      <c r="L27" s="120"/>
      <c r="M27" s="120"/>
      <c r="N27" s="120"/>
      <c r="O27" s="119"/>
      <c r="P27" s="119"/>
      <c r="Q27" s="119"/>
    </row>
    <row r="28" spans="2:26">
      <c r="B28" s="99"/>
      <c r="C28" s="121"/>
      <c r="D28" s="121"/>
      <c r="E28" s="121"/>
      <c r="F28" s="120"/>
      <c r="G28" s="120"/>
      <c r="H28" s="120"/>
      <c r="I28" s="120"/>
      <c r="J28" s="120"/>
      <c r="K28" s="120"/>
      <c r="L28" s="120"/>
      <c r="M28" s="120"/>
      <c r="N28" s="120"/>
      <c r="O28" s="119"/>
      <c r="P28" s="119"/>
      <c r="Q28" s="119"/>
    </row>
    <row r="29" spans="2:26"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  <row r="30" spans="2:26"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</row>
    <row r="31" spans="2:26"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</row>
    <row r="32" spans="2:26"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</row>
    <row r="33" spans="3:17"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</row>
    <row r="34" spans="3:17"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</row>
    <row r="35" spans="3:17"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</row>
    <row r="36" spans="3:17"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</row>
    <row r="37" spans="3:17"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</row>
    <row r="38" spans="3:17"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</row>
    <row r="39" spans="3:17"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</row>
    <row r="40" spans="3:17"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</row>
    <row r="41" spans="3:17"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035D-314D-44A2-9A97-D1D70FB815CB}">
  <sheetPr>
    <tabColor theme="2" tint="-0.249977111117893"/>
  </sheetPr>
  <dimension ref="D9"/>
  <sheetViews>
    <sheetView workbookViewId="0"/>
  </sheetViews>
  <sheetFormatPr defaultRowHeight="14.4"/>
  <cols>
    <col min="1" max="1" width="2.88671875" style="1" customWidth="1"/>
    <col min="2" max="16384" width="8.88671875" style="1"/>
  </cols>
  <sheetData>
    <row r="9" spans="4:4" ht="33.6">
      <c r="D9" s="107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2742-9FD4-4A84-A41F-952AFBD36ADF}">
  <sheetPr>
    <tabColor theme="2" tint="-0.249977111117893"/>
  </sheetPr>
  <dimension ref="B1:F60"/>
  <sheetViews>
    <sheetView workbookViewId="0"/>
  </sheetViews>
  <sheetFormatPr defaultRowHeight="13.2"/>
  <cols>
    <col min="1" max="1" width="2.88671875" style="54" customWidth="1"/>
    <col min="2" max="2" width="64.5546875" style="54" bestFit="1" customWidth="1"/>
    <col min="3" max="4" width="10.88671875" style="54" bestFit="1" customWidth="1"/>
    <col min="5" max="5" width="9.109375" style="54" bestFit="1" customWidth="1"/>
    <col min="6" max="16384" width="8.88671875" style="54"/>
  </cols>
  <sheetData>
    <row r="1" spans="2:6" ht="13.8" thickBot="1"/>
    <row r="2" spans="2:6" ht="13.8" thickTop="1">
      <c r="B2" s="42" t="s">
        <v>14</v>
      </c>
      <c r="C2" s="43" t="s">
        <v>15</v>
      </c>
      <c r="D2" s="44"/>
      <c r="E2" s="9"/>
      <c r="F2" s="9"/>
    </row>
    <row r="3" spans="2:6">
      <c r="B3" s="45"/>
      <c r="C3" s="46">
        <v>2023</v>
      </c>
      <c r="D3" s="46">
        <v>2024</v>
      </c>
      <c r="E3" s="27"/>
      <c r="F3" s="9"/>
    </row>
    <row r="4" spans="2:6">
      <c r="B4" s="47" t="s">
        <v>16</v>
      </c>
      <c r="C4" s="33">
        <v>1321426.9578313255</v>
      </c>
      <c r="D4" s="33">
        <v>1249622.9147358667</v>
      </c>
      <c r="E4" s="28"/>
      <c r="F4" s="9"/>
    </row>
    <row r="5" spans="2:6">
      <c r="B5" s="32" t="s">
        <v>17</v>
      </c>
      <c r="C5" s="33">
        <v>1345.5746061167752</v>
      </c>
      <c r="D5" s="33">
        <v>1572.636700648749</v>
      </c>
      <c r="E5" s="29"/>
      <c r="F5" s="9"/>
    </row>
    <row r="6" spans="2:6">
      <c r="B6" s="34" t="s">
        <v>18</v>
      </c>
      <c r="C6" s="35">
        <v>0</v>
      </c>
      <c r="D6" s="35">
        <v>0</v>
      </c>
      <c r="E6" s="29"/>
      <c r="F6" s="9"/>
    </row>
    <row r="7" spans="2:6">
      <c r="B7" s="48" t="s">
        <v>19</v>
      </c>
      <c r="C7" s="49">
        <v>0</v>
      </c>
      <c r="D7" s="49">
        <v>0</v>
      </c>
      <c r="E7" s="30"/>
      <c r="F7" s="9"/>
    </row>
    <row r="8" spans="2:6">
      <c r="B8" s="38" t="s">
        <v>20</v>
      </c>
      <c r="C8" s="39">
        <v>1345.5746061167752</v>
      </c>
      <c r="D8" s="39">
        <v>1572.636700648749</v>
      </c>
      <c r="E8" s="30"/>
      <c r="F8" s="9"/>
    </row>
    <row r="9" spans="2:6">
      <c r="B9" s="32" t="s">
        <v>21</v>
      </c>
      <c r="C9" s="33">
        <v>1184828.8345690456</v>
      </c>
      <c r="D9" s="33">
        <v>1098769.9837812791</v>
      </c>
      <c r="E9" s="29"/>
      <c r="F9" s="9"/>
    </row>
    <row r="10" spans="2:6">
      <c r="B10" s="34" t="s">
        <v>22</v>
      </c>
      <c r="C10" s="35">
        <v>0</v>
      </c>
      <c r="D10" s="35">
        <v>0</v>
      </c>
      <c r="E10" s="29"/>
      <c r="F10" s="9"/>
    </row>
    <row r="11" spans="2:6">
      <c r="B11" s="36" t="s">
        <v>23</v>
      </c>
      <c r="C11" s="37">
        <v>728233.60750695097</v>
      </c>
      <c r="D11" s="37">
        <v>585547.38183503249</v>
      </c>
      <c r="E11" s="30"/>
      <c r="F11" s="9"/>
    </row>
    <row r="12" spans="2:6">
      <c r="B12" s="36" t="s">
        <v>24</v>
      </c>
      <c r="C12" s="37">
        <v>323297.03429101018</v>
      </c>
      <c r="D12" s="37">
        <v>222930.95458758113</v>
      </c>
      <c r="E12" s="29"/>
      <c r="F12" s="9"/>
    </row>
    <row r="13" spans="2:6">
      <c r="B13" s="36" t="s">
        <v>25</v>
      </c>
      <c r="C13" s="37">
        <v>130161.31835032438</v>
      </c>
      <c r="D13" s="37">
        <v>249225.55607043562</v>
      </c>
      <c r="E13" s="29"/>
      <c r="F13" s="9"/>
    </row>
    <row r="14" spans="2:6">
      <c r="B14" s="36" t="s">
        <v>26</v>
      </c>
      <c r="C14" s="37">
        <v>3136.8744207599634</v>
      </c>
      <c r="D14" s="37">
        <v>41066.091288229843</v>
      </c>
      <c r="E14" s="29"/>
      <c r="F14" s="9"/>
    </row>
    <row r="15" spans="2:6">
      <c r="B15" s="38" t="s">
        <v>27</v>
      </c>
      <c r="C15" s="39">
        <v>0</v>
      </c>
      <c r="D15" s="39">
        <v>0</v>
      </c>
      <c r="E15" s="29"/>
      <c r="F15" s="9"/>
    </row>
    <row r="16" spans="2:6">
      <c r="B16" s="32" t="s">
        <v>28</v>
      </c>
      <c r="C16" s="33">
        <v>135252.54865616313</v>
      </c>
      <c r="D16" s="33">
        <v>149280.29425393883</v>
      </c>
      <c r="E16" s="30"/>
      <c r="F16" s="9"/>
    </row>
    <row r="17" spans="2:6">
      <c r="B17" s="32" t="s">
        <v>29</v>
      </c>
      <c r="C17" s="33">
        <v>0</v>
      </c>
      <c r="D17" s="33">
        <v>0</v>
      </c>
      <c r="E17" s="29"/>
      <c r="F17" s="9"/>
    </row>
    <row r="18" spans="2:6">
      <c r="B18" s="47"/>
      <c r="C18" s="33"/>
      <c r="D18" s="33"/>
      <c r="E18" s="30"/>
      <c r="F18" s="9"/>
    </row>
    <row r="19" spans="2:6">
      <c r="B19" s="47" t="s">
        <v>30</v>
      </c>
      <c r="C19" s="33">
        <v>416804.62233549583</v>
      </c>
      <c r="D19" s="33">
        <v>520089.4925857276</v>
      </c>
      <c r="E19" s="9"/>
      <c r="F19" s="9"/>
    </row>
    <row r="20" spans="2:6">
      <c r="B20" s="32" t="s">
        <v>31</v>
      </c>
      <c r="C20" s="33">
        <v>162812.5</v>
      </c>
      <c r="D20" s="33">
        <v>187468.72103799816</v>
      </c>
      <c r="E20" s="29"/>
      <c r="F20" s="9"/>
    </row>
    <row r="21" spans="2:6">
      <c r="B21" s="34" t="s">
        <v>32</v>
      </c>
      <c r="C21" s="35">
        <v>45580.108897126971</v>
      </c>
      <c r="D21" s="35">
        <v>29898.632993512514</v>
      </c>
      <c r="E21" s="29"/>
      <c r="F21" s="9"/>
    </row>
    <row r="22" spans="2:6">
      <c r="B22" s="36" t="s">
        <v>33</v>
      </c>
      <c r="C22" s="37">
        <v>0</v>
      </c>
      <c r="D22" s="37">
        <v>0</v>
      </c>
      <c r="E22" s="29"/>
      <c r="F22" s="9"/>
    </row>
    <row r="23" spans="2:6">
      <c r="B23" s="36" t="s">
        <v>34</v>
      </c>
      <c r="C23" s="37">
        <v>0</v>
      </c>
      <c r="D23" s="37">
        <v>0</v>
      </c>
      <c r="E23" s="30"/>
      <c r="F23" s="9"/>
    </row>
    <row r="24" spans="2:6">
      <c r="B24" s="36" t="s">
        <v>35</v>
      </c>
      <c r="C24" s="37">
        <v>0</v>
      </c>
      <c r="D24" s="37">
        <v>0</v>
      </c>
      <c r="E24" s="30"/>
      <c r="F24" s="9"/>
    </row>
    <row r="25" spans="2:6">
      <c r="B25" s="38" t="s">
        <v>36</v>
      </c>
      <c r="C25" s="39">
        <v>117232.39110287304</v>
      </c>
      <c r="D25" s="39">
        <v>157570.08804448563</v>
      </c>
      <c r="E25" s="30"/>
      <c r="F25" s="9"/>
    </row>
    <row r="26" spans="2:6">
      <c r="B26" s="32" t="s">
        <v>37</v>
      </c>
      <c r="C26" s="33">
        <v>68365.094995366089</v>
      </c>
      <c r="D26" s="33">
        <v>152062.96339202966</v>
      </c>
      <c r="E26" s="29"/>
      <c r="F26" s="9"/>
    </row>
    <row r="27" spans="2:6">
      <c r="B27" s="34" t="s">
        <v>38</v>
      </c>
      <c r="C27" s="35">
        <v>59868.802131603341</v>
      </c>
      <c r="D27" s="35">
        <v>131712.81278962002</v>
      </c>
      <c r="E27" s="29"/>
      <c r="F27" s="9"/>
    </row>
    <row r="28" spans="2:6">
      <c r="B28" s="38" t="s">
        <v>39</v>
      </c>
      <c r="C28" s="39">
        <v>8496.2928637627429</v>
      </c>
      <c r="D28" s="39">
        <v>20350.150602409638</v>
      </c>
      <c r="E28" s="29"/>
      <c r="F28" s="9"/>
    </row>
    <row r="29" spans="2:6">
      <c r="B29" s="32" t="s">
        <v>40</v>
      </c>
      <c r="C29" s="33">
        <v>0</v>
      </c>
      <c r="D29" s="33">
        <v>0</v>
      </c>
      <c r="E29" s="29"/>
      <c r="F29" s="9"/>
    </row>
    <row r="30" spans="2:6">
      <c r="B30" s="32" t="s">
        <v>41</v>
      </c>
      <c r="C30" s="33">
        <v>185627.02734012975</v>
      </c>
      <c r="D30" s="33">
        <v>180557.80815569972</v>
      </c>
      <c r="E30" s="30"/>
      <c r="F30" s="9"/>
    </row>
    <row r="31" spans="2:6" ht="13.8" thickBot="1">
      <c r="B31" s="40" t="s">
        <v>42</v>
      </c>
      <c r="C31" s="41">
        <v>1738231.5801668214</v>
      </c>
      <c r="D31" s="41">
        <v>1769712.4073215942</v>
      </c>
      <c r="E31" s="29"/>
      <c r="F31" s="9"/>
    </row>
    <row r="32" spans="2:6" ht="14.4" thickTop="1" thickBot="1">
      <c r="B32" s="13"/>
      <c r="C32" s="50"/>
      <c r="D32" s="50"/>
      <c r="E32" s="31"/>
      <c r="F32" s="9"/>
    </row>
    <row r="33" spans="2:6" ht="13.8" thickTop="1">
      <c r="B33" s="51" t="s">
        <v>43</v>
      </c>
      <c r="C33" s="52">
        <v>456358.89712696942</v>
      </c>
      <c r="D33" s="52">
        <v>821743.22289156634</v>
      </c>
      <c r="E33" s="9"/>
      <c r="F33" s="9"/>
    </row>
    <row r="34" spans="2:6">
      <c r="B34" s="32" t="s">
        <v>44</v>
      </c>
      <c r="C34" s="33">
        <v>2896.2001853568122</v>
      </c>
      <c r="D34" s="33">
        <v>2896.2001853568122</v>
      </c>
      <c r="E34" s="29"/>
      <c r="F34" s="9"/>
    </row>
    <row r="35" spans="2:6">
      <c r="B35" s="34" t="s">
        <v>45</v>
      </c>
      <c r="C35" s="35">
        <v>2896.2001853568122</v>
      </c>
      <c r="D35" s="35">
        <v>2896.2001853568122</v>
      </c>
      <c r="E35" s="29"/>
      <c r="F35" s="9"/>
    </row>
    <row r="36" spans="2:6">
      <c r="B36" s="36" t="s">
        <v>46</v>
      </c>
      <c r="C36" s="37">
        <v>0</v>
      </c>
      <c r="D36" s="37">
        <v>0</v>
      </c>
      <c r="E36" s="29"/>
      <c r="F36" s="9"/>
    </row>
    <row r="37" spans="2:6">
      <c r="B37" s="38" t="s">
        <v>36</v>
      </c>
      <c r="C37" s="39">
        <v>0</v>
      </c>
      <c r="D37" s="39">
        <v>0</v>
      </c>
      <c r="E37" s="30"/>
      <c r="F37" s="9"/>
    </row>
    <row r="38" spans="2:6">
      <c r="B38" s="32" t="s">
        <v>47</v>
      </c>
      <c r="C38" s="33">
        <v>0</v>
      </c>
      <c r="D38" s="33">
        <v>0</v>
      </c>
      <c r="E38" s="30"/>
      <c r="F38" s="9"/>
    </row>
    <row r="39" spans="2:6">
      <c r="B39" s="32" t="s">
        <v>48</v>
      </c>
      <c r="C39" s="33">
        <v>289.6200185356812</v>
      </c>
      <c r="D39" s="33">
        <v>289.6200185356812</v>
      </c>
      <c r="E39" s="30"/>
      <c r="F39" s="9"/>
    </row>
    <row r="40" spans="2:6">
      <c r="B40" s="34" t="s">
        <v>49</v>
      </c>
      <c r="C40" s="35">
        <v>289.6200185356812</v>
      </c>
      <c r="D40" s="35">
        <v>289.6200185356812</v>
      </c>
      <c r="E40" s="30"/>
      <c r="F40" s="9"/>
    </row>
    <row r="41" spans="2:6">
      <c r="B41" s="38" t="s">
        <v>36</v>
      </c>
      <c r="C41" s="39">
        <v>0</v>
      </c>
      <c r="D41" s="39">
        <v>0</v>
      </c>
      <c r="E41" s="30"/>
      <c r="F41" s="9"/>
    </row>
    <row r="42" spans="2:6">
      <c r="B42" s="32" t="s">
        <v>50</v>
      </c>
      <c r="C42" s="33">
        <v>453173.07692307694</v>
      </c>
      <c r="D42" s="33">
        <v>818557.40268767381</v>
      </c>
      <c r="E42" s="30"/>
      <c r="F42" s="9"/>
    </row>
    <row r="43" spans="2:6">
      <c r="B43" s="34" t="s">
        <v>51</v>
      </c>
      <c r="C43" s="35">
        <v>288420.05050973041</v>
      </c>
      <c r="D43" s="35">
        <v>365384.32576459728</v>
      </c>
      <c r="E43" s="29"/>
      <c r="F43" s="9"/>
    </row>
    <row r="44" spans="2:6">
      <c r="B44" s="38" t="s">
        <v>52</v>
      </c>
      <c r="C44" s="53">
        <v>164753.02641334652</v>
      </c>
      <c r="D44" s="39">
        <v>453173.07692307694</v>
      </c>
      <c r="E44" s="29"/>
      <c r="F44" s="9"/>
    </row>
    <row r="45" spans="2:6">
      <c r="B45" s="47"/>
      <c r="C45" s="33">
        <v>0</v>
      </c>
      <c r="D45" s="33">
        <v>0</v>
      </c>
      <c r="E45" s="29"/>
      <c r="F45" s="9"/>
    </row>
    <row r="46" spans="2:6">
      <c r="B46" s="47" t="s">
        <v>53</v>
      </c>
      <c r="C46" s="33">
        <v>0</v>
      </c>
      <c r="D46" s="33">
        <v>0</v>
      </c>
      <c r="E46" s="30"/>
      <c r="F46" s="9"/>
    </row>
    <row r="47" spans="2:6">
      <c r="B47" s="47"/>
      <c r="C47" s="33">
        <v>0</v>
      </c>
      <c r="D47" s="33">
        <v>0</v>
      </c>
      <c r="E47" s="30"/>
      <c r="F47" s="9"/>
    </row>
    <row r="48" spans="2:6">
      <c r="B48" s="47" t="s">
        <v>54</v>
      </c>
      <c r="C48" s="33">
        <v>1281872.6830398515</v>
      </c>
      <c r="D48" s="33">
        <v>947969.60518999083</v>
      </c>
      <c r="E48" s="30"/>
      <c r="F48" s="9"/>
    </row>
    <row r="49" spans="2:6">
      <c r="B49" s="32" t="s">
        <v>55</v>
      </c>
      <c r="C49" s="33">
        <v>523639.36515291932</v>
      </c>
      <c r="D49" s="33">
        <v>105177.82669138091</v>
      </c>
      <c r="E49" s="29"/>
      <c r="F49" s="9"/>
    </row>
    <row r="50" spans="2:6">
      <c r="B50" s="34" t="s">
        <v>56</v>
      </c>
      <c r="C50" s="35">
        <v>394759.03614457831</v>
      </c>
      <c r="D50" s="35">
        <v>0</v>
      </c>
      <c r="E50" s="29"/>
      <c r="F50" s="9"/>
    </row>
    <row r="51" spans="2:6">
      <c r="B51" s="36" t="s">
        <v>57</v>
      </c>
      <c r="C51" s="37">
        <v>75011.005560704361</v>
      </c>
      <c r="D51" s="37">
        <v>105177.82669138091</v>
      </c>
      <c r="E51" s="30"/>
      <c r="F51" s="9"/>
    </row>
    <row r="52" spans="2:6">
      <c r="B52" s="38" t="s">
        <v>36</v>
      </c>
      <c r="C52" s="39">
        <v>53869.3234476367</v>
      </c>
      <c r="D52" s="39">
        <v>0</v>
      </c>
      <c r="E52" s="29"/>
      <c r="F52" s="9"/>
    </row>
    <row r="53" spans="2:6">
      <c r="B53" s="32" t="s">
        <v>58</v>
      </c>
      <c r="C53" s="33">
        <v>758233.31788693229</v>
      </c>
      <c r="D53" s="33">
        <v>842791.7784986099</v>
      </c>
      <c r="E53" s="30"/>
      <c r="F53" s="9"/>
    </row>
    <row r="54" spans="2:6">
      <c r="B54" s="34" t="s">
        <v>59</v>
      </c>
      <c r="C54" s="35">
        <v>42556.475903614461</v>
      </c>
      <c r="D54" s="35">
        <v>54738.47312326228</v>
      </c>
      <c r="E54" s="29"/>
      <c r="F54" s="9"/>
    </row>
    <row r="55" spans="2:6">
      <c r="B55" s="36" t="s">
        <v>56</v>
      </c>
      <c r="C55" s="37">
        <v>89784.522706209464</v>
      </c>
      <c r="D55" s="37">
        <v>0</v>
      </c>
      <c r="E55" s="29"/>
      <c r="F55" s="9"/>
    </row>
    <row r="56" spans="2:6">
      <c r="B56" s="36" t="s">
        <v>60</v>
      </c>
      <c r="C56" s="37">
        <v>267060.06719184428</v>
      </c>
      <c r="D56" s="37">
        <v>391348.47080630215</v>
      </c>
      <c r="E56" s="30"/>
      <c r="F56" s="9"/>
    </row>
    <row r="57" spans="2:6">
      <c r="B57" s="38" t="s">
        <v>36</v>
      </c>
      <c r="C57" s="39">
        <v>358832.25208526413</v>
      </c>
      <c r="D57" s="39">
        <v>396704.83456904546</v>
      </c>
      <c r="E57" s="29"/>
      <c r="F57" s="9"/>
    </row>
    <row r="58" spans="2:6" ht="13.8" thickBot="1">
      <c r="B58" s="40" t="s">
        <v>61</v>
      </c>
      <c r="C58" s="41">
        <v>1738231.5801668209</v>
      </c>
      <c r="D58" s="41">
        <v>1769712.8280815571</v>
      </c>
      <c r="E58" s="29"/>
      <c r="F58" s="9"/>
    </row>
    <row r="59" spans="2:6" ht="13.8" thickTop="1">
      <c r="B59" s="9"/>
      <c r="C59" s="5"/>
      <c r="D59" s="31"/>
      <c r="E59" s="31"/>
      <c r="F59" s="9"/>
    </row>
    <row r="60" spans="2:6">
      <c r="B60" s="9"/>
      <c r="C60" s="9"/>
      <c r="D60" s="9"/>
      <c r="E60" s="9"/>
      <c r="F6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495F-A271-4E14-AE30-6200AB9C1443}">
  <sheetPr>
    <tabColor theme="2" tint="-0.249977111117893"/>
  </sheetPr>
  <dimension ref="B2:E35"/>
  <sheetViews>
    <sheetView workbookViewId="0"/>
  </sheetViews>
  <sheetFormatPr defaultRowHeight="14.4"/>
  <cols>
    <col min="1" max="1" width="2.88671875" style="1" customWidth="1"/>
    <col min="2" max="2" width="5.44140625" style="1" bestFit="1" customWidth="1"/>
    <col min="3" max="3" width="36.77734375" style="1" bestFit="1" customWidth="1"/>
    <col min="4" max="5" width="9.109375" style="1" bestFit="1" customWidth="1"/>
    <col min="6" max="16384" width="8.88671875" style="1"/>
  </cols>
  <sheetData>
    <row r="2" spans="2:5" ht="15" thickBot="1"/>
    <row r="3" spans="2:5" ht="26.4" customHeight="1" thickBot="1">
      <c r="B3" s="21"/>
      <c r="C3" s="145" t="s">
        <v>62</v>
      </c>
      <c r="D3" s="146"/>
      <c r="E3" s="147"/>
    </row>
    <row r="4" spans="2:5">
      <c r="B4" s="148"/>
      <c r="C4" s="150" t="s">
        <v>14</v>
      </c>
      <c r="D4" s="150">
        <v>2023</v>
      </c>
      <c r="E4" s="150">
        <v>2024</v>
      </c>
    </row>
    <row r="5" spans="2:5" ht="15" thickBot="1">
      <c r="B5" s="149"/>
      <c r="C5" s="151"/>
      <c r="D5" s="151"/>
      <c r="E5" s="151"/>
    </row>
    <row r="6" spans="2:5" ht="15" thickBot="1">
      <c r="B6" s="4" t="s">
        <v>63</v>
      </c>
      <c r="C6" s="18" t="s">
        <v>64</v>
      </c>
      <c r="D6" s="19">
        <v>2714177</v>
      </c>
      <c r="E6" s="19">
        <v>4414254</v>
      </c>
    </row>
    <row r="7" spans="2:5" ht="15" thickBot="1">
      <c r="B7" s="4" t="s">
        <v>65</v>
      </c>
      <c r="C7" s="18" t="s">
        <v>66</v>
      </c>
      <c r="D7" s="19">
        <v>998290</v>
      </c>
      <c r="E7" s="19">
        <v>1121942</v>
      </c>
    </row>
    <row r="8" spans="2:5" ht="15" thickBot="1">
      <c r="B8" s="3"/>
      <c r="C8" s="22" t="s">
        <v>67</v>
      </c>
      <c r="D8" s="17">
        <v>0</v>
      </c>
      <c r="E8" s="17">
        <v>0</v>
      </c>
    </row>
    <row r="9" spans="2:5" ht="15" thickBot="1">
      <c r="B9" s="3"/>
      <c r="C9" s="22" t="s">
        <v>68</v>
      </c>
      <c r="D9" s="16">
        <v>992552</v>
      </c>
      <c r="E9" s="16">
        <v>1076893</v>
      </c>
    </row>
    <row r="10" spans="2:5" ht="15" thickBot="1">
      <c r="B10" s="3"/>
      <c r="C10" s="22" t="s">
        <v>69</v>
      </c>
      <c r="D10" s="14"/>
      <c r="E10" s="14"/>
    </row>
    <row r="11" spans="2:5" ht="15" thickBot="1">
      <c r="B11" s="3"/>
      <c r="C11" s="22" t="s">
        <v>70</v>
      </c>
      <c r="D11" s="14"/>
      <c r="E11" s="14"/>
    </row>
    <row r="12" spans="2:5" ht="15" thickBot="1">
      <c r="B12" s="3"/>
      <c r="C12" s="22" t="s">
        <v>71</v>
      </c>
      <c r="D12" s="16">
        <v>5738</v>
      </c>
      <c r="E12" s="16">
        <v>45050</v>
      </c>
    </row>
    <row r="13" spans="2:5" ht="15" thickBot="1">
      <c r="B13" s="4" t="s">
        <v>72</v>
      </c>
      <c r="C13" s="18" t="s">
        <v>73</v>
      </c>
      <c r="D13" s="19">
        <v>1715888</v>
      </c>
      <c r="E13" s="19">
        <v>3292311</v>
      </c>
    </row>
    <row r="14" spans="2:5" ht="15" thickBot="1">
      <c r="B14" s="4" t="s">
        <v>74</v>
      </c>
      <c r="C14" s="18" t="s">
        <v>75</v>
      </c>
      <c r="D14" s="19">
        <v>1367820</v>
      </c>
      <c r="E14" s="19">
        <v>2932586</v>
      </c>
    </row>
    <row r="15" spans="2:5" ht="15" thickBot="1">
      <c r="B15" s="3" t="s">
        <v>76</v>
      </c>
      <c r="C15" s="14" t="s">
        <v>77</v>
      </c>
      <c r="D15" s="16">
        <v>726794</v>
      </c>
      <c r="E15" s="16">
        <v>534192</v>
      </c>
    </row>
    <row r="16" spans="2:5" ht="15" thickBot="1">
      <c r="B16" s="3"/>
      <c r="C16" s="22" t="s">
        <v>67</v>
      </c>
      <c r="D16" s="14"/>
      <c r="E16" s="14"/>
    </row>
    <row r="17" spans="2:5" ht="15" thickBot="1">
      <c r="B17" s="3"/>
      <c r="C17" s="22" t="s">
        <v>69</v>
      </c>
      <c r="D17" s="14"/>
      <c r="E17" s="14"/>
    </row>
    <row r="18" spans="2:5" ht="15" thickBot="1">
      <c r="B18" s="3"/>
      <c r="C18" s="22" t="s">
        <v>78</v>
      </c>
      <c r="D18" s="16">
        <v>352544</v>
      </c>
      <c r="E18" s="16">
        <v>523344</v>
      </c>
    </row>
    <row r="19" spans="2:5" ht="15" thickBot="1">
      <c r="B19" s="3"/>
      <c r="C19" s="22" t="s">
        <v>71</v>
      </c>
      <c r="D19" s="16">
        <v>374250</v>
      </c>
      <c r="E19" s="16">
        <v>10848</v>
      </c>
    </row>
    <row r="20" spans="2:5" ht="15" thickBot="1">
      <c r="B20" s="3" t="s">
        <v>79</v>
      </c>
      <c r="C20" s="14" t="s">
        <v>80</v>
      </c>
      <c r="D20" s="16">
        <v>641026</v>
      </c>
      <c r="E20" s="16">
        <v>2398395</v>
      </c>
    </row>
    <row r="21" spans="2:5" ht="15" thickBot="1">
      <c r="B21" s="3"/>
      <c r="C21" s="22" t="s">
        <v>67</v>
      </c>
      <c r="D21" s="16">
        <v>140511</v>
      </c>
      <c r="E21" s="16">
        <v>203122</v>
      </c>
    </row>
    <row r="22" spans="2:5" ht="15" thickBot="1">
      <c r="B22" s="3"/>
      <c r="C22" s="22" t="s">
        <v>69</v>
      </c>
      <c r="D22" s="16">
        <v>499967</v>
      </c>
      <c r="E22" s="16">
        <v>1368507</v>
      </c>
    </row>
    <row r="23" spans="2:5" ht="15" thickBot="1">
      <c r="B23" s="3"/>
      <c r="C23" s="22" t="s">
        <v>81</v>
      </c>
      <c r="D23" s="14"/>
      <c r="E23" s="14"/>
    </row>
    <row r="24" spans="2:5" ht="15" thickBot="1">
      <c r="B24" s="3"/>
      <c r="C24" s="22" t="s">
        <v>71</v>
      </c>
      <c r="D24" s="17">
        <v>548</v>
      </c>
      <c r="E24" s="16">
        <v>826766</v>
      </c>
    </row>
    <row r="25" spans="2:5" ht="15" thickBot="1">
      <c r="B25" s="4" t="s">
        <v>82</v>
      </c>
      <c r="C25" s="18" t="s">
        <v>83</v>
      </c>
      <c r="D25" s="19">
        <v>348068</v>
      </c>
      <c r="E25" s="19">
        <v>359725</v>
      </c>
    </row>
    <row r="26" spans="2:5" ht="15" thickBot="1">
      <c r="B26" s="4" t="s">
        <v>84</v>
      </c>
      <c r="C26" s="18" t="s">
        <v>85</v>
      </c>
      <c r="D26" s="19">
        <v>4344</v>
      </c>
      <c r="E26" s="19">
        <v>89548</v>
      </c>
    </row>
    <row r="27" spans="2:5" ht="15" thickBot="1">
      <c r="B27" s="3" t="s">
        <v>86</v>
      </c>
      <c r="C27" s="14" t="s">
        <v>87</v>
      </c>
      <c r="D27" s="16">
        <v>4344</v>
      </c>
      <c r="E27" s="16">
        <v>89548</v>
      </c>
    </row>
    <row r="28" spans="2:5" ht="15" thickBot="1">
      <c r="B28" s="3" t="s">
        <v>88</v>
      </c>
      <c r="C28" s="14" t="s">
        <v>89</v>
      </c>
      <c r="D28" s="17">
        <v>0</v>
      </c>
      <c r="E28" s="17">
        <v>0</v>
      </c>
    </row>
    <row r="29" spans="2:5" ht="15" thickBot="1">
      <c r="B29" s="4" t="s">
        <v>90</v>
      </c>
      <c r="C29" s="18" t="s">
        <v>91</v>
      </c>
      <c r="D29" s="19">
        <v>-9701</v>
      </c>
      <c r="E29" s="19">
        <v>-21799</v>
      </c>
    </row>
    <row r="30" spans="2:5" ht="15" thickBot="1">
      <c r="B30" s="3" t="s">
        <v>92</v>
      </c>
      <c r="C30" s="14" t="s">
        <v>87</v>
      </c>
      <c r="D30" s="16">
        <v>3369</v>
      </c>
      <c r="E30" s="16">
        <v>2735</v>
      </c>
    </row>
    <row r="31" spans="2:5" ht="15" thickBot="1">
      <c r="B31" s="3" t="s">
        <v>93</v>
      </c>
      <c r="C31" s="14" t="s">
        <v>89</v>
      </c>
      <c r="D31" s="16">
        <v>13070</v>
      </c>
      <c r="E31" s="16">
        <v>24534</v>
      </c>
    </row>
    <row r="32" spans="2:5" ht="15" thickBot="1">
      <c r="B32" s="4" t="s">
        <v>94</v>
      </c>
      <c r="C32" s="18" t="s">
        <v>95</v>
      </c>
      <c r="D32" s="14"/>
      <c r="E32" s="14"/>
    </row>
    <row r="33" spans="2:5" ht="15" thickBot="1">
      <c r="B33" s="4" t="s">
        <v>96</v>
      </c>
      <c r="C33" s="18" t="s">
        <v>97</v>
      </c>
      <c r="D33" s="19">
        <v>342711</v>
      </c>
      <c r="E33" s="19">
        <v>427474</v>
      </c>
    </row>
    <row r="34" spans="2:5" ht="15" thickBot="1">
      <c r="B34" s="4" t="s">
        <v>98</v>
      </c>
      <c r="C34" s="18" t="s">
        <v>99</v>
      </c>
      <c r="D34" s="19">
        <v>54291</v>
      </c>
      <c r="E34" s="19">
        <v>62090</v>
      </c>
    </row>
    <row r="35" spans="2:5" ht="15" thickBot="1">
      <c r="B35" s="4" t="s">
        <v>100</v>
      </c>
      <c r="C35" s="18" t="s">
        <v>101</v>
      </c>
      <c r="D35" s="19">
        <v>288420</v>
      </c>
      <c r="E35" s="19">
        <v>365384</v>
      </c>
    </row>
  </sheetData>
  <mergeCells count="5">
    <mergeCell ref="C3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8C4C-8686-42B7-B496-D17576CEFE95}">
  <sheetPr>
    <tabColor theme="2" tint="-0.249977111117893"/>
  </sheetPr>
  <dimension ref="B1:D29"/>
  <sheetViews>
    <sheetView workbookViewId="0"/>
  </sheetViews>
  <sheetFormatPr defaultRowHeight="14.4"/>
  <cols>
    <col min="1" max="1" width="2.88671875" style="1" customWidth="1"/>
    <col min="2" max="2" width="40.44140625" style="1" bestFit="1" customWidth="1"/>
    <col min="3" max="4" width="9.77734375" style="1" bestFit="1" customWidth="1"/>
    <col min="5" max="16384" width="8.88671875" style="1"/>
  </cols>
  <sheetData>
    <row r="1" spans="2:4" ht="15" thickBot="1"/>
    <row r="2" spans="2:4" ht="15" thickBot="1">
      <c r="B2" s="23" t="s">
        <v>14</v>
      </c>
      <c r="C2" s="24" t="s">
        <v>15</v>
      </c>
      <c r="D2" s="25"/>
    </row>
    <row r="3" spans="2:4" ht="15" thickBot="1">
      <c r="B3" s="3"/>
      <c r="C3" s="15">
        <v>2023</v>
      </c>
      <c r="D3" s="15">
        <v>2024</v>
      </c>
    </row>
    <row r="4" spans="2:4" ht="15" thickBot="1">
      <c r="B4" s="26" t="s">
        <v>102</v>
      </c>
      <c r="C4" s="16">
        <v>3418805</v>
      </c>
      <c r="D4" s="16">
        <v>5477917</v>
      </c>
    </row>
    <row r="5" spans="2:4" ht="15" thickBot="1">
      <c r="B5" s="3" t="s">
        <v>103</v>
      </c>
      <c r="C5" s="16">
        <v>3284155</v>
      </c>
      <c r="D5" s="16">
        <v>5341247</v>
      </c>
    </row>
    <row r="6" spans="2:4" ht="15" thickBot="1">
      <c r="B6" s="3" t="s">
        <v>71</v>
      </c>
      <c r="C6" s="16">
        <v>134650</v>
      </c>
      <c r="D6" s="16">
        <v>136670</v>
      </c>
    </row>
    <row r="7" spans="2:4" ht="15" thickBot="1">
      <c r="B7" s="26" t="s">
        <v>104</v>
      </c>
      <c r="C7" s="16">
        <v>-2865267</v>
      </c>
      <c r="D7" s="16">
        <v>-4917990</v>
      </c>
    </row>
    <row r="8" spans="2:4" ht="15" thickBot="1">
      <c r="B8" s="3" t="s">
        <v>105</v>
      </c>
      <c r="C8" s="16">
        <v>-2232104</v>
      </c>
      <c r="D8" s="16">
        <v>-3598007</v>
      </c>
    </row>
    <row r="9" spans="2:4" ht="15" thickBot="1">
      <c r="B9" s="3" t="s">
        <v>106</v>
      </c>
      <c r="C9" s="16">
        <v>-499967</v>
      </c>
      <c r="D9" s="16">
        <v>-1368507</v>
      </c>
    </row>
    <row r="10" spans="2:4" ht="15" thickBot="1">
      <c r="B10" s="3" t="s">
        <v>107</v>
      </c>
      <c r="C10" s="17">
        <v>-238</v>
      </c>
      <c r="D10" s="16">
        <v>70323</v>
      </c>
    </row>
    <row r="11" spans="2:4" ht="15" thickBot="1">
      <c r="B11" s="3" t="s">
        <v>108</v>
      </c>
      <c r="C11" s="16">
        <v>-132959</v>
      </c>
      <c r="D11" s="16">
        <v>-21799</v>
      </c>
    </row>
    <row r="12" spans="2:4" ht="15" thickBot="1">
      <c r="B12" s="4" t="s">
        <v>109</v>
      </c>
      <c r="C12" s="19">
        <v>553537</v>
      </c>
      <c r="D12" s="19">
        <v>559927</v>
      </c>
    </row>
    <row r="13" spans="2:4" ht="15" thickBot="1">
      <c r="B13" s="3"/>
      <c r="C13" s="14"/>
      <c r="D13" s="14"/>
    </row>
    <row r="14" spans="2:4" ht="15" thickBot="1">
      <c r="B14" s="3" t="s">
        <v>110</v>
      </c>
      <c r="C14" s="16">
        <v>-351467</v>
      </c>
      <c r="D14" s="16">
        <v>-243494</v>
      </c>
    </row>
    <row r="15" spans="2:4" ht="15" thickBot="1">
      <c r="B15" s="3" t="s">
        <v>111</v>
      </c>
      <c r="C15" s="17">
        <v>0</v>
      </c>
      <c r="D15" s="16">
        <v>291013</v>
      </c>
    </row>
    <row r="16" spans="2:4" ht="15" thickBot="1">
      <c r="B16" s="3" t="s">
        <v>112</v>
      </c>
      <c r="C16" s="16">
        <v>-131719</v>
      </c>
      <c r="D16" s="16">
        <v>-14028</v>
      </c>
    </row>
    <row r="17" spans="2:4" ht="15" thickBot="1">
      <c r="B17" s="4" t="s">
        <v>9</v>
      </c>
      <c r="C17" s="19">
        <v>-483186</v>
      </c>
      <c r="D17" s="19">
        <v>33492</v>
      </c>
    </row>
    <row r="18" spans="2:4" ht="15" thickBot="1">
      <c r="B18" s="3"/>
      <c r="C18" s="14"/>
      <c r="D18" s="14"/>
    </row>
    <row r="19" spans="2:4" ht="15" thickBot="1">
      <c r="B19" s="3" t="s">
        <v>113</v>
      </c>
      <c r="C19" s="17">
        <v>0</v>
      </c>
      <c r="D19" s="17">
        <v>0</v>
      </c>
    </row>
    <row r="20" spans="2:4" ht="15" thickBot="1">
      <c r="B20" s="3" t="s">
        <v>114</v>
      </c>
      <c r="C20" s="14"/>
      <c r="D20" s="14"/>
    </row>
    <row r="21" spans="2:4" ht="15" thickBot="1">
      <c r="B21" s="3" t="s">
        <v>115</v>
      </c>
      <c r="C21" s="16">
        <v>53869</v>
      </c>
      <c r="D21" s="17">
        <v>0</v>
      </c>
    </row>
    <row r="22" spans="2:4" ht="15" thickBot="1">
      <c r="B22" s="3" t="s">
        <v>116</v>
      </c>
      <c r="C22" s="16">
        <v>-56672</v>
      </c>
      <c r="D22" s="16">
        <v>-576913</v>
      </c>
    </row>
    <row r="23" spans="2:4" ht="15" thickBot="1">
      <c r="B23" s="3" t="s">
        <v>117</v>
      </c>
      <c r="C23" s="16">
        <v>-11717</v>
      </c>
      <c r="D23" s="16">
        <v>-13756</v>
      </c>
    </row>
    <row r="24" spans="2:4" ht="15" thickBot="1">
      <c r="B24" s="3" t="s">
        <v>118</v>
      </c>
      <c r="C24" s="16">
        <v>2254</v>
      </c>
      <c r="D24" s="16">
        <v>-7818</v>
      </c>
    </row>
    <row r="25" spans="2:4" ht="15" thickBot="1">
      <c r="B25" s="4" t="s">
        <v>11</v>
      </c>
      <c r="C25" s="19">
        <v>-12266</v>
      </c>
      <c r="D25" s="19">
        <v>-598488</v>
      </c>
    </row>
    <row r="26" spans="2:4" ht="15" thickBot="1">
      <c r="B26" s="3"/>
      <c r="C26" s="14"/>
      <c r="D26" s="14"/>
    </row>
    <row r="27" spans="2:4" ht="15" thickBot="1">
      <c r="B27" s="4" t="s">
        <v>12</v>
      </c>
      <c r="C27" s="19">
        <v>58085</v>
      </c>
      <c r="D27" s="19">
        <v>-5069</v>
      </c>
    </row>
    <row r="28" spans="2:4" ht="15" thickBot="1">
      <c r="B28" s="3" t="s">
        <v>119</v>
      </c>
      <c r="C28" s="16">
        <v>127542</v>
      </c>
      <c r="D28" s="16">
        <v>185627</v>
      </c>
    </row>
    <row r="29" spans="2:4" ht="15" thickBot="1">
      <c r="B29" s="3" t="s">
        <v>120</v>
      </c>
      <c r="C29" s="19">
        <v>185627</v>
      </c>
      <c r="D29" s="19">
        <v>180558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D30-3D0E-4695-9AA5-90106B8F6E98}">
  <sheetPr>
    <tabColor theme="2" tint="-0.249977111117893"/>
  </sheetPr>
  <dimension ref="B2:H17"/>
  <sheetViews>
    <sheetView workbookViewId="0"/>
  </sheetViews>
  <sheetFormatPr defaultRowHeight="14.4"/>
  <cols>
    <col min="1" max="1" width="2.88671875" style="1" customWidth="1"/>
    <col min="2" max="2" width="37.109375" style="1" bestFit="1" customWidth="1"/>
    <col min="3" max="3" width="16.77734375" style="1" bestFit="1" customWidth="1"/>
    <col min="4" max="5" width="11.6640625" style="1" bestFit="1" customWidth="1"/>
    <col min="6" max="6" width="16.77734375" style="1" bestFit="1" customWidth="1"/>
    <col min="7" max="8" width="11.6640625" style="1" bestFit="1" customWidth="1"/>
    <col min="9" max="16384" width="8.88671875" style="1"/>
  </cols>
  <sheetData>
    <row r="2" spans="2:8" ht="15" thickBot="1">
      <c r="B2" s="55"/>
      <c r="C2" s="55"/>
      <c r="D2" s="56" t="s">
        <v>121</v>
      </c>
      <c r="E2" s="56"/>
      <c r="F2" s="55"/>
      <c r="G2" s="56" t="s">
        <v>122</v>
      </c>
      <c r="H2" s="55"/>
    </row>
    <row r="3" spans="2:8" ht="15" thickTop="1">
      <c r="B3" s="57" t="s">
        <v>123</v>
      </c>
      <c r="C3" s="58" t="s">
        <v>124</v>
      </c>
      <c r="D3" s="59"/>
      <c r="E3" s="60"/>
      <c r="F3" s="58" t="s">
        <v>124</v>
      </c>
      <c r="G3" s="59"/>
      <c r="H3" s="60"/>
    </row>
    <row r="4" spans="2:8">
      <c r="B4" s="61"/>
      <c r="C4" s="62" t="s">
        <v>125</v>
      </c>
      <c r="D4" s="62">
        <v>2025</v>
      </c>
      <c r="E4" s="62">
        <v>2026</v>
      </c>
      <c r="F4" s="62" t="s">
        <v>125</v>
      </c>
      <c r="G4" s="62">
        <v>2025</v>
      </c>
      <c r="H4" s="62">
        <v>2026</v>
      </c>
    </row>
    <row r="5" spans="2:8">
      <c r="B5" s="63" t="s">
        <v>7</v>
      </c>
      <c r="C5" s="64">
        <v>1110000</v>
      </c>
      <c r="D5" s="64">
        <f>C5*0.4</f>
        <v>444000</v>
      </c>
      <c r="E5" s="64">
        <f>C5*0.6</f>
        <v>666000</v>
      </c>
      <c r="F5" s="64">
        <v>0</v>
      </c>
      <c r="G5" s="64">
        <f>F5*0.4</f>
        <v>0</v>
      </c>
      <c r="H5" s="65">
        <f>F5*0.6</f>
        <v>0</v>
      </c>
    </row>
    <row r="6" spans="2:8">
      <c r="B6" s="63" t="s">
        <v>8</v>
      </c>
      <c r="C6" s="64">
        <v>2000000</v>
      </c>
      <c r="D6" s="64"/>
      <c r="E6" s="64">
        <f>C6</f>
        <v>2000000</v>
      </c>
      <c r="F6" s="64"/>
      <c r="G6" s="64"/>
      <c r="H6" s="65"/>
    </row>
    <row r="7" spans="2:8">
      <c r="B7" s="63" t="s">
        <v>4</v>
      </c>
      <c r="C7" s="64">
        <v>140000</v>
      </c>
      <c r="D7" s="64">
        <f>C7*0.4</f>
        <v>56000</v>
      </c>
      <c r="E7" s="64">
        <f>C7*0.6</f>
        <v>84000</v>
      </c>
      <c r="F7" s="64">
        <v>0</v>
      </c>
      <c r="G7" s="64">
        <f>F7*0.4</f>
        <v>0</v>
      </c>
      <c r="H7" s="65">
        <f>F7*0.6</f>
        <v>0</v>
      </c>
    </row>
    <row r="8" spans="2:8">
      <c r="B8" s="63" t="s">
        <v>5</v>
      </c>
      <c r="C8" s="64">
        <v>750000</v>
      </c>
      <c r="D8" s="64">
        <v>500000</v>
      </c>
      <c r="E8" s="64">
        <v>250000</v>
      </c>
      <c r="F8" s="64">
        <v>6000000</v>
      </c>
      <c r="G8" s="64">
        <f>F8*0.5</f>
        <v>3000000</v>
      </c>
      <c r="H8" s="65">
        <f>G8</f>
        <v>3000000</v>
      </c>
    </row>
    <row r="9" spans="2:8">
      <c r="B9" s="66" t="s">
        <v>126</v>
      </c>
      <c r="C9" s="67">
        <f t="shared" ref="C9:H9" si="0">SUM(C5:C8)</f>
        <v>4000000</v>
      </c>
      <c r="D9" s="67">
        <f t="shared" si="0"/>
        <v>1000000</v>
      </c>
      <c r="E9" s="67">
        <f t="shared" si="0"/>
        <v>3000000</v>
      </c>
      <c r="F9" s="67">
        <f t="shared" si="0"/>
        <v>6000000</v>
      </c>
      <c r="G9" s="67">
        <f t="shared" si="0"/>
        <v>3000000</v>
      </c>
      <c r="H9" s="68">
        <f t="shared" si="0"/>
        <v>3000000</v>
      </c>
    </row>
    <row r="10" spans="2:8">
      <c r="B10" s="69"/>
      <c r="C10" s="70"/>
      <c r="D10" s="70"/>
      <c r="E10" s="71"/>
      <c r="F10" s="67"/>
      <c r="G10" s="67"/>
      <c r="H10" s="68"/>
    </row>
    <row r="11" spans="2:8">
      <c r="B11" s="63" t="s">
        <v>127</v>
      </c>
      <c r="C11" s="72">
        <v>5000000</v>
      </c>
      <c r="D11" s="64">
        <v>2000000</v>
      </c>
      <c r="E11" s="64">
        <v>3000000</v>
      </c>
      <c r="F11" s="64">
        <v>8000000</v>
      </c>
      <c r="G11" s="64">
        <v>4000000</v>
      </c>
      <c r="H11" s="65">
        <v>4000000</v>
      </c>
    </row>
    <row r="12" spans="2:8" ht="15" thickBot="1">
      <c r="B12" s="73" t="s">
        <v>128</v>
      </c>
      <c r="C12" s="74">
        <f t="shared" ref="C12:H12" si="1">SUM(C11:C11)</f>
        <v>5000000</v>
      </c>
      <c r="D12" s="74">
        <f t="shared" si="1"/>
        <v>2000000</v>
      </c>
      <c r="E12" s="74">
        <f t="shared" si="1"/>
        <v>3000000</v>
      </c>
      <c r="F12" s="75">
        <f t="shared" si="1"/>
        <v>8000000</v>
      </c>
      <c r="G12" s="75">
        <f t="shared" si="1"/>
        <v>4000000</v>
      </c>
      <c r="H12" s="76">
        <f t="shared" si="1"/>
        <v>4000000</v>
      </c>
    </row>
    <row r="13" spans="2:8" ht="15" thickTop="1">
      <c r="B13" s="55"/>
      <c r="C13" s="77"/>
      <c r="D13" s="77"/>
      <c r="E13" s="77"/>
      <c r="F13" s="77"/>
      <c r="G13" s="77"/>
      <c r="H13" s="77"/>
    </row>
    <row r="14" spans="2:8">
      <c r="B14" s="55"/>
      <c r="C14" s="55"/>
      <c r="D14" s="55"/>
      <c r="E14" s="55"/>
      <c r="F14" s="55"/>
      <c r="G14" s="55"/>
      <c r="H14" s="55"/>
    </row>
    <row r="15" spans="2:8">
      <c r="B15" s="78"/>
      <c r="C15" s="55"/>
      <c r="D15" s="55"/>
      <c r="E15" s="55"/>
      <c r="F15" s="55"/>
      <c r="G15" s="55"/>
      <c r="H15" s="55"/>
    </row>
    <row r="16" spans="2:8">
      <c r="B16" s="79"/>
      <c r="C16" s="55"/>
      <c r="D16" s="55"/>
      <c r="E16" s="55"/>
      <c r="F16" s="55"/>
      <c r="G16" s="55"/>
      <c r="H16" s="55"/>
    </row>
    <row r="17" spans="2:8">
      <c r="B17" s="80"/>
      <c r="C17" s="55"/>
      <c r="D17" s="55"/>
      <c r="E17" s="55"/>
      <c r="F17" s="55"/>
      <c r="G17" s="55"/>
      <c r="H17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Assumptions</vt:lpstr>
      <vt:lpstr>1st Scenario</vt:lpstr>
      <vt:lpstr>2nd Scenario</vt:lpstr>
      <vt:lpstr>Raw data -&gt;</vt:lpstr>
      <vt:lpstr>Balance Sheet</vt:lpstr>
      <vt:lpstr>Income Statement</vt:lpstr>
      <vt:lpstr>Cash Flow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Namai</dc:creator>
  <cp:lastModifiedBy>Namai</cp:lastModifiedBy>
  <dcterms:created xsi:type="dcterms:W3CDTF">2015-06-05T18:17:20Z</dcterms:created>
  <dcterms:modified xsi:type="dcterms:W3CDTF">2025-08-20T07:07:22Z</dcterms:modified>
</cp:coreProperties>
</file>