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205"/>
  </bookViews>
  <sheets>
    <sheet name="Sheet2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M3" i="2" s="1"/>
  <c r="N3" i="2" s="1"/>
  <c r="O3" i="2" s="1"/>
  <c r="E6" i="2"/>
  <c r="M4" i="2" s="1"/>
  <c r="E7" i="2"/>
  <c r="E3" i="2"/>
  <c r="M23" i="2" l="1"/>
  <c r="M14" i="2"/>
  <c r="N14" i="2" s="1"/>
  <c r="O14" i="2" s="1"/>
  <c r="M18" i="2"/>
  <c r="M10" i="2"/>
  <c r="N10" i="2" s="1"/>
  <c r="M11" i="2"/>
  <c r="M13" i="2"/>
  <c r="M19" i="2"/>
  <c r="M12" i="2"/>
  <c r="S3" i="2"/>
  <c r="W3" i="2"/>
  <c r="V11" i="2"/>
  <c r="V7" i="2"/>
  <c r="V3" i="2"/>
  <c r="S11" i="2"/>
  <c r="S7" i="2"/>
  <c r="W11" i="2"/>
  <c r="W7" i="2"/>
  <c r="X7" i="2" l="1"/>
  <c r="X3" i="2"/>
  <c r="X11" i="2" l="1"/>
  <c r="X13" i="2" s="1"/>
  <c r="N18" i="2" l="1"/>
  <c r="O18" i="2" s="1"/>
  <c r="N11" i="2"/>
  <c r="O11" i="2" s="1"/>
  <c r="N12" i="2"/>
  <c r="O12" i="2" s="1"/>
  <c r="N4" i="2"/>
  <c r="O4" i="2" s="1"/>
  <c r="N19" i="2"/>
  <c r="O19" i="2" s="1"/>
  <c r="O10" i="2"/>
  <c r="N23" i="2"/>
  <c r="N13" i="2"/>
  <c r="O13" i="2" s="1"/>
  <c r="O23" i="2" l="1"/>
  <c r="O24" i="2" s="1"/>
  <c r="C13" i="2" s="1"/>
  <c r="O20" i="2"/>
  <c r="O7" i="2"/>
  <c r="O15" i="2"/>
  <c r="C12" i="2"/>
  <c r="O26" i="2" l="1"/>
  <c r="C11" i="2" l="1"/>
  <c r="C14" i="2" s="1"/>
  <c r="C15" i="2" s="1"/>
</calcChain>
</file>

<file path=xl/sharedStrings.xml><?xml version="1.0" encoding="utf-8"?>
<sst xmlns="http://schemas.openxmlformats.org/spreadsheetml/2006/main" count="103" uniqueCount="40">
  <si>
    <t>Man</t>
  </si>
  <si>
    <t>Day</t>
  </si>
  <si>
    <t>Effort</t>
  </si>
  <si>
    <t>No.</t>
  </si>
  <si>
    <t>Resource</t>
  </si>
  <si>
    <t>Gathering Requirements</t>
  </si>
  <si>
    <t>Development</t>
  </si>
  <si>
    <t>Deployment - UAT &amp; Training</t>
  </si>
  <si>
    <t>TOTAL</t>
  </si>
  <si>
    <t>Total</t>
  </si>
  <si>
    <t>Software Implementation Cost</t>
  </si>
  <si>
    <t>Days</t>
  </si>
  <si>
    <t>Plane</t>
  </si>
  <si>
    <t>Hotel Room</t>
  </si>
  <si>
    <t>Allowance</t>
  </si>
  <si>
    <t>Overhead - UAT</t>
  </si>
  <si>
    <t>Overhead Cost</t>
  </si>
  <si>
    <t>Project Manager</t>
  </si>
  <si>
    <t>System Analyst</t>
  </si>
  <si>
    <t>Man Day</t>
  </si>
  <si>
    <t>Hotel</t>
  </si>
  <si>
    <t>Man Day for Each Resource</t>
  </si>
  <si>
    <t>Total Costs</t>
  </si>
  <si>
    <t>Post Go Live Support (1 month)</t>
  </si>
  <si>
    <t>GRAND TOTAL</t>
  </si>
  <si>
    <t>Total Cost</t>
  </si>
  <si>
    <t>Cost</t>
  </si>
  <si>
    <t>PP Client - Hotel</t>
  </si>
  <si>
    <t>Overhead - User Training</t>
  </si>
  <si>
    <t>Margin</t>
  </si>
  <si>
    <t>Fixed Man Day</t>
  </si>
  <si>
    <t>Wages/Month</t>
  </si>
  <si>
    <t>Fixed MD * Days</t>
  </si>
  <si>
    <t>Outcome/Month</t>
  </si>
  <si>
    <t>Maintenance</t>
  </si>
  <si>
    <t>Total Days</t>
  </si>
  <si>
    <t>Web Designer</t>
  </si>
  <si>
    <t>Web Developer</t>
  </si>
  <si>
    <t>Tester</t>
  </si>
  <si>
    <t>Overhead - Gathering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</si>
</sst>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p&quot;* #,##0.00_-;\-&quot;Rp&quot;* #,##0.00_-;_-&quot;Rp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44" fontId="0" fillId="0" borderId="0" xfId="0" applyNumberFormat="1" applyFill="1" applyBorder="1" applyAlignment="1">
      <alignment horizontal="center" vertical="center"/>
    </xf>
    <xf numFmtId="44" fontId="0" fillId="3" borderId="2" xfId="0" applyNumberFormat="1" applyFill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44" fontId="0" fillId="0" borderId="4" xfId="0" applyNumberFormat="1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F13" sqref="F13"/>
    </sheetView>
  </sheetViews>
  <sheetFormatPr defaultRowHeight="15" x14ac:dyDescent="0.25"/>
  <cols>
    <col min="1" max="1" width="6.7109375" style="27" customWidth="1"/>
    <col min="2" max="2" width="28.85546875" style="27" bestFit="1" customWidth="1"/>
    <col min="3" max="3" width="18.28515625" style="27" customWidth="1"/>
    <col min="4" max="5" width="16.7109375" style="27" customWidth="1"/>
    <col min="6" max="6" width="10" style="27" bestFit="1" customWidth="1"/>
    <col min="7" max="7" width="4.7109375" style="27" customWidth="1"/>
    <col min="8" max="8" width="6.7109375" style="27" customWidth="1"/>
    <col min="9" max="9" width="20.7109375" style="1" customWidth="1"/>
    <col min="10" max="11" width="6.7109375" style="27" customWidth="1"/>
    <col min="12" max="12" width="6.7109375" style="10" customWidth="1"/>
    <col min="13" max="13" width="24.140625" style="7" customWidth="1"/>
    <col min="14" max="14" width="16.7109375" style="7" customWidth="1"/>
    <col min="15" max="15" width="18.28515625" style="7" customWidth="1"/>
    <col min="16" max="16" width="3.7109375" style="27" customWidth="1"/>
    <col min="17" max="18" width="6.7109375" style="27" customWidth="1"/>
    <col min="19" max="20" width="16.7109375" style="7" customWidth="1"/>
    <col min="21" max="21" width="12.7109375" style="27" customWidth="1"/>
    <col min="22" max="24" width="16.7109375" style="7" customWidth="1"/>
    <col min="25" max="16384" width="9.140625" style="27"/>
  </cols>
  <sheetData>
    <row r="1" spans="1:24" x14ac:dyDescent="0.25">
      <c r="A1" s="38" t="s">
        <v>21</v>
      </c>
      <c r="B1" s="38"/>
      <c r="C1" s="38"/>
      <c r="D1" s="38"/>
      <c r="E1" s="38"/>
      <c r="F1" s="12"/>
      <c r="H1" s="38" t="s">
        <v>5</v>
      </c>
      <c r="I1" s="38"/>
      <c r="J1" s="38"/>
      <c r="K1" s="38"/>
      <c r="L1" s="38"/>
      <c r="M1" s="38"/>
      <c r="N1" s="38"/>
      <c r="O1" s="38"/>
      <c r="Q1" s="35" t="s">
        <v>39</v>
      </c>
      <c r="R1" s="35"/>
      <c r="S1" s="35"/>
      <c r="T1" s="35"/>
      <c r="U1" s="35"/>
      <c r="V1" s="35"/>
      <c r="W1" s="35"/>
      <c r="X1" s="35"/>
    </row>
    <row r="2" spans="1:24" x14ac:dyDescent="0.25">
      <c r="A2" s="2" t="s">
        <v>3</v>
      </c>
      <c r="B2" s="2" t="s">
        <v>4</v>
      </c>
      <c r="C2" s="2" t="s">
        <v>31</v>
      </c>
      <c r="D2" s="2" t="s">
        <v>33</v>
      </c>
      <c r="E2" s="2" t="s">
        <v>19</v>
      </c>
      <c r="F2" s="2" t="s">
        <v>35</v>
      </c>
      <c r="H2" s="11" t="s">
        <v>3</v>
      </c>
      <c r="I2" s="11" t="s">
        <v>4</v>
      </c>
      <c r="J2" s="11" t="s">
        <v>0</v>
      </c>
      <c r="K2" s="11" t="s">
        <v>1</v>
      </c>
      <c r="L2" s="9" t="s">
        <v>2</v>
      </c>
      <c r="M2" s="18" t="s">
        <v>19</v>
      </c>
      <c r="N2" s="6" t="s">
        <v>30</v>
      </c>
      <c r="O2" s="6" t="s">
        <v>32</v>
      </c>
      <c r="Q2" s="11" t="s">
        <v>0</v>
      </c>
      <c r="R2" s="11" t="s">
        <v>11</v>
      </c>
      <c r="S2" s="6" t="s">
        <v>12</v>
      </c>
      <c r="T2" s="6" t="s">
        <v>27</v>
      </c>
      <c r="U2" s="11" t="s">
        <v>13</v>
      </c>
      <c r="V2" s="6" t="s">
        <v>20</v>
      </c>
      <c r="W2" s="6" t="s">
        <v>14</v>
      </c>
      <c r="X2" s="6" t="s">
        <v>9</v>
      </c>
    </row>
    <row r="3" spans="1:24" x14ac:dyDescent="0.25">
      <c r="A3" s="16">
        <v>1</v>
      </c>
      <c r="B3" s="3" t="s">
        <v>36</v>
      </c>
      <c r="C3" s="5">
        <v>8600000</v>
      </c>
      <c r="D3" s="5">
        <v>300000</v>
      </c>
      <c r="E3" s="5">
        <f>(C3/22)+(D3/22)</f>
        <v>404545.45454545453</v>
      </c>
      <c r="F3" s="28">
        <v>10</v>
      </c>
      <c r="H3" s="16">
        <v>1</v>
      </c>
      <c r="I3" s="3" t="s">
        <v>17</v>
      </c>
      <c r="J3" s="16">
        <v>1</v>
      </c>
      <c r="K3" s="16">
        <v>15</v>
      </c>
      <c r="L3" s="8">
        <v>1</v>
      </c>
      <c r="M3" s="19">
        <f>VLOOKUP(I3, $B$3:$E$7, 4)</f>
        <v>468181.81818181818</v>
      </c>
      <c r="N3" s="5">
        <f>M3*(100%+$C$17)</f>
        <v>561818.18181818177</v>
      </c>
      <c r="O3" s="5">
        <f>N3*K3*L3</f>
        <v>8427272.7272727266</v>
      </c>
      <c r="Q3" s="16">
        <v>2</v>
      </c>
      <c r="R3" s="16">
        <v>5</v>
      </c>
      <c r="S3" s="5">
        <f>Q3*1192800</f>
        <v>2385600</v>
      </c>
      <c r="T3" s="5">
        <v>150000</v>
      </c>
      <c r="U3" s="16">
        <v>1</v>
      </c>
      <c r="V3" s="5">
        <f>U3*700000*R3</f>
        <v>3500000</v>
      </c>
      <c r="W3" s="5">
        <f>150000*Q3*R3</f>
        <v>1500000</v>
      </c>
      <c r="X3" s="5">
        <f>S3+T3+V3+W3</f>
        <v>7535600</v>
      </c>
    </row>
    <row r="4" spans="1:24" x14ac:dyDescent="0.25">
      <c r="A4" s="16">
        <v>2</v>
      </c>
      <c r="B4" s="3" t="s">
        <v>37</v>
      </c>
      <c r="C4" s="5">
        <v>8000000</v>
      </c>
      <c r="D4" s="5">
        <v>300000</v>
      </c>
      <c r="E4" s="5">
        <f t="shared" ref="E4:E7" si="0">(C4/22)+(D4/22)</f>
        <v>377272.72727272729</v>
      </c>
      <c r="F4" s="28">
        <v>31</v>
      </c>
      <c r="H4" s="16">
        <v>2</v>
      </c>
      <c r="I4" s="3" t="s">
        <v>18</v>
      </c>
      <c r="J4" s="16">
        <v>1</v>
      </c>
      <c r="K4" s="16">
        <v>15</v>
      </c>
      <c r="L4" s="8">
        <v>1</v>
      </c>
      <c r="M4" s="19">
        <f>VLOOKUP(I4, $B$3:$E$7, 4)</f>
        <v>454545.45454545453</v>
      </c>
      <c r="N4" s="5">
        <f t="shared" ref="N4" si="1">M4*(100%+$C$17)</f>
        <v>545454.54545454541</v>
      </c>
      <c r="O4" s="5">
        <f t="shared" ref="O4" si="2">N4*K4*L4</f>
        <v>8181818.1818181816</v>
      </c>
    </row>
    <row r="5" spans="1:24" x14ac:dyDescent="0.25">
      <c r="A5" s="16">
        <v>3</v>
      </c>
      <c r="B5" s="3" t="s">
        <v>17</v>
      </c>
      <c r="C5" s="5">
        <v>10000000</v>
      </c>
      <c r="D5" s="5">
        <v>300000</v>
      </c>
      <c r="E5" s="5">
        <f>(C5/22)+(D5/22)</f>
        <v>468181.81818181818</v>
      </c>
      <c r="F5" s="28">
        <v>27</v>
      </c>
      <c r="H5" s="16"/>
      <c r="I5" s="3"/>
      <c r="J5" s="16"/>
      <c r="K5" s="16"/>
      <c r="L5" s="8"/>
      <c r="M5" s="19"/>
      <c r="N5" s="5"/>
      <c r="O5" s="5"/>
      <c r="Q5" s="38" t="s">
        <v>15</v>
      </c>
      <c r="R5" s="38"/>
      <c r="S5" s="38"/>
      <c r="T5" s="38"/>
      <c r="U5" s="38"/>
      <c r="V5" s="38"/>
      <c r="W5" s="38"/>
      <c r="X5" s="38"/>
    </row>
    <row r="6" spans="1:24" x14ac:dyDescent="0.25">
      <c r="A6" s="16">
        <v>4</v>
      </c>
      <c r="B6" s="3" t="s">
        <v>18</v>
      </c>
      <c r="C6" s="5">
        <v>9700000</v>
      </c>
      <c r="D6" s="5">
        <v>300000</v>
      </c>
      <c r="E6" s="5">
        <f t="shared" si="0"/>
        <v>454545.45454545453</v>
      </c>
      <c r="F6" s="28">
        <v>24</v>
      </c>
      <c r="H6" s="16"/>
      <c r="I6" s="3"/>
      <c r="J6" s="16"/>
      <c r="K6" s="16"/>
      <c r="L6" s="8"/>
      <c r="M6" s="19"/>
      <c r="N6" s="5"/>
      <c r="O6" s="5"/>
      <c r="Q6" s="11" t="s">
        <v>0</v>
      </c>
      <c r="R6" s="11" t="s">
        <v>11</v>
      </c>
      <c r="S6" s="6" t="s">
        <v>12</v>
      </c>
      <c r="T6" s="6" t="s">
        <v>27</v>
      </c>
      <c r="U6" s="11" t="s">
        <v>13</v>
      </c>
      <c r="V6" s="6" t="s">
        <v>20</v>
      </c>
      <c r="W6" s="6" t="s">
        <v>14</v>
      </c>
      <c r="X6" s="6" t="s">
        <v>9</v>
      </c>
    </row>
    <row r="7" spans="1:24" x14ac:dyDescent="0.25">
      <c r="A7" s="16">
        <v>5</v>
      </c>
      <c r="B7" s="3" t="s">
        <v>38</v>
      </c>
      <c r="C7" s="5">
        <v>5000000</v>
      </c>
      <c r="D7" s="5">
        <v>300000</v>
      </c>
      <c r="E7" s="5">
        <f t="shared" si="0"/>
        <v>240909.09090909091</v>
      </c>
      <c r="F7" s="28">
        <v>11</v>
      </c>
      <c r="H7" s="21"/>
      <c r="I7" s="22"/>
      <c r="J7" s="22"/>
      <c r="K7" s="22"/>
      <c r="L7" s="22"/>
      <c r="M7" s="22"/>
      <c r="N7" s="23" t="s">
        <v>8</v>
      </c>
      <c r="O7" s="6">
        <f>SUM(O3:O6)</f>
        <v>16609090.909090908</v>
      </c>
      <c r="Q7" s="16">
        <v>2</v>
      </c>
      <c r="R7" s="16">
        <v>3</v>
      </c>
      <c r="S7" s="5">
        <f>Q7*1192800</f>
        <v>2385600</v>
      </c>
      <c r="T7" s="5">
        <v>150000</v>
      </c>
      <c r="U7" s="16">
        <v>1</v>
      </c>
      <c r="V7" s="5">
        <f>U7*700000*R7</f>
        <v>2100000</v>
      </c>
      <c r="W7" s="5">
        <f>150000*Q7*R7</f>
        <v>900000</v>
      </c>
      <c r="X7" s="5">
        <f>S7+T7+V7+W7</f>
        <v>5535600</v>
      </c>
    </row>
    <row r="8" spans="1:24" x14ac:dyDescent="0.25">
      <c r="H8" s="30" t="s">
        <v>6</v>
      </c>
      <c r="I8" s="30"/>
      <c r="J8" s="30"/>
      <c r="K8" s="30"/>
      <c r="L8" s="30"/>
      <c r="M8" s="30"/>
      <c r="N8" s="30"/>
      <c r="O8" s="31"/>
      <c r="Q8" s="12"/>
      <c r="R8" s="12"/>
      <c r="S8" s="13"/>
      <c r="T8" s="13"/>
      <c r="U8" s="12"/>
      <c r="V8" s="13"/>
      <c r="W8" s="13"/>
      <c r="X8" s="13"/>
    </row>
    <row r="9" spans="1:24" x14ac:dyDescent="0.25">
      <c r="A9" s="35" t="s">
        <v>22</v>
      </c>
      <c r="B9" s="35"/>
      <c r="C9" s="35"/>
      <c r="H9" s="11" t="s">
        <v>3</v>
      </c>
      <c r="I9" s="11" t="s">
        <v>4</v>
      </c>
      <c r="J9" s="11" t="s">
        <v>0</v>
      </c>
      <c r="K9" s="11" t="s">
        <v>1</v>
      </c>
      <c r="L9" s="9" t="s">
        <v>2</v>
      </c>
      <c r="M9" s="18" t="s">
        <v>19</v>
      </c>
      <c r="N9" s="6" t="s">
        <v>30</v>
      </c>
      <c r="O9" s="6" t="s">
        <v>32</v>
      </c>
      <c r="Q9" s="38" t="s">
        <v>28</v>
      </c>
      <c r="R9" s="38"/>
      <c r="S9" s="38"/>
      <c r="T9" s="38"/>
      <c r="U9" s="38"/>
      <c r="V9" s="38"/>
      <c r="W9" s="38"/>
      <c r="X9" s="38"/>
    </row>
    <row r="10" spans="1:24" x14ac:dyDescent="0.25">
      <c r="A10" s="2" t="s">
        <v>3</v>
      </c>
      <c r="B10" s="2" t="s">
        <v>26</v>
      </c>
      <c r="C10" s="2" t="s">
        <v>25</v>
      </c>
      <c r="D10" s="20"/>
      <c r="E10" s="20"/>
      <c r="F10" s="20"/>
      <c r="H10" s="16">
        <v>1</v>
      </c>
      <c r="I10" s="3" t="s">
        <v>17</v>
      </c>
      <c r="J10" s="16">
        <v>1</v>
      </c>
      <c r="K10" s="16">
        <v>25</v>
      </c>
      <c r="L10" s="8">
        <v>1</v>
      </c>
      <c r="M10" s="19">
        <f>VLOOKUP(I10, $B$3:$E$7, 4)</f>
        <v>468181.81818181818</v>
      </c>
      <c r="N10" s="5">
        <f>M10*(100%+$C$17)</f>
        <v>561818.18181818177</v>
      </c>
      <c r="O10" s="5">
        <f>N10*K10*L10</f>
        <v>14045454.545454545</v>
      </c>
      <c r="Q10" s="11" t="s">
        <v>0</v>
      </c>
      <c r="R10" s="11" t="s">
        <v>11</v>
      </c>
      <c r="S10" s="6" t="s">
        <v>12</v>
      </c>
      <c r="T10" s="6" t="s">
        <v>27</v>
      </c>
      <c r="U10" s="11" t="s">
        <v>13</v>
      </c>
      <c r="V10" s="6" t="s">
        <v>20</v>
      </c>
      <c r="W10" s="6" t="s">
        <v>14</v>
      </c>
      <c r="X10" s="6" t="s">
        <v>9</v>
      </c>
    </row>
    <row r="11" spans="1:24" x14ac:dyDescent="0.25">
      <c r="A11" s="16">
        <v>1</v>
      </c>
      <c r="B11" s="3" t="s">
        <v>10</v>
      </c>
      <c r="C11" s="5">
        <f>O26</f>
        <v>59563636.363636352</v>
      </c>
      <c r="D11" s="13"/>
      <c r="E11" s="13"/>
      <c r="F11" s="13"/>
      <c r="H11" s="16">
        <v>2</v>
      </c>
      <c r="I11" s="3" t="s">
        <v>18</v>
      </c>
      <c r="J11" s="16">
        <v>1</v>
      </c>
      <c r="K11" s="16">
        <v>24</v>
      </c>
      <c r="L11" s="8">
        <v>1</v>
      </c>
      <c r="M11" s="19">
        <f>VLOOKUP(I11, $B$3:$E$7, 4)</f>
        <v>454545.45454545453</v>
      </c>
      <c r="N11" s="5">
        <f t="shared" ref="N11:N14" si="3">M11*(100%+$C$17)</f>
        <v>545454.54545454541</v>
      </c>
      <c r="O11" s="5">
        <f t="shared" ref="O11:O14" si="4">N11*K11*L11</f>
        <v>13090909.09090909</v>
      </c>
      <c r="Q11" s="16">
        <v>2</v>
      </c>
      <c r="R11" s="16">
        <v>2</v>
      </c>
      <c r="S11" s="5">
        <f>Q11*1192000</f>
        <v>2384000</v>
      </c>
      <c r="T11" s="5">
        <v>150000</v>
      </c>
      <c r="U11" s="16">
        <v>1</v>
      </c>
      <c r="V11" s="5">
        <f>U11*700000*R11</f>
        <v>1400000</v>
      </c>
      <c r="W11" s="5">
        <f>150000*Q11*R11</f>
        <v>600000</v>
      </c>
      <c r="X11" s="5">
        <f>S11+T11+V11+W11</f>
        <v>4534000</v>
      </c>
    </row>
    <row r="12" spans="1:24" x14ac:dyDescent="0.25">
      <c r="A12" s="16">
        <v>2</v>
      </c>
      <c r="B12" s="3" t="s">
        <v>16</v>
      </c>
      <c r="C12" s="5">
        <f>X13</f>
        <v>17605200</v>
      </c>
      <c r="D12" s="13"/>
      <c r="E12" s="13"/>
      <c r="F12" s="13"/>
      <c r="H12" s="16">
        <v>3</v>
      </c>
      <c r="I12" s="3" t="s">
        <v>36</v>
      </c>
      <c r="J12" s="16">
        <v>1</v>
      </c>
      <c r="K12" s="16">
        <v>9</v>
      </c>
      <c r="L12" s="8">
        <v>1</v>
      </c>
      <c r="M12" s="19">
        <f>VLOOKUP(I12, $B$3:$E$7, 4)</f>
        <v>240909.09090909091</v>
      </c>
      <c r="N12" s="5">
        <f t="shared" si="3"/>
        <v>289090.90909090906</v>
      </c>
      <c r="O12" s="5">
        <f t="shared" si="4"/>
        <v>2601818.1818181816</v>
      </c>
    </row>
    <row r="13" spans="1:24" x14ac:dyDescent="0.25">
      <c r="A13" s="16">
        <v>3</v>
      </c>
      <c r="B13" s="3" t="s">
        <v>23</v>
      </c>
      <c r="C13" s="5">
        <f>O24</f>
        <v>4336363.6363636358</v>
      </c>
      <c r="D13" s="12"/>
      <c r="E13" s="12"/>
      <c r="F13" s="12"/>
      <c r="H13" s="16">
        <v>4</v>
      </c>
      <c r="I13" s="3" t="s">
        <v>37</v>
      </c>
      <c r="J13" s="16">
        <v>1</v>
      </c>
      <c r="K13" s="16">
        <v>22</v>
      </c>
      <c r="L13" s="8">
        <v>1</v>
      </c>
      <c r="M13" s="19">
        <f>VLOOKUP(I13, $B$3:$E$7, 4)</f>
        <v>240909.09090909091</v>
      </c>
      <c r="N13" s="5">
        <f t="shared" si="3"/>
        <v>289090.90909090906</v>
      </c>
      <c r="O13" s="5">
        <f t="shared" si="4"/>
        <v>6359999.9999999991</v>
      </c>
      <c r="Q13" s="32" t="s">
        <v>16</v>
      </c>
      <c r="R13" s="33"/>
      <c r="S13" s="33"/>
      <c r="T13" s="33"/>
      <c r="U13" s="33"/>
      <c r="V13" s="34"/>
      <c r="W13" s="4" t="s">
        <v>9</v>
      </c>
      <c r="X13" s="15">
        <f>X3+X7+X11</f>
        <v>17605200</v>
      </c>
    </row>
    <row r="14" spans="1:24" x14ac:dyDescent="0.25">
      <c r="A14" s="36" t="s">
        <v>8</v>
      </c>
      <c r="B14" s="37"/>
      <c r="C14" s="6">
        <f>SUM(C11:C13)</f>
        <v>81505199.999999985</v>
      </c>
      <c r="D14" s="17"/>
      <c r="E14" s="17"/>
      <c r="F14" s="17"/>
      <c r="H14" s="16">
        <v>5</v>
      </c>
      <c r="I14" s="3" t="s">
        <v>38</v>
      </c>
      <c r="J14" s="16">
        <v>1</v>
      </c>
      <c r="K14" s="16">
        <v>9</v>
      </c>
      <c r="L14" s="8">
        <v>1</v>
      </c>
      <c r="M14" s="19">
        <f>VLOOKUP(I14, $B$3:$E$7, 4)</f>
        <v>240909.09090909091</v>
      </c>
      <c r="N14" s="5">
        <f t="shared" si="3"/>
        <v>289090.90909090906</v>
      </c>
      <c r="O14" s="5">
        <f t="shared" si="4"/>
        <v>2601818.1818181816</v>
      </c>
    </row>
    <row r="15" spans="1:24" x14ac:dyDescent="0.25">
      <c r="A15" s="36" t="s">
        <v>24</v>
      </c>
      <c r="B15" s="37"/>
      <c r="C15" s="6">
        <f>C14*1.1</f>
        <v>89655719.999999985</v>
      </c>
      <c r="D15" s="17"/>
      <c r="E15" s="17"/>
      <c r="F15" s="17"/>
      <c r="H15" s="21"/>
      <c r="I15" s="22"/>
      <c r="J15" s="22"/>
      <c r="K15" s="22"/>
      <c r="L15" s="22"/>
      <c r="M15" s="22"/>
      <c r="N15" s="23" t="s">
        <v>8</v>
      </c>
      <c r="O15" s="6">
        <f>SUM(O10:O14)</f>
        <v>38699999.999999993</v>
      </c>
    </row>
    <row r="16" spans="1:24" x14ac:dyDescent="0.25">
      <c r="H16" s="29" t="s">
        <v>7</v>
      </c>
      <c r="I16" s="30"/>
      <c r="J16" s="30"/>
      <c r="K16" s="30"/>
      <c r="L16" s="30"/>
      <c r="M16" s="30"/>
      <c r="N16" s="30"/>
      <c r="O16" s="31"/>
    </row>
    <row r="17" spans="2:15" x14ac:dyDescent="0.25">
      <c r="B17" s="16" t="s">
        <v>29</v>
      </c>
      <c r="C17" s="26">
        <v>0.2</v>
      </c>
      <c r="H17" s="11" t="s">
        <v>3</v>
      </c>
      <c r="I17" s="11" t="s">
        <v>4</v>
      </c>
      <c r="J17" s="11" t="s">
        <v>0</v>
      </c>
      <c r="K17" s="11" t="s">
        <v>1</v>
      </c>
      <c r="L17" s="9" t="s">
        <v>2</v>
      </c>
      <c r="M17" s="18" t="s">
        <v>19</v>
      </c>
      <c r="N17" s="6" t="s">
        <v>30</v>
      </c>
      <c r="O17" s="6" t="s">
        <v>32</v>
      </c>
    </row>
    <row r="18" spans="2:15" x14ac:dyDescent="0.25">
      <c r="H18" s="16">
        <v>1</v>
      </c>
      <c r="I18" s="3" t="s">
        <v>17</v>
      </c>
      <c r="J18" s="16">
        <v>1</v>
      </c>
      <c r="K18" s="16">
        <v>5</v>
      </c>
      <c r="L18" s="8">
        <v>1</v>
      </c>
      <c r="M18" s="19">
        <f>VLOOKUP(I18, $B$3:$E$7, 4)</f>
        <v>468181.81818181818</v>
      </c>
      <c r="N18" s="5">
        <f>M18*(100%+$C$17)</f>
        <v>561818.18181818177</v>
      </c>
      <c r="O18" s="5">
        <f>N18*K18*L18</f>
        <v>2809090.9090909087</v>
      </c>
    </row>
    <row r="19" spans="2:15" x14ac:dyDescent="0.25">
      <c r="H19" s="16">
        <v>2</v>
      </c>
      <c r="I19" s="3" t="s">
        <v>37</v>
      </c>
      <c r="J19" s="16">
        <v>1</v>
      </c>
      <c r="K19" s="16">
        <v>5</v>
      </c>
      <c r="L19" s="8">
        <v>1</v>
      </c>
      <c r="M19" s="19">
        <f>VLOOKUP(I19, $B$3:$E$7, 4)</f>
        <v>240909.09090909091</v>
      </c>
      <c r="N19" s="5">
        <f t="shared" ref="N19" si="5">M19*(100%+$C$17)</f>
        <v>289090.90909090906</v>
      </c>
      <c r="O19" s="5">
        <f t="shared" ref="O19" si="6">N19*K19*L19</f>
        <v>1445454.5454545454</v>
      </c>
    </row>
    <row r="20" spans="2:15" x14ac:dyDescent="0.25">
      <c r="H20" s="21"/>
      <c r="I20" s="22"/>
      <c r="J20" s="22"/>
      <c r="K20" s="22"/>
      <c r="L20" s="22"/>
      <c r="M20" s="22"/>
      <c r="N20" s="23" t="s">
        <v>8</v>
      </c>
      <c r="O20" s="6">
        <f>SUM(O18:O19)</f>
        <v>4254545.4545454541</v>
      </c>
    </row>
    <row r="21" spans="2:15" x14ac:dyDescent="0.25">
      <c r="H21" s="29" t="s">
        <v>34</v>
      </c>
      <c r="I21" s="30"/>
      <c r="J21" s="30"/>
      <c r="K21" s="30"/>
      <c r="L21" s="30"/>
      <c r="M21" s="30"/>
      <c r="N21" s="30"/>
      <c r="O21" s="31"/>
    </row>
    <row r="22" spans="2:15" x14ac:dyDescent="0.25">
      <c r="H22" s="11" t="s">
        <v>3</v>
      </c>
      <c r="I22" s="11" t="s">
        <v>4</v>
      </c>
      <c r="J22" s="11" t="s">
        <v>0</v>
      </c>
      <c r="K22" s="11" t="s">
        <v>1</v>
      </c>
      <c r="L22" s="9" t="s">
        <v>2</v>
      </c>
      <c r="M22" s="18" t="s">
        <v>19</v>
      </c>
      <c r="N22" s="6" t="s">
        <v>30</v>
      </c>
      <c r="O22" s="6" t="s">
        <v>32</v>
      </c>
    </row>
    <row r="23" spans="2:15" x14ac:dyDescent="0.25">
      <c r="H23" s="16">
        <v>1</v>
      </c>
      <c r="I23" s="3" t="s">
        <v>37</v>
      </c>
      <c r="J23" s="16">
        <v>1</v>
      </c>
      <c r="K23" s="16">
        <v>15</v>
      </c>
      <c r="L23" s="8">
        <v>1</v>
      </c>
      <c r="M23" s="19">
        <f>VLOOKUP(I23, $B$3:$E$7, 4)</f>
        <v>240909.09090909091</v>
      </c>
      <c r="N23" s="5">
        <f t="shared" ref="N23" si="7">M23*(100%+$C$17)</f>
        <v>289090.90909090906</v>
      </c>
      <c r="O23" s="5">
        <f>N23*K23*L23</f>
        <v>4336363.6363636358</v>
      </c>
    </row>
    <row r="24" spans="2:15" x14ac:dyDescent="0.25">
      <c r="H24" s="21"/>
      <c r="I24" s="22"/>
      <c r="J24" s="22"/>
      <c r="K24" s="22"/>
      <c r="L24" s="22"/>
      <c r="M24" s="22"/>
      <c r="N24" s="23" t="s">
        <v>8</v>
      </c>
      <c r="O24" s="6">
        <f>SUM(O23:O23)</f>
        <v>4336363.6363636358</v>
      </c>
    </row>
    <row r="25" spans="2:15" x14ac:dyDescent="0.25">
      <c r="H25" s="14"/>
      <c r="I25" s="14"/>
      <c r="J25" s="14"/>
      <c r="K25" s="14"/>
      <c r="L25" s="14"/>
      <c r="M25" s="25"/>
      <c r="N25" s="25"/>
      <c r="O25" s="24"/>
    </row>
    <row r="26" spans="2:15" x14ac:dyDescent="0.25">
      <c r="H26" s="32" t="s">
        <v>10</v>
      </c>
      <c r="I26" s="33"/>
      <c r="J26" s="33"/>
      <c r="K26" s="33"/>
      <c r="L26" s="33"/>
      <c r="M26" s="34"/>
      <c r="N26" s="4" t="s">
        <v>9</v>
      </c>
      <c r="O26" s="4">
        <f>O7+O15+O20</f>
        <v>59563636.363636352</v>
      </c>
    </row>
  </sheetData>
  <mergeCells count="13">
    <mergeCell ref="A1:E1"/>
    <mergeCell ref="H1:O1"/>
    <mergeCell ref="Q1:X1"/>
    <mergeCell ref="Q5:X5"/>
    <mergeCell ref="H8:O8"/>
    <mergeCell ref="H21:O21"/>
    <mergeCell ref="H26:M26"/>
    <mergeCell ref="A9:C9"/>
    <mergeCell ref="Q13:V13"/>
    <mergeCell ref="A14:B14"/>
    <mergeCell ref="A15:B15"/>
    <mergeCell ref="H16:O16"/>
    <mergeCell ref="Q9:X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2018-07-05T06:13:46Z</dcterms:created>
  <dcterms:modified xsi:type="dcterms:W3CDTF">2018-07-18T15:49:23Z</dcterms:modified>
</cp:coreProperties>
</file>