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ftmkwara/Documents/university/2023/semester-2/cosc-368/labs/lab-6/"/>
    </mc:Choice>
  </mc:AlternateContent>
  <xr:revisionPtr revIDLastSave="0" documentId="13_ncr:1_{683A33E7-8AFF-F147-8AC9-0CB0AB5EA41D}" xr6:coauthVersionLast="47" xr6:coauthVersionMax="47" xr10:uidLastSave="{00000000-0000-0000-0000-000000000000}"/>
  <bookViews>
    <workbookView xWindow="0" yWindow="0" windowWidth="25600" windowHeight="16000" xr2:uid="{1676772F-3B71-414F-99ED-69D5B53DCB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3" i="1"/>
  <c r="AM3" i="1"/>
  <c r="AM4" i="1"/>
  <c r="I37" i="1"/>
  <c r="I35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36" i="1"/>
  <c r="I34" i="1"/>
  <c r="I33" i="1"/>
  <c r="AQ7" i="1"/>
  <c r="AT7" i="1" s="1"/>
  <c r="C45" i="1"/>
  <c r="H45" i="1" s="1"/>
  <c r="AS3" i="1"/>
  <c r="AS4" i="1"/>
  <c r="AS5" i="1"/>
  <c r="AS6" i="1"/>
  <c r="AS7" i="1"/>
  <c r="AS8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C47" i="1"/>
  <c r="H47" i="1" s="1"/>
  <c r="AQ8" i="1"/>
  <c r="AT8" i="1" s="1"/>
  <c r="I13" i="1"/>
  <c r="I12" i="1"/>
  <c r="I11" i="1"/>
  <c r="I10" i="1"/>
  <c r="AQ4" i="1" s="1"/>
  <c r="AT4" i="1" s="1"/>
  <c r="I9" i="1"/>
  <c r="I5" i="1"/>
  <c r="I4" i="1"/>
  <c r="C42" i="1"/>
  <c r="H42" i="1" s="1"/>
  <c r="D37" i="1"/>
  <c r="AP8" i="1" s="1"/>
  <c r="D36" i="1"/>
  <c r="D35" i="1"/>
  <c r="D34" i="1"/>
  <c r="D33" i="1"/>
  <c r="D32" i="1"/>
  <c r="D31" i="1"/>
  <c r="D30" i="1"/>
  <c r="D29" i="1"/>
  <c r="D28" i="1"/>
  <c r="D27" i="1"/>
  <c r="D26" i="1"/>
  <c r="AP7" i="1" s="1"/>
  <c r="D25" i="1"/>
  <c r="D24" i="1"/>
  <c r="D23" i="1"/>
  <c r="D22" i="1"/>
  <c r="D20" i="1"/>
  <c r="AQ6" i="1" s="1"/>
  <c r="AT6" i="1" s="1"/>
  <c r="D19" i="1"/>
  <c r="D17" i="1"/>
  <c r="D16" i="1"/>
  <c r="D15" i="1"/>
  <c r="D14" i="1"/>
  <c r="B44" i="1" s="1"/>
  <c r="G44" i="1" s="1"/>
  <c r="D13" i="1"/>
  <c r="D12" i="1"/>
  <c r="D11" i="1"/>
  <c r="AP4" i="1" s="1"/>
  <c r="D10" i="1"/>
  <c r="D9" i="1"/>
  <c r="D8" i="1"/>
  <c r="D4" i="1"/>
  <c r="D5" i="1"/>
  <c r="D6" i="1"/>
  <c r="D7" i="1"/>
  <c r="B43" i="1"/>
  <c r="G43" i="1" s="1"/>
  <c r="D3" i="1"/>
  <c r="AQ5" i="1" l="1"/>
  <c r="AT5" i="1" s="1"/>
  <c r="C43" i="1"/>
  <c r="H43" i="1" s="1"/>
  <c r="AQ3" i="1"/>
  <c r="AT3" i="1" s="1"/>
  <c r="C44" i="1"/>
  <c r="H44" i="1" s="1"/>
  <c r="B47" i="1"/>
  <c r="G47" i="1" s="1"/>
  <c r="AP5" i="1"/>
  <c r="B45" i="1"/>
  <c r="G45" i="1" s="1"/>
  <c r="AP6" i="1"/>
  <c r="C46" i="1"/>
  <c r="H46" i="1" s="1"/>
  <c r="AP3" i="1"/>
  <c r="B46" i="1"/>
  <c r="G46" i="1" s="1"/>
  <c r="B42" i="1"/>
  <c r="G42" i="1" s="1"/>
</calcChain>
</file>

<file path=xl/sharedStrings.xml><?xml version="1.0" encoding="utf-8"?>
<sst xmlns="http://schemas.openxmlformats.org/spreadsheetml/2006/main" count="529" uniqueCount="47">
  <si>
    <t>dynamic</t>
  </si>
  <si>
    <t>l</t>
  </si>
  <si>
    <t>n</t>
  </si>
  <si>
    <t>i</t>
  </si>
  <si>
    <t>s</t>
  </si>
  <si>
    <t>q</t>
  </si>
  <si>
    <t>z</t>
  </si>
  <si>
    <t>static</t>
  </si>
  <si>
    <t>a</t>
  </si>
  <si>
    <t>j</t>
  </si>
  <si>
    <t>u</t>
  </si>
  <si>
    <t>Block Number</t>
  </si>
  <si>
    <t>Static</t>
  </si>
  <si>
    <t>Dynamic</t>
  </si>
  <si>
    <t>Forumla</t>
  </si>
  <si>
    <t>MT = 0.1286x + 0.1217 * LOG(3.5, 2)</t>
  </si>
  <si>
    <t>Personal Averages</t>
  </si>
  <si>
    <t>Personal Data</t>
  </si>
  <si>
    <t>Personal Results</t>
  </si>
  <si>
    <t>Class Data 1</t>
  </si>
  <si>
    <t>Class Data 2</t>
  </si>
  <si>
    <t>Class Data 3</t>
  </si>
  <si>
    <t>g</t>
  </si>
  <si>
    <t>w</t>
  </si>
  <si>
    <t>r</t>
  </si>
  <si>
    <t>b</t>
  </si>
  <si>
    <t>o</t>
  </si>
  <si>
    <t>c</t>
  </si>
  <si>
    <t>p</t>
  </si>
  <si>
    <t xml:space="preserve"> </t>
  </si>
  <si>
    <t>m</t>
  </si>
  <si>
    <t>y</t>
  </si>
  <si>
    <t>t</t>
  </si>
  <si>
    <t>x</t>
  </si>
  <si>
    <t>f</t>
  </si>
  <si>
    <t xml:space="preserve"> j</t>
  </si>
  <si>
    <t xml:space="preserve"> a</t>
  </si>
  <si>
    <t xml:space="preserve"> l</t>
  </si>
  <si>
    <t xml:space="preserve"> e</t>
  </si>
  <si>
    <t xml:space="preserve"> w</t>
  </si>
  <si>
    <t xml:space="preserve"> n</t>
  </si>
  <si>
    <t xml:space="preserve"> g</t>
  </si>
  <si>
    <t xml:space="preserve"> r</t>
  </si>
  <si>
    <t xml:space="preserve"> y</t>
  </si>
  <si>
    <t xml:space="preserve"> x</t>
  </si>
  <si>
    <t>Averages</t>
  </si>
  <si>
    <t>Pointing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</si>
</sst>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vs Dynamic Keyboard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2013951442278"/>
                  <c:y val="-7.8351921318940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Sheet1!$AS$3:$AS$8</c:f>
              <c:numCache>
                <c:formatCode>General</c:formatCode>
                <c:ptCount val="6"/>
                <c:pt idx="0">
                  <c:v>0.84638748818264631</c:v>
                </c:pt>
                <c:pt idx="1">
                  <c:v>0.57728580674410246</c:v>
                </c:pt>
                <c:pt idx="2">
                  <c:v>0.6166397746542811</c:v>
                </c:pt>
                <c:pt idx="3">
                  <c:v>0.61078200600962418</c:v>
                </c:pt>
                <c:pt idx="4">
                  <c:v>0.84802191038574315</c:v>
                </c:pt>
                <c:pt idx="5">
                  <c:v>0.58315487201553728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646-89BF-9294BDFCFCAD}"/>
            </c:ext>
          </c:extLst>
        </c:ser>
        <c:ser>
          <c:idx val="1"/>
          <c:order val="1"/>
          <c:tx>
            <c:strRef>
              <c:f>Sheet1!$AT$2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506490423221679E-4"/>
                  <c:y val="5.5557048665019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Sheet1!$AT$3:$AT$8</c:f>
              <c:numCache>
                <c:formatCode>General</c:formatCode>
                <c:ptCount val="6"/>
                <c:pt idx="0">
                  <c:v>0.79371308280500319</c:v>
                </c:pt>
                <c:pt idx="1">
                  <c:v>0.726076627981596</c:v>
                </c:pt>
                <c:pt idx="2">
                  <c:v>0.57016973266236681</c:v>
                </c:pt>
                <c:pt idx="3">
                  <c:v>0.50094225005239268</c:v>
                </c:pt>
                <c:pt idx="4">
                  <c:v>0.50963689563835457</c:v>
                </c:pt>
                <c:pt idx="5">
                  <c:v>0.43966442557983176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7-4646-89BF-9294BDFC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316543"/>
        <c:axId val="467365855"/>
      </c:lineChart>
      <c:catAx>
        <c:axId val="26831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65855"/>
        <c:crosses val="autoZero"/>
        <c:auto val="1"/>
        <c:lblAlgn val="ctr"/>
        <c:lblOffset val="100"/>
        <c:noMultiLvlLbl val="0"/>
      </c:catAx>
      <c:valAx>
        <c:axId val="4673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Selection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1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768865</xdr:colOff>
      <xdr:row>8</xdr:row>
      <xdr:rowOff>155832</xdr:rowOff>
    </xdr:from>
    <xdr:to>
      <xdr:col>46</xdr:col>
      <xdr:colOff>77802</xdr:colOff>
      <xdr:row>22</xdr:row>
      <xdr:rowOff>15789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8EA01-CB21-3F0E-DCB7-14FC1C96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4C1A-66E6-D147-8319-1E6FCB761CB3}">
  <dimension ref="A1:AT47"/>
  <sheetViews>
    <sheetView tabSelected="1" topLeftCell="AM8" zoomScale="161" zoomScaleNormal="100" workbookViewId="0">
      <selection activeCell="AP35" sqref="AP35"/>
    </sheetView>
  </sheetViews>
  <sheetFormatPr baseColWidth="10" defaultRowHeight="16" x14ac:dyDescent="0.2"/>
  <cols>
    <col min="4" max="4" width="12.33203125" bestFit="1" customWidth="1"/>
    <col min="11" max="11" width="13.33203125" customWidth="1"/>
    <col min="15" max="15" width="12.83203125" customWidth="1"/>
    <col min="41" max="41" width="15" customWidth="1"/>
  </cols>
  <sheetData>
    <row r="1" spans="1:46" x14ac:dyDescent="0.2">
      <c r="A1" s="2" t="s">
        <v>17</v>
      </c>
      <c r="B1" s="1"/>
      <c r="C1" s="1"/>
      <c r="D1" s="1"/>
      <c r="E1" s="1"/>
      <c r="F1" s="1"/>
      <c r="G1" s="1"/>
      <c r="H1" s="1"/>
      <c r="I1" s="1"/>
      <c r="K1" s="2" t="s">
        <v>19</v>
      </c>
      <c r="L1" s="1"/>
      <c r="M1" s="1"/>
      <c r="N1" s="1"/>
      <c r="O1" s="1"/>
      <c r="P1" s="1"/>
      <c r="Q1" s="1"/>
      <c r="R1" s="1"/>
      <c r="S1" s="1"/>
      <c r="U1" s="2" t="s">
        <v>20</v>
      </c>
      <c r="V1" s="1"/>
      <c r="W1" s="1"/>
      <c r="X1" s="1"/>
      <c r="Y1" s="1"/>
      <c r="Z1" s="1"/>
      <c r="AA1" s="1"/>
      <c r="AB1" s="1"/>
      <c r="AC1" s="1"/>
      <c r="AE1" s="2" t="s">
        <v>21</v>
      </c>
      <c r="AF1" s="1"/>
      <c r="AG1" s="1"/>
      <c r="AH1" s="1"/>
      <c r="AI1" s="1"/>
      <c r="AJ1" s="1"/>
      <c r="AK1" s="1"/>
      <c r="AL1" s="1"/>
      <c r="AM1" s="1"/>
      <c r="AO1" s="2" t="s">
        <v>45</v>
      </c>
      <c r="AP1" s="2"/>
      <c r="AQ1" s="2"/>
      <c r="AS1" s="2" t="s">
        <v>46</v>
      </c>
      <c r="AT1" s="1"/>
    </row>
    <row r="2" spans="1:46" x14ac:dyDescent="0.2">
      <c r="A2" s="2" t="s">
        <v>0</v>
      </c>
      <c r="B2" s="2"/>
      <c r="C2" s="2"/>
      <c r="D2" s="2"/>
      <c r="E2" s="2" t="s">
        <v>12</v>
      </c>
      <c r="F2" s="1"/>
      <c r="G2" s="1"/>
      <c r="H2" s="1"/>
      <c r="I2" s="1"/>
      <c r="K2" s="2" t="s">
        <v>0</v>
      </c>
      <c r="L2" s="2"/>
      <c r="M2" s="2"/>
      <c r="N2" s="2"/>
      <c r="O2" s="2" t="s">
        <v>12</v>
      </c>
      <c r="P2" s="1"/>
      <c r="Q2" s="1"/>
      <c r="R2" s="1"/>
      <c r="S2" s="1"/>
      <c r="U2" s="2" t="s">
        <v>0</v>
      </c>
      <c r="V2" s="2"/>
      <c r="W2" s="2"/>
      <c r="X2" s="2"/>
      <c r="Y2" s="2" t="s">
        <v>12</v>
      </c>
      <c r="Z2" s="1"/>
      <c r="AA2" s="1"/>
      <c r="AB2" s="1"/>
      <c r="AC2" s="1"/>
      <c r="AE2" s="2" t="s">
        <v>0</v>
      </c>
      <c r="AF2" s="2"/>
      <c r="AG2" s="2"/>
      <c r="AH2" s="2"/>
      <c r="AI2" s="2" t="s">
        <v>12</v>
      </c>
      <c r="AJ2" s="1"/>
      <c r="AK2" s="1"/>
      <c r="AL2" s="1"/>
      <c r="AM2" s="1"/>
      <c r="AO2" t="s">
        <v>11</v>
      </c>
      <c r="AP2" t="s">
        <v>13</v>
      </c>
      <c r="AQ2" t="s">
        <v>12</v>
      </c>
      <c r="AS2" t="s">
        <v>13</v>
      </c>
      <c r="AT2" t="s">
        <v>12</v>
      </c>
    </row>
    <row r="3" spans="1:46" x14ac:dyDescent="0.2">
      <c r="A3" t="s">
        <v>0</v>
      </c>
      <c r="B3" t="s">
        <v>1</v>
      </c>
      <c r="C3">
        <v>1</v>
      </c>
      <c r="D3">
        <f xml:space="preserve"> 0.00691413879394531 * 1000</f>
        <v>6.9141387939453098</v>
      </c>
      <c r="F3" t="s">
        <v>7</v>
      </c>
      <c r="G3" t="s">
        <v>8</v>
      </c>
      <c r="H3">
        <v>1</v>
      </c>
      <c r="I3">
        <f xml:space="preserve"> 1000 * 0.00486781311035156</f>
        <v>4.8678131103515598</v>
      </c>
      <c r="K3" t="s">
        <v>22</v>
      </c>
      <c r="L3">
        <v>0</v>
      </c>
      <c r="M3">
        <v>3.20143270492553</v>
      </c>
      <c r="O3" t="s">
        <v>25</v>
      </c>
      <c r="P3">
        <v>0</v>
      </c>
      <c r="Q3">
        <v>5.0378329753875697</v>
      </c>
      <c r="U3" t="s">
        <v>0</v>
      </c>
      <c r="V3" t="s">
        <v>10</v>
      </c>
      <c r="W3">
        <v>1</v>
      </c>
      <c r="X3">
        <v>6.4032089710235596</v>
      </c>
      <c r="Z3" t="s">
        <v>7</v>
      </c>
      <c r="AA3" t="s">
        <v>33</v>
      </c>
      <c r="AB3">
        <v>1</v>
      </c>
      <c r="AC3">
        <v>1.5514899730682401</v>
      </c>
      <c r="AE3" t="s">
        <v>0</v>
      </c>
      <c r="AF3" t="s">
        <v>35</v>
      </c>
      <c r="AG3">
        <v>0</v>
      </c>
      <c r="AH3">
        <f xml:space="preserve"> 0.001 * 1421.2</f>
        <v>1.4212</v>
      </c>
      <c r="AJ3" t="s">
        <v>7</v>
      </c>
      <c r="AK3" t="s">
        <v>39</v>
      </c>
      <c r="AL3">
        <v>0</v>
      </c>
      <c r="AM3">
        <f xml:space="preserve"> 0.001 * 1885</f>
        <v>1.885</v>
      </c>
      <c r="AO3">
        <v>1</v>
      </c>
      <c r="AP3">
        <f>AVERAGE(D3:D7,M3:M8,X3:X8,AH3:AH8)</f>
        <v>4.8711694725368275</v>
      </c>
      <c r="AQ3">
        <f>AVERAGE(I3:I7,Q3:Q8,AC3:AC8,AM3:AM8)</f>
        <v>4.4615706748879687</v>
      </c>
      <c r="AS3">
        <f xml:space="preserve"> 0.1286 * AP3 + 0.1217 * LOG(3.5, 2)</f>
        <v>0.84638748818264631</v>
      </c>
      <c r="AT3">
        <f xml:space="preserve"> 0.1286 * AQ3 + 0.1217 * LOG(3.5, 2)</f>
        <v>0.79371308280500319</v>
      </c>
    </row>
    <row r="4" spans="1:46" x14ac:dyDescent="0.2">
      <c r="A4" t="s">
        <v>0</v>
      </c>
      <c r="B4" t="s">
        <v>2</v>
      </c>
      <c r="C4">
        <v>1</v>
      </c>
      <c r="D4">
        <f xml:space="preserve"> 0.00905990600585937 * 1000</f>
        <v>9.0599060058593697</v>
      </c>
      <c r="F4" t="s">
        <v>7</v>
      </c>
      <c r="G4" t="s">
        <v>9</v>
      </c>
      <c r="H4">
        <v>1</v>
      </c>
      <c r="I4">
        <f xml:space="preserve"> 1000 * 0.00405311584472656</f>
        <v>4.0531158447265598</v>
      </c>
      <c r="K4" t="s">
        <v>23</v>
      </c>
      <c r="L4">
        <v>0</v>
      </c>
      <c r="M4">
        <v>2.5171747207641602</v>
      </c>
      <c r="O4" t="s">
        <v>26</v>
      </c>
      <c r="P4">
        <v>0</v>
      </c>
      <c r="Q4">
        <v>7.9364933967590297</v>
      </c>
      <c r="U4" t="s">
        <v>0</v>
      </c>
      <c r="V4" t="s">
        <v>30</v>
      </c>
      <c r="W4">
        <v>1</v>
      </c>
      <c r="X4">
        <v>1.1108772754669201</v>
      </c>
      <c r="Z4" t="s">
        <v>7</v>
      </c>
      <c r="AA4" t="s">
        <v>28</v>
      </c>
      <c r="AB4">
        <v>1</v>
      </c>
      <c r="AC4">
        <v>3.5032844156271201</v>
      </c>
      <c r="AE4" t="s">
        <v>0</v>
      </c>
      <c r="AF4" t="s">
        <v>36</v>
      </c>
      <c r="AG4">
        <v>0</v>
      </c>
      <c r="AH4">
        <f xml:space="preserve"> 0.001 * 3855.7</f>
        <v>3.8556999999999997</v>
      </c>
      <c r="AJ4" t="s">
        <v>7</v>
      </c>
      <c r="AK4" t="s">
        <v>41</v>
      </c>
      <c r="AL4">
        <v>0</v>
      </c>
      <c r="AM4">
        <f xml:space="preserve"> 0.001 * 2533.2</f>
        <v>2.5331999999999999</v>
      </c>
      <c r="AO4">
        <v>2</v>
      </c>
      <c r="AP4">
        <f>AVERAGE(D8:D13,M9:M14,W9:W14,AG9:AG14)</f>
        <v>2.7786214053630793</v>
      </c>
      <c r="AQ4">
        <f>AVERAGE(I8:I13,Q9:Q14,AC9:AC14,AM9:AM14)</f>
        <v>3.9356262361367471</v>
      </c>
      <c r="AS4">
        <f t="shared" ref="AS4:AS8" si="0" xml:space="preserve"> 0.1286 * AP4 + 0.1217 * LOG(3.5, 2)</f>
        <v>0.57728580674410246</v>
      </c>
      <c r="AT4">
        <f t="shared" ref="AT4:AT8" si="1" xml:space="preserve"> 0.1286 * AQ4 + 0.1217 * LOG(3.5, 2)</f>
        <v>0.726076627981596</v>
      </c>
    </row>
    <row r="5" spans="1:46" x14ac:dyDescent="0.2">
      <c r="A5" t="s">
        <v>0</v>
      </c>
      <c r="B5" t="s">
        <v>3</v>
      </c>
      <c r="C5">
        <v>1</v>
      </c>
      <c r="D5">
        <f xml:space="preserve"> 0.0131130218505859 * 1000</f>
        <v>13.1130218505859</v>
      </c>
      <c r="F5" t="s">
        <v>7</v>
      </c>
      <c r="G5" t="s">
        <v>5</v>
      </c>
      <c r="H5">
        <v>1</v>
      </c>
      <c r="I5">
        <f xml:space="preserve"> 1000 * 0.00596046447753906</f>
        <v>5.9604644775390598</v>
      </c>
      <c r="K5" t="s">
        <v>9</v>
      </c>
      <c r="L5">
        <v>0</v>
      </c>
      <c r="M5">
        <v>2.46327424049377</v>
      </c>
      <c r="O5" t="s">
        <v>24</v>
      </c>
      <c r="P5">
        <v>0</v>
      </c>
      <c r="Q5">
        <v>4.0113179683685303</v>
      </c>
      <c r="U5" t="s">
        <v>0</v>
      </c>
      <c r="V5" t="s">
        <v>31</v>
      </c>
      <c r="W5">
        <v>1</v>
      </c>
      <c r="X5">
        <v>7.9032089710235596</v>
      </c>
      <c r="Z5" t="s">
        <v>7</v>
      </c>
      <c r="AA5" t="s">
        <v>1</v>
      </c>
      <c r="AB5">
        <v>1</v>
      </c>
      <c r="AC5">
        <v>2.8638746738433798</v>
      </c>
      <c r="AE5" t="s">
        <v>0</v>
      </c>
      <c r="AF5" t="s">
        <v>37</v>
      </c>
      <c r="AG5">
        <v>0</v>
      </c>
      <c r="AH5">
        <f xml:space="preserve"> 0.001 * 1782.2</f>
        <v>1.7822</v>
      </c>
      <c r="AJ5" t="s">
        <v>7</v>
      </c>
      <c r="AK5" t="s">
        <v>42</v>
      </c>
      <c r="AL5">
        <v>0</v>
      </c>
      <c r="AM5">
        <f xml:space="preserve"> 0.001 * 6481.7</f>
        <v>6.4817</v>
      </c>
      <c r="AO5">
        <v>3</v>
      </c>
      <c r="AP5">
        <f>AVERAGE(D14:D19,M15:M20,X15:X20,AH15:AH20)</f>
        <v>3.0846398183504724</v>
      </c>
      <c r="AQ5">
        <f>AVERAGE(I14:I19,Q15:Q20,AC15:AC20,AM15:AM20)</f>
        <v>2.7232864591598478</v>
      </c>
      <c r="AS5">
        <f t="shared" si="0"/>
        <v>0.6166397746542811</v>
      </c>
      <c r="AT5">
        <f t="shared" si="1"/>
        <v>0.57016973266236681</v>
      </c>
    </row>
    <row r="6" spans="1:46" x14ac:dyDescent="0.2">
      <c r="A6" t="s">
        <v>0</v>
      </c>
      <c r="B6" t="s">
        <v>4</v>
      </c>
      <c r="C6">
        <v>1</v>
      </c>
      <c r="D6">
        <f xml:space="preserve"> 0.00691413879394531 * 1000</f>
        <v>6.9141387939453098</v>
      </c>
      <c r="F6" t="s">
        <v>7</v>
      </c>
      <c r="G6" t="s">
        <v>6</v>
      </c>
      <c r="H6">
        <v>1</v>
      </c>
      <c r="I6">
        <f xml:space="preserve"> 1000 * 0.00691413879394531</f>
        <v>6.9141387939453098</v>
      </c>
      <c r="K6" t="s">
        <v>3</v>
      </c>
      <c r="L6">
        <v>0</v>
      </c>
      <c r="M6">
        <v>1.4570949077606199</v>
      </c>
      <c r="O6" t="s">
        <v>27</v>
      </c>
      <c r="P6">
        <v>0</v>
      </c>
      <c r="Q6">
        <v>6.7703180313110298</v>
      </c>
      <c r="U6" t="s">
        <v>0</v>
      </c>
      <c r="V6" t="s">
        <v>1</v>
      </c>
      <c r="W6">
        <v>1</v>
      </c>
      <c r="X6">
        <v>3.6069869995117201</v>
      </c>
      <c r="Y6" t="s">
        <v>29</v>
      </c>
      <c r="Z6" t="s">
        <v>7</v>
      </c>
      <c r="AA6" t="s">
        <v>8</v>
      </c>
      <c r="AB6">
        <v>1</v>
      </c>
      <c r="AC6">
        <v>7.15148997306824</v>
      </c>
      <c r="AE6" t="s">
        <v>0</v>
      </c>
      <c r="AF6" t="s">
        <v>38</v>
      </c>
      <c r="AG6">
        <v>0</v>
      </c>
      <c r="AH6">
        <f xml:space="preserve"> 0.001 * 3236.3</f>
        <v>3.2363000000000004</v>
      </c>
      <c r="AJ6" t="s">
        <v>7</v>
      </c>
      <c r="AK6" t="s">
        <v>40</v>
      </c>
      <c r="AL6">
        <v>0</v>
      </c>
      <c r="AM6">
        <f xml:space="preserve"> 0.001 * 2736.7</f>
        <v>2.7366999999999999</v>
      </c>
      <c r="AO6">
        <v>4</v>
      </c>
      <c r="AP6">
        <f>AVERAGE(D20:D25,M21:M26,X21:X26,AH21:AH26)</f>
        <v>3.0390895178476964</v>
      </c>
      <c r="AQ6">
        <f>AVERAGE(D20:D25,Q22:Q26,AC21:AC26,AM21:AM26)</f>
        <v>2.1849701091600489</v>
      </c>
      <c r="AS6">
        <f t="shared" si="0"/>
        <v>0.61078200600962418</v>
      </c>
      <c r="AT6">
        <f t="shared" si="1"/>
        <v>0.50094225005239268</v>
      </c>
    </row>
    <row r="7" spans="1:46" x14ac:dyDescent="0.2">
      <c r="A7" t="s">
        <v>0</v>
      </c>
      <c r="B7" t="s">
        <v>5</v>
      </c>
      <c r="C7">
        <v>1</v>
      </c>
      <c r="D7">
        <f xml:space="preserve"> 0.0102519989013671 * 1000</f>
        <v>10.2519989013671</v>
      </c>
      <c r="F7" t="s">
        <v>7</v>
      </c>
      <c r="G7" t="s">
        <v>2</v>
      </c>
      <c r="H7">
        <v>1</v>
      </c>
      <c r="I7">
        <f xml:space="preserve"> 1000 * 0.0057819519042968</f>
        <v>5.7819519042968004</v>
      </c>
      <c r="K7" t="s">
        <v>24</v>
      </c>
      <c r="L7">
        <v>0</v>
      </c>
      <c r="M7">
        <v>2.4580109119415199</v>
      </c>
      <c r="O7" t="s">
        <v>28</v>
      </c>
      <c r="P7">
        <v>0</v>
      </c>
      <c r="Q7">
        <v>9.9069273471832204</v>
      </c>
      <c r="U7" t="s">
        <v>0</v>
      </c>
      <c r="V7" t="s">
        <v>24</v>
      </c>
      <c r="W7">
        <v>1</v>
      </c>
      <c r="X7">
        <v>4.3590903282165501</v>
      </c>
      <c r="Z7" t="s">
        <v>7</v>
      </c>
      <c r="AA7" t="s">
        <v>9</v>
      </c>
      <c r="AB7">
        <v>1</v>
      </c>
      <c r="AC7">
        <v>2.9200668334960902</v>
      </c>
      <c r="AE7" t="s">
        <v>0</v>
      </c>
      <c r="AF7" t="s">
        <v>39</v>
      </c>
      <c r="AG7">
        <v>0</v>
      </c>
      <c r="AH7">
        <f xml:space="preserve"> 0.001 * 1478</f>
        <v>1.478</v>
      </c>
      <c r="AJ7" t="s">
        <v>7</v>
      </c>
      <c r="AK7" t="s">
        <v>43</v>
      </c>
      <c r="AL7">
        <v>0</v>
      </c>
      <c r="AM7">
        <f xml:space="preserve"> 0.001 * 1314.5</f>
        <v>1.3145</v>
      </c>
      <c r="AO7">
        <v>5</v>
      </c>
      <c r="AP7">
        <f>AVERAGE(D26:D31,O27:O32,X27:X32,AH27:AH32)</f>
        <v>4.8838788209279373</v>
      </c>
      <c r="AQ7">
        <f>AVERAGE(I26:I31,Q27:Q32,AC27:AC32,AM27:AM32)</f>
        <v>2.252580105940468</v>
      </c>
      <c r="AS7">
        <f t="shared" si="0"/>
        <v>0.84802191038574315</v>
      </c>
      <c r="AT7">
        <f t="shared" si="1"/>
        <v>0.50963689563835457</v>
      </c>
    </row>
    <row r="8" spans="1:46" x14ac:dyDescent="0.2">
      <c r="A8" t="s">
        <v>0</v>
      </c>
      <c r="B8" t="s">
        <v>6</v>
      </c>
      <c r="C8">
        <v>2</v>
      </c>
      <c r="D8">
        <f xml:space="preserve"> 0.00715255737304687 * 1000</f>
        <v>7.1525573730468697</v>
      </c>
      <c r="F8" t="s">
        <v>7</v>
      </c>
      <c r="G8" t="s">
        <v>10</v>
      </c>
      <c r="H8">
        <v>2</v>
      </c>
      <c r="I8">
        <f xml:space="preserve"> 1000 * 0.0046361846923828</f>
        <v>4.6361846923828001</v>
      </c>
      <c r="K8" t="s">
        <v>25</v>
      </c>
      <c r="L8">
        <v>0</v>
      </c>
      <c r="M8">
        <v>4.5084919929504297</v>
      </c>
      <c r="O8" t="s">
        <v>2</v>
      </c>
      <c r="P8">
        <v>0</v>
      </c>
      <c r="Q8">
        <v>4.0918495655059797</v>
      </c>
      <c r="U8" t="s">
        <v>0</v>
      </c>
      <c r="V8" t="s">
        <v>32</v>
      </c>
      <c r="W8">
        <v>1</v>
      </c>
      <c r="X8">
        <v>11.9031414985657</v>
      </c>
      <c r="Z8" t="s">
        <v>7</v>
      </c>
      <c r="AA8" t="s">
        <v>34</v>
      </c>
      <c r="AB8">
        <v>1</v>
      </c>
      <c r="AC8">
        <v>3.1597962379455602</v>
      </c>
      <c r="AE8" t="s">
        <v>0</v>
      </c>
      <c r="AF8" t="s">
        <v>40</v>
      </c>
      <c r="AG8">
        <v>0</v>
      </c>
      <c r="AH8">
        <f xml:space="preserve"> 0.001 * 2118.3</f>
        <v>2.1183000000000001</v>
      </c>
      <c r="AJ8" t="s">
        <v>7</v>
      </c>
      <c r="AK8" t="s">
        <v>44</v>
      </c>
      <c r="AL8">
        <v>0</v>
      </c>
      <c r="AM8">
        <f xml:space="preserve"> 0.001 * 1182.8</f>
        <v>1.1828000000000001</v>
      </c>
      <c r="AO8">
        <v>6</v>
      </c>
      <c r="AP8">
        <f>AVERAGE(D32:D37,M33:M38,X33:X38,AH33:AH38)</f>
        <v>2.8242595489978766</v>
      </c>
      <c r="AQ8">
        <f>AVERAGE(I32:I37,Q33:Q38,AC33:AC38,AM33:AM38)</f>
        <v>1.7084706964651735</v>
      </c>
      <c r="AS8">
        <f t="shared" si="0"/>
        <v>0.58315487201553728</v>
      </c>
      <c r="AT8">
        <f t="shared" si="1"/>
        <v>0.43966442557983176</v>
      </c>
    </row>
    <row r="9" spans="1:46" x14ac:dyDescent="0.2">
      <c r="A9" t="s">
        <v>0</v>
      </c>
      <c r="B9" t="s">
        <v>3</v>
      </c>
      <c r="C9">
        <v>2</v>
      </c>
      <c r="D9">
        <f xml:space="preserve"> 0.0100135803222656 * 1000</f>
        <v>10.0135803222656</v>
      </c>
      <c r="F9" t="s">
        <v>7</v>
      </c>
      <c r="G9" t="s">
        <v>8</v>
      </c>
      <c r="H9">
        <v>2</v>
      </c>
      <c r="I9">
        <f xml:space="preserve"> 1000 * 0.0109672546386718</f>
        <v>10.9672546386718</v>
      </c>
      <c r="K9" t="s">
        <v>23</v>
      </c>
      <c r="L9">
        <v>1</v>
      </c>
      <c r="M9">
        <v>1.1397612094879099</v>
      </c>
      <c r="O9" t="s">
        <v>2</v>
      </c>
      <c r="P9">
        <v>1</v>
      </c>
      <c r="Q9">
        <v>0.93385100364685003</v>
      </c>
      <c r="U9" t="s">
        <v>0</v>
      </c>
      <c r="V9" t="s">
        <v>32</v>
      </c>
      <c r="W9">
        <v>2</v>
      </c>
      <c r="X9">
        <v>2.8393106460571298</v>
      </c>
      <c r="Z9" t="s">
        <v>7</v>
      </c>
      <c r="AA9" t="s">
        <v>34</v>
      </c>
      <c r="AB9">
        <v>2</v>
      </c>
      <c r="AC9">
        <v>1.53552913665771</v>
      </c>
      <c r="AE9" t="s">
        <v>0</v>
      </c>
      <c r="AF9" t="s">
        <v>36</v>
      </c>
      <c r="AG9">
        <v>1</v>
      </c>
      <c r="AH9">
        <f xml:space="preserve"> 0.001 * 2086.4</f>
        <v>2.0864000000000003</v>
      </c>
      <c r="AJ9" t="s">
        <v>7</v>
      </c>
      <c r="AK9" t="s">
        <v>39</v>
      </c>
      <c r="AL9">
        <v>1</v>
      </c>
      <c r="AM9">
        <f xml:space="preserve"> 0.001 * 2078.4</f>
        <v>2.0784000000000002</v>
      </c>
    </row>
    <row r="10" spans="1:46" x14ac:dyDescent="0.2">
      <c r="A10" t="s">
        <v>0</v>
      </c>
      <c r="B10" t="s">
        <v>4</v>
      </c>
      <c r="C10">
        <v>2</v>
      </c>
      <c r="D10">
        <f xml:space="preserve"> 0.00596046447753906 * 1000</f>
        <v>5.9604644775390598</v>
      </c>
      <c r="F10" t="s">
        <v>7</v>
      </c>
      <c r="G10" t="s">
        <v>6</v>
      </c>
      <c r="H10">
        <v>2</v>
      </c>
      <c r="I10">
        <f xml:space="preserve"> 1000 * 0.00882148742675781</f>
        <v>8.8214874267578107</v>
      </c>
      <c r="K10" t="s">
        <v>22</v>
      </c>
      <c r="L10">
        <v>1</v>
      </c>
      <c r="M10">
        <v>1.9200534820556601</v>
      </c>
      <c r="O10" t="s">
        <v>25</v>
      </c>
      <c r="P10">
        <v>1</v>
      </c>
      <c r="Q10">
        <v>1.15282082557678</v>
      </c>
      <c r="U10" t="s">
        <v>0</v>
      </c>
      <c r="V10" t="s">
        <v>30</v>
      </c>
      <c r="W10">
        <v>2</v>
      </c>
      <c r="X10">
        <v>1.08748030662537</v>
      </c>
      <c r="Z10" t="s">
        <v>7</v>
      </c>
      <c r="AA10" t="s">
        <v>8</v>
      </c>
      <c r="AB10">
        <v>2</v>
      </c>
      <c r="AC10">
        <v>4.5199596881866499</v>
      </c>
      <c r="AE10" t="s">
        <v>0</v>
      </c>
      <c r="AF10" t="s">
        <v>40</v>
      </c>
      <c r="AG10">
        <v>1</v>
      </c>
      <c r="AH10">
        <f xml:space="preserve"> 0.001 * 1568.8</f>
        <v>1.5688</v>
      </c>
      <c r="AJ10" t="s">
        <v>7</v>
      </c>
      <c r="AK10" t="s">
        <v>40</v>
      </c>
      <c r="AL10">
        <v>1</v>
      </c>
      <c r="AM10">
        <f xml:space="preserve"> 0.001 * 3705.1</f>
        <v>3.7050999999999998</v>
      </c>
    </row>
    <row r="11" spans="1:46" x14ac:dyDescent="0.2">
      <c r="A11" t="s">
        <v>0</v>
      </c>
      <c r="B11" t="s">
        <v>5</v>
      </c>
      <c r="C11">
        <v>2</v>
      </c>
      <c r="D11">
        <f xml:space="preserve"> 0.00286102294921875 * 1000</f>
        <v>2.86102294921875</v>
      </c>
      <c r="F11" t="s">
        <v>7</v>
      </c>
      <c r="G11" t="s">
        <v>10</v>
      </c>
      <c r="H11">
        <v>2</v>
      </c>
      <c r="I11">
        <f xml:space="preserve"> 1000 * 0.00500679016113281</f>
        <v>5.0067901611328098</v>
      </c>
      <c r="K11" t="s">
        <v>3</v>
      </c>
      <c r="L11">
        <v>1</v>
      </c>
      <c r="M11">
        <v>1.22715020179748</v>
      </c>
      <c r="O11" t="s">
        <v>24</v>
      </c>
      <c r="P11">
        <v>1</v>
      </c>
      <c r="Q11">
        <v>2.8223617076873699</v>
      </c>
      <c r="U11" t="s">
        <v>0</v>
      </c>
      <c r="V11" t="s">
        <v>31</v>
      </c>
      <c r="W11">
        <v>2</v>
      </c>
      <c r="X11">
        <v>5.1511476039886501</v>
      </c>
      <c r="Z11" t="s">
        <v>7</v>
      </c>
      <c r="AA11" t="s">
        <v>33</v>
      </c>
      <c r="AB11">
        <v>2</v>
      </c>
      <c r="AC11">
        <v>5.6879429817199698</v>
      </c>
      <c r="AE11" t="s">
        <v>0</v>
      </c>
      <c r="AF11" t="s">
        <v>37</v>
      </c>
      <c r="AG11">
        <v>1</v>
      </c>
      <c r="AH11">
        <f xml:space="preserve"> 0.001 * 1670.5</f>
        <v>1.6705000000000001</v>
      </c>
      <c r="AJ11" t="s">
        <v>7</v>
      </c>
      <c r="AK11" t="s">
        <v>41</v>
      </c>
      <c r="AL11">
        <v>1</v>
      </c>
      <c r="AM11">
        <f xml:space="preserve"> 0.001 * 4141.9</f>
        <v>4.1418999999999997</v>
      </c>
    </row>
    <row r="12" spans="1:46" x14ac:dyDescent="0.2">
      <c r="A12" t="s">
        <v>0</v>
      </c>
      <c r="B12" t="s">
        <v>2</v>
      </c>
      <c r="C12">
        <v>2</v>
      </c>
      <c r="D12">
        <f xml:space="preserve"> 0.00405311584472656 * 1000</f>
        <v>4.0531158447265598</v>
      </c>
      <c r="F12" t="s">
        <v>7</v>
      </c>
      <c r="G12" t="s">
        <v>9</v>
      </c>
      <c r="H12">
        <v>2</v>
      </c>
      <c r="I12">
        <f xml:space="preserve"> 1000 * 0.00309944152832031</f>
        <v>3.0994415283203098</v>
      </c>
      <c r="K12" t="s">
        <v>25</v>
      </c>
      <c r="L12">
        <v>1</v>
      </c>
      <c r="M12">
        <v>5.3706581592559797</v>
      </c>
      <c r="O12" t="s">
        <v>26</v>
      </c>
      <c r="P12">
        <v>1</v>
      </c>
      <c r="Q12">
        <v>3.1355438232421</v>
      </c>
      <c r="U12" t="s">
        <v>0</v>
      </c>
      <c r="V12" t="s">
        <v>10</v>
      </c>
      <c r="W12">
        <v>2</v>
      </c>
      <c r="X12">
        <v>1.15940713882446</v>
      </c>
      <c r="Z12" t="s">
        <v>7</v>
      </c>
      <c r="AA12" t="s">
        <v>1</v>
      </c>
      <c r="AB12">
        <v>2</v>
      </c>
      <c r="AC12">
        <v>6.7518322467803999</v>
      </c>
      <c r="AE12" t="s">
        <v>0</v>
      </c>
      <c r="AF12" t="s">
        <v>38</v>
      </c>
      <c r="AG12">
        <v>1</v>
      </c>
      <c r="AH12">
        <f xml:space="preserve"> 0.001 * 1274.6</f>
        <v>1.2746</v>
      </c>
      <c r="AJ12" t="s">
        <v>7</v>
      </c>
      <c r="AK12" t="s">
        <v>43</v>
      </c>
      <c r="AL12">
        <v>1</v>
      </c>
      <c r="AM12">
        <f xml:space="preserve"> 0.001 * 1578.8</f>
        <v>1.5788</v>
      </c>
    </row>
    <row r="13" spans="1:46" x14ac:dyDescent="0.2">
      <c r="A13" t="s">
        <v>0</v>
      </c>
      <c r="B13" t="s">
        <v>1</v>
      </c>
      <c r="C13">
        <v>2</v>
      </c>
      <c r="D13">
        <f>0.00619888305664062 * 1000</f>
        <v>6.1988830566406197</v>
      </c>
      <c r="F13" t="s">
        <v>7</v>
      </c>
      <c r="G13" t="s">
        <v>2</v>
      </c>
      <c r="H13">
        <v>2</v>
      </c>
      <c r="I13">
        <f xml:space="preserve"> 1000 * 0.00405311584472656</f>
        <v>4.0531158447265598</v>
      </c>
      <c r="K13" t="s">
        <v>24</v>
      </c>
      <c r="L13">
        <v>1</v>
      </c>
      <c r="M13">
        <v>1.57089972496032</v>
      </c>
      <c r="O13" t="s">
        <v>28</v>
      </c>
      <c r="P13">
        <v>1</v>
      </c>
      <c r="Q13">
        <v>3.3189051151275599</v>
      </c>
      <c r="U13" t="s">
        <v>0</v>
      </c>
      <c r="V13" t="s">
        <v>24</v>
      </c>
      <c r="W13">
        <v>2</v>
      </c>
      <c r="X13">
        <v>7.3272988796234104</v>
      </c>
      <c r="Z13" t="s">
        <v>7</v>
      </c>
      <c r="AA13" t="s">
        <v>28</v>
      </c>
      <c r="AB13">
        <v>2</v>
      </c>
      <c r="AC13">
        <v>3.9918186664581299</v>
      </c>
      <c r="AE13" t="s">
        <v>0</v>
      </c>
      <c r="AF13" t="s">
        <v>39</v>
      </c>
      <c r="AG13">
        <v>1</v>
      </c>
      <c r="AH13">
        <f xml:space="preserve"> 0.001 * 2778.6</f>
        <v>2.7786</v>
      </c>
      <c r="AJ13" t="s">
        <v>7</v>
      </c>
      <c r="AK13" t="s">
        <v>44</v>
      </c>
      <c r="AL13">
        <v>1</v>
      </c>
      <c r="AM13">
        <f xml:space="preserve"> 0.001 * 1163.9</f>
        <v>1.1639000000000002</v>
      </c>
    </row>
    <row r="14" spans="1:46" x14ac:dyDescent="0.2">
      <c r="A14" t="s">
        <v>0</v>
      </c>
      <c r="B14" t="s">
        <v>6</v>
      </c>
      <c r="C14">
        <v>3</v>
      </c>
      <c r="D14">
        <f>0.00405311584472656 * 1000</f>
        <v>4.0531158447265598</v>
      </c>
      <c r="F14" t="s">
        <v>7</v>
      </c>
      <c r="G14" t="s">
        <v>5</v>
      </c>
      <c r="H14">
        <v>3</v>
      </c>
      <c r="I14">
        <f xml:space="preserve"> 1000 * 0.00400679016113281</f>
        <v>4.0067901611328098</v>
      </c>
      <c r="K14" t="s">
        <v>9</v>
      </c>
      <c r="L14">
        <v>1</v>
      </c>
      <c r="M14">
        <v>1.21876692771911</v>
      </c>
      <c r="O14" t="s">
        <v>27</v>
      </c>
      <c r="P14">
        <v>1</v>
      </c>
      <c r="Q14">
        <v>4.87396216392517</v>
      </c>
      <c r="U14" t="s">
        <v>0</v>
      </c>
      <c r="V14" t="s">
        <v>1</v>
      </c>
      <c r="W14">
        <v>2</v>
      </c>
      <c r="X14">
        <v>1.75911712646484</v>
      </c>
      <c r="Z14" t="s">
        <v>7</v>
      </c>
      <c r="AA14" t="s">
        <v>9</v>
      </c>
      <c r="AB14">
        <v>2</v>
      </c>
      <c r="AC14">
        <v>2.4878280162811302</v>
      </c>
      <c r="AE14" t="s">
        <v>0</v>
      </c>
      <c r="AF14" t="s">
        <v>35</v>
      </c>
      <c r="AG14">
        <v>1</v>
      </c>
      <c r="AH14">
        <f xml:space="preserve"> 0.001 * 1394.3</f>
        <v>1.3942999999999999</v>
      </c>
      <c r="AJ14" t="s">
        <v>7</v>
      </c>
      <c r="AK14" t="s">
        <v>42</v>
      </c>
      <c r="AL14">
        <v>1</v>
      </c>
      <c r="AM14">
        <f xml:space="preserve"> 0.001 * 3990.3</f>
        <v>3.9903000000000004</v>
      </c>
    </row>
    <row r="15" spans="1:46" x14ac:dyDescent="0.2">
      <c r="A15" t="s">
        <v>0</v>
      </c>
      <c r="B15" t="s">
        <v>4</v>
      </c>
      <c r="C15">
        <v>3</v>
      </c>
      <c r="D15">
        <f xml:space="preserve"> 1000 * 0.003814697265625</f>
        <v>3.814697265625</v>
      </c>
      <c r="F15" t="s">
        <v>7</v>
      </c>
      <c r="G15" t="s">
        <v>5</v>
      </c>
      <c r="H15">
        <v>3</v>
      </c>
      <c r="I15">
        <f xml:space="preserve"> 1000 * 0.00519888305664062</f>
        <v>5.1988830566406197</v>
      </c>
      <c r="K15" t="s">
        <v>23</v>
      </c>
      <c r="L15">
        <v>2</v>
      </c>
      <c r="M15">
        <v>3.0825181007385201</v>
      </c>
      <c r="O15" t="s">
        <v>28</v>
      </c>
      <c r="P15">
        <v>2</v>
      </c>
      <c r="Q15">
        <v>2.9114210605621298</v>
      </c>
      <c r="U15" t="s">
        <v>0</v>
      </c>
      <c r="V15" t="s">
        <v>32</v>
      </c>
      <c r="W15">
        <v>3</v>
      </c>
      <c r="X15">
        <v>4.7916240692138699</v>
      </c>
      <c r="Z15" t="s">
        <v>7</v>
      </c>
      <c r="AA15" t="s">
        <v>34</v>
      </c>
      <c r="AB15">
        <v>3</v>
      </c>
      <c r="AC15">
        <v>3.8318681716918901</v>
      </c>
      <c r="AE15" t="s">
        <v>0</v>
      </c>
      <c r="AF15" t="s">
        <v>39</v>
      </c>
      <c r="AG15">
        <v>2</v>
      </c>
      <c r="AH15">
        <f xml:space="preserve"> 0.001 * 1506</f>
        <v>1.506</v>
      </c>
      <c r="AJ15" t="s">
        <v>7</v>
      </c>
      <c r="AK15" t="s">
        <v>43</v>
      </c>
      <c r="AL15">
        <v>2</v>
      </c>
      <c r="AM15">
        <f xml:space="preserve"> 0.001 * 1286.6</f>
        <v>1.2866</v>
      </c>
    </row>
    <row r="16" spans="1:46" x14ac:dyDescent="0.2">
      <c r="A16" t="s">
        <v>0</v>
      </c>
      <c r="B16" t="s">
        <v>3</v>
      </c>
      <c r="C16">
        <v>3</v>
      </c>
      <c r="D16">
        <f xml:space="preserve"> 1000 * 0.00691413879394531</f>
        <v>6.9141387939453098</v>
      </c>
      <c r="F16" t="s">
        <v>7</v>
      </c>
      <c r="G16" t="s">
        <v>6</v>
      </c>
      <c r="H16">
        <v>3</v>
      </c>
      <c r="I16">
        <f xml:space="preserve"> 1000 * 0.00424520874023437</f>
        <v>4.2452087402343697</v>
      </c>
      <c r="K16" t="s">
        <v>25</v>
      </c>
      <c r="L16">
        <v>2</v>
      </c>
      <c r="M16">
        <v>1.31879186630249</v>
      </c>
      <c r="O16" t="s">
        <v>26</v>
      </c>
      <c r="P16">
        <v>2</v>
      </c>
      <c r="Q16">
        <v>1.8262202739715501</v>
      </c>
      <c r="U16" t="s">
        <v>0</v>
      </c>
      <c r="V16" t="s">
        <v>1</v>
      </c>
      <c r="W16">
        <v>3</v>
      </c>
      <c r="X16">
        <v>2.8311948776245099</v>
      </c>
      <c r="Z16" t="s">
        <v>7</v>
      </c>
      <c r="AA16" t="s">
        <v>28</v>
      </c>
      <c r="AB16">
        <v>3</v>
      </c>
      <c r="AC16">
        <v>3.7678694725036599</v>
      </c>
      <c r="AE16" t="s">
        <v>0</v>
      </c>
      <c r="AF16" t="s">
        <v>38</v>
      </c>
      <c r="AG16">
        <v>2</v>
      </c>
      <c r="AH16">
        <f xml:space="preserve"> 0.001 * 1237.7</f>
        <v>1.2377</v>
      </c>
      <c r="AJ16" t="s">
        <v>7</v>
      </c>
      <c r="AK16" t="s">
        <v>44</v>
      </c>
      <c r="AL16">
        <v>2</v>
      </c>
      <c r="AM16">
        <f xml:space="preserve"> 0.001 * 1062.2</f>
        <v>1.0622</v>
      </c>
    </row>
    <row r="17" spans="1:39" x14ac:dyDescent="0.2">
      <c r="A17" t="s">
        <v>0</v>
      </c>
      <c r="B17" t="s">
        <v>2</v>
      </c>
      <c r="C17">
        <v>3</v>
      </c>
      <c r="D17">
        <f xml:space="preserve"> 1000 * 0.0100135803222656</f>
        <v>10.0135803222656</v>
      </c>
      <c r="F17" t="s">
        <v>7</v>
      </c>
      <c r="G17" t="s">
        <v>9</v>
      </c>
      <c r="H17">
        <v>3</v>
      </c>
      <c r="I17">
        <f xml:space="preserve"> 1000 * 0.00329153442382812</f>
        <v>3.2915344238281201</v>
      </c>
      <c r="K17" t="s">
        <v>9</v>
      </c>
      <c r="L17">
        <v>2</v>
      </c>
      <c r="M17">
        <v>1.79859972000122</v>
      </c>
      <c r="O17" t="s">
        <v>25</v>
      </c>
      <c r="P17">
        <v>2</v>
      </c>
      <c r="Q17">
        <v>1.8767797946929901</v>
      </c>
      <c r="U17" t="s">
        <v>0</v>
      </c>
      <c r="V17" t="s">
        <v>30</v>
      </c>
      <c r="W17">
        <v>3</v>
      </c>
      <c r="X17">
        <v>4.8235173225402797</v>
      </c>
      <c r="Z17" t="s">
        <v>7</v>
      </c>
      <c r="AA17" t="s">
        <v>1</v>
      </c>
      <c r="AB17">
        <v>3</v>
      </c>
      <c r="AC17">
        <v>2.7274730205535902</v>
      </c>
      <c r="AE17" t="s">
        <v>0</v>
      </c>
      <c r="AF17" t="s">
        <v>36</v>
      </c>
      <c r="AG17">
        <v>2</v>
      </c>
      <c r="AH17">
        <f xml:space="preserve"> 0.001 * 1635.6</f>
        <v>1.6355999999999999</v>
      </c>
      <c r="AJ17" t="s">
        <v>7</v>
      </c>
      <c r="AK17" t="s">
        <v>40</v>
      </c>
      <c r="AL17">
        <v>2</v>
      </c>
      <c r="AM17">
        <f xml:space="preserve"> 0.001 * 2352.7</f>
        <v>2.3527</v>
      </c>
    </row>
    <row r="18" spans="1:39" x14ac:dyDescent="0.2">
      <c r="A18" t="s">
        <v>0</v>
      </c>
      <c r="B18" t="s">
        <v>1</v>
      </c>
      <c r="C18">
        <v>3</v>
      </c>
      <c r="D18">
        <v>5.2452087402343698E-3</v>
      </c>
      <c r="F18" t="s">
        <v>7</v>
      </c>
      <c r="G18" t="s">
        <v>8</v>
      </c>
      <c r="H18">
        <v>3</v>
      </c>
      <c r="I18">
        <f xml:space="preserve"> 1000 * 0.0037220458984375</f>
        <v>3.7220458984375</v>
      </c>
      <c r="K18" t="s">
        <v>3</v>
      </c>
      <c r="L18">
        <v>2</v>
      </c>
      <c r="M18">
        <v>2.7712316513061501</v>
      </c>
      <c r="O18" t="s">
        <v>2</v>
      </c>
      <c r="P18">
        <v>2</v>
      </c>
      <c r="Q18">
        <v>2.9959030151367099</v>
      </c>
      <c r="U18" t="s">
        <v>0</v>
      </c>
      <c r="V18" t="s">
        <v>24</v>
      </c>
      <c r="W18">
        <v>3</v>
      </c>
      <c r="X18">
        <v>2.7433049678802499</v>
      </c>
      <c r="Z18" t="s">
        <v>7</v>
      </c>
      <c r="AA18" t="s">
        <v>8</v>
      </c>
      <c r="AB18">
        <v>3</v>
      </c>
      <c r="AC18">
        <v>1.7198066711425799</v>
      </c>
      <c r="AE18" t="s">
        <v>0</v>
      </c>
      <c r="AF18" t="s">
        <v>37</v>
      </c>
      <c r="AG18">
        <v>2</v>
      </c>
      <c r="AH18">
        <f xml:space="preserve"> 0.001 * 1446.1</f>
        <v>1.4460999999999999</v>
      </c>
      <c r="AJ18" t="s">
        <v>7</v>
      </c>
      <c r="AK18" t="s">
        <v>42</v>
      </c>
      <c r="AL18">
        <v>2</v>
      </c>
      <c r="AM18">
        <f xml:space="preserve"> 0.001 * 2136.3</f>
        <v>2.1363000000000003</v>
      </c>
    </row>
    <row r="19" spans="1:39" x14ac:dyDescent="0.2">
      <c r="A19" t="s">
        <v>0</v>
      </c>
      <c r="B19" t="s">
        <v>5</v>
      </c>
      <c r="C19">
        <v>3</v>
      </c>
      <c r="D19">
        <f xml:space="preserve"> 1000 * 0.00405311584472656</f>
        <v>4.0531158447265598</v>
      </c>
      <c r="F19" t="s">
        <v>7</v>
      </c>
      <c r="G19" t="s">
        <v>2</v>
      </c>
      <c r="H19">
        <v>3</v>
      </c>
      <c r="I19">
        <f xml:space="preserve"> 1000 * 0.00205311584472656</f>
        <v>2.0531158447265598</v>
      </c>
      <c r="K19" t="s">
        <v>22</v>
      </c>
      <c r="L19">
        <v>2</v>
      </c>
      <c r="M19">
        <v>2.5322580337524401</v>
      </c>
      <c r="O19" t="s">
        <v>27</v>
      </c>
      <c r="P19">
        <v>2</v>
      </c>
      <c r="Q19">
        <v>3.7182199954986501</v>
      </c>
      <c r="U19" t="s">
        <v>0</v>
      </c>
      <c r="V19" t="s">
        <v>31</v>
      </c>
      <c r="W19">
        <v>3</v>
      </c>
      <c r="X19">
        <v>1.18340587615967</v>
      </c>
      <c r="Z19" t="s">
        <v>7</v>
      </c>
      <c r="AA19" t="s">
        <v>9</v>
      </c>
      <c r="AB19">
        <v>3</v>
      </c>
      <c r="AC19">
        <v>1.8963992595672601</v>
      </c>
      <c r="AE19" t="s">
        <v>0</v>
      </c>
      <c r="AF19" t="s">
        <v>40</v>
      </c>
      <c r="AG19">
        <v>2</v>
      </c>
      <c r="AH19">
        <f xml:space="preserve"> 0.001 * 1813.2</f>
        <v>1.8132000000000001</v>
      </c>
      <c r="AJ19" t="s">
        <v>7</v>
      </c>
      <c r="AK19" t="s">
        <v>39</v>
      </c>
      <c r="AL19">
        <v>2</v>
      </c>
      <c r="AM19">
        <f xml:space="preserve"> 0.001 * 2260</f>
        <v>2.2600000000000002</v>
      </c>
    </row>
    <row r="20" spans="1:39" x14ac:dyDescent="0.2">
      <c r="A20" t="s">
        <v>0</v>
      </c>
      <c r="B20" t="s">
        <v>6</v>
      </c>
      <c r="C20">
        <v>4</v>
      </c>
      <c r="D20">
        <f xml:space="preserve"> 1000 * 0.00309944152832031</f>
        <v>3.0994415283203098</v>
      </c>
      <c r="F20" t="s">
        <v>7</v>
      </c>
      <c r="G20" t="s">
        <v>10</v>
      </c>
      <c r="H20">
        <v>4</v>
      </c>
      <c r="I20">
        <f xml:space="preserve"> 1000 * 0.00324520874023437</f>
        <v>3.2452087402343701</v>
      </c>
      <c r="K20" t="s">
        <v>24</v>
      </c>
      <c r="L20">
        <v>2</v>
      </c>
      <c r="M20">
        <v>1.5580868721008301</v>
      </c>
      <c r="O20" t="s">
        <v>24</v>
      </c>
      <c r="P20">
        <v>2</v>
      </c>
      <c r="Q20">
        <v>1.72413754463195</v>
      </c>
      <c r="U20" t="s">
        <v>0</v>
      </c>
      <c r="V20" t="s">
        <v>10</v>
      </c>
      <c r="W20">
        <v>3</v>
      </c>
      <c r="X20">
        <v>6.1834290027618399</v>
      </c>
      <c r="Z20" t="s">
        <v>7</v>
      </c>
      <c r="AA20" t="s">
        <v>33</v>
      </c>
      <c r="AB20">
        <v>3</v>
      </c>
      <c r="AC20">
        <v>1.55989861488342</v>
      </c>
      <c r="AE20" t="s">
        <v>0</v>
      </c>
      <c r="AF20" t="s">
        <v>35</v>
      </c>
      <c r="AG20">
        <v>2</v>
      </c>
      <c r="AH20">
        <f xml:space="preserve"> 0.001 * 1920.9</f>
        <v>1.9209000000000001</v>
      </c>
      <c r="AJ20" t="s">
        <v>7</v>
      </c>
      <c r="AK20" t="s">
        <v>41</v>
      </c>
      <c r="AL20">
        <v>2</v>
      </c>
      <c r="AM20">
        <f xml:space="preserve"> 0.001 * 3187.5</f>
        <v>3.1875</v>
      </c>
    </row>
    <row r="21" spans="1:39" x14ac:dyDescent="0.2">
      <c r="A21" t="s">
        <v>0</v>
      </c>
      <c r="B21" t="s">
        <v>1</v>
      </c>
      <c r="C21">
        <v>4</v>
      </c>
      <c r="D21">
        <v>5.0067901611328099E-3</v>
      </c>
      <c r="F21" t="s">
        <v>7</v>
      </c>
      <c r="G21" t="s">
        <v>6</v>
      </c>
      <c r="H21">
        <v>4</v>
      </c>
      <c r="I21">
        <f xml:space="preserve"> 1000 * 0.00109944152832031</f>
        <v>1.0994415283203101</v>
      </c>
      <c r="K21" t="s">
        <v>3</v>
      </c>
      <c r="L21">
        <v>3</v>
      </c>
      <c r="M21">
        <v>2.1629662513732901</v>
      </c>
      <c r="O21" t="s">
        <v>26</v>
      </c>
      <c r="P21">
        <v>3</v>
      </c>
      <c r="Q21">
        <v>1.72837781906127</v>
      </c>
      <c r="U21" t="s">
        <v>0</v>
      </c>
      <c r="V21" t="s">
        <v>30</v>
      </c>
      <c r="W21">
        <v>4</v>
      </c>
      <c r="X21">
        <v>1.3994774818420399</v>
      </c>
      <c r="Z21" t="s">
        <v>7</v>
      </c>
      <c r="AA21" t="s">
        <v>1</v>
      </c>
      <c r="AB21">
        <v>4</v>
      </c>
      <c r="AC21">
        <v>1.5438246726989699</v>
      </c>
      <c r="AE21" t="s">
        <v>0</v>
      </c>
      <c r="AF21" t="s">
        <v>38</v>
      </c>
      <c r="AG21">
        <v>3</v>
      </c>
      <c r="AH21">
        <f xml:space="preserve"> 0.001 * 4023.2</f>
        <v>4.0232000000000001</v>
      </c>
      <c r="AJ21" t="s">
        <v>7</v>
      </c>
      <c r="AK21" t="s">
        <v>39</v>
      </c>
      <c r="AL21">
        <v>3</v>
      </c>
      <c r="AM21">
        <f xml:space="preserve"> 0.001 * 2166.2</f>
        <v>2.1661999999999999</v>
      </c>
    </row>
    <row r="22" spans="1:39" x14ac:dyDescent="0.2">
      <c r="A22" t="s">
        <v>0</v>
      </c>
      <c r="B22" t="s">
        <v>6</v>
      </c>
      <c r="C22">
        <v>4</v>
      </c>
      <c r="D22">
        <f xml:space="preserve"> 1000 * 0.00262260437011718</f>
        <v>2.62260437011718</v>
      </c>
      <c r="F22" t="s">
        <v>7</v>
      </c>
      <c r="G22" t="s">
        <v>5</v>
      </c>
      <c r="H22">
        <v>4</v>
      </c>
      <c r="I22">
        <f xml:space="preserve"> 1000 * 0.0027220458984375</f>
        <v>2.7220458984375</v>
      </c>
      <c r="K22" t="s">
        <v>25</v>
      </c>
      <c r="L22">
        <v>3</v>
      </c>
      <c r="M22">
        <v>2.4222664833068799</v>
      </c>
      <c r="O22" t="s">
        <v>24</v>
      </c>
      <c r="P22">
        <v>3</v>
      </c>
      <c r="Q22">
        <v>2.0096404552459699</v>
      </c>
      <c r="U22" t="s">
        <v>0</v>
      </c>
      <c r="V22" t="s">
        <v>31</v>
      </c>
      <c r="W22">
        <v>4</v>
      </c>
      <c r="X22">
        <v>11.015426158905001</v>
      </c>
      <c r="Z22" t="s">
        <v>7</v>
      </c>
      <c r="AA22" t="s">
        <v>8</v>
      </c>
      <c r="AB22">
        <v>4</v>
      </c>
      <c r="AC22">
        <v>2.4319224357604998</v>
      </c>
      <c r="AE22" t="s">
        <v>0</v>
      </c>
      <c r="AF22" t="s">
        <v>35</v>
      </c>
      <c r="AG22">
        <v>3</v>
      </c>
      <c r="AH22">
        <f xml:space="preserve"> 0.001 * 1794.2</f>
        <v>1.7942</v>
      </c>
      <c r="AJ22" t="s">
        <v>7</v>
      </c>
      <c r="AK22" t="s">
        <v>43</v>
      </c>
      <c r="AL22">
        <v>3</v>
      </c>
      <c r="AM22">
        <f xml:space="preserve"> 0.001 * 1095.1</f>
        <v>1.0951</v>
      </c>
    </row>
    <row r="23" spans="1:39" x14ac:dyDescent="0.2">
      <c r="A23" t="s">
        <v>0</v>
      </c>
      <c r="B23" t="s">
        <v>2</v>
      </c>
      <c r="C23">
        <v>4</v>
      </c>
      <c r="D23">
        <f xml:space="preserve"> 1000 * 0.00309944152832031</f>
        <v>3.0994415283203098</v>
      </c>
      <c r="F23" t="s">
        <v>7</v>
      </c>
      <c r="G23" t="s">
        <v>10</v>
      </c>
      <c r="H23">
        <v>4</v>
      </c>
      <c r="I23">
        <f xml:space="preserve"> 1000 * 0.00209944152832031</f>
        <v>2.0994415283203098</v>
      </c>
      <c r="K23" t="s">
        <v>9</v>
      </c>
      <c r="L23">
        <v>3</v>
      </c>
      <c r="M23">
        <v>1.1708841323852499</v>
      </c>
      <c r="O23" t="s">
        <v>27</v>
      </c>
      <c r="P23">
        <v>3</v>
      </c>
      <c r="Q23">
        <v>1.1635332107543901</v>
      </c>
      <c r="U23" t="s">
        <v>0</v>
      </c>
      <c r="V23" t="s">
        <v>32</v>
      </c>
      <c r="W23">
        <v>4</v>
      </c>
      <c r="X23">
        <v>2.6550936698913601</v>
      </c>
      <c r="Z23" t="s">
        <v>7</v>
      </c>
      <c r="AA23" t="s">
        <v>33</v>
      </c>
      <c r="AB23">
        <v>4</v>
      </c>
      <c r="AC23">
        <v>2.27196192741394</v>
      </c>
      <c r="AE23" t="s">
        <v>0</v>
      </c>
      <c r="AF23" t="s">
        <v>40</v>
      </c>
      <c r="AG23">
        <v>3</v>
      </c>
      <c r="AH23">
        <f xml:space="preserve"> 0.001 * 1223.7</f>
        <v>1.2237</v>
      </c>
      <c r="AJ23" t="s">
        <v>7</v>
      </c>
      <c r="AK23" t="s">
        <v>44</v>
      </c>
      <c r="AL23">
        <v>3</v>
      </c>
      <c r="AM23">
        <f xml:space="preserve"> 0.001 * 1065.2</f>
        <v>1.0652000000000001</v>
      </c>
    </row>
    <row r="24" spans="1:39" x14ac:dyDescent="0.2">
      <c r="A24" t="s">
        <v>0</v>
      </c>
      <c r="B24" t="s">
        <v>4</v>
      </c>
      <c r="C24">
        <v>4</v>
      </c>
      <c r="D24">
        <f xml:space="preserve"> 1000 * 0.003814697265625</f>
        <v>3.814697265625</v>
      </c>
      <c r="F24" t="s">
        <v>7</v>
      </c>
      <c r="G24" t="s">
        <v>2</v>
      </c>
      <c r="H24">
        <v>4</v>
      </c>
      <c r="I24">
        <f xml:space="preserve"> 1000 * 0.00300679016113281</f>
        <v>3.0067901611328098</v>
      </c>
      <c r="K24" t="s">
        <v>23</v>
      </c>
      <c r="L24">
        <v>3</v>
      </c>
      <c r="M24">
        <v>1.1611244678497299</v>
      </c>
      <c r="O24" t="s">
        <v>25</v>
      </c>
      <c r="P24">
        <v>3</v>
      </c>
      <c r="Q24">
        <v>2.8603484630584699</v>
      </c>
      <c r="U24" t="s">
        <v>0</v>
      </c>
      <c r="V24" t="s">
        <v>10</v>
      </c>
      <c r="W24">
        <v>4</v>
      </c>
      <c r="X24">
        <v>4.1833734512329102</v>
      </c>
      <c r="Z24" t="s">
        <v>7</v>
      </c>
      <c r="AA24" t="s">
        <v>34</v>
      </c>
      <c r="AB24">
        <v>4</v>
      </c>
      <c r="AC24">
        <v>1.5118772983551001</v>
      </c>
      <c r="AE24" t="s">
        <v>0</v>
      </c>
      <c r="AF24" t="s">
        <v>39</v>
      </c>
      <c r="AG24">
        <v>3</v>
      </c>
      <c r="AH24">
        <f xml:space="preserve"> 0.001 * 2048.5</f>
        <v>2.0485000000000002</v>
      </c>
      <c r="AJ24" t="s">
        <v>7</v>
      </c>
      <c r="AK24" t="s">
        <v>41</v>
      </c>
      <c r="AL24">
        <v>3</v>
      </c>
      <c r="AM24">
        <f xml:space="preserve"> 0.001 * 1328.4</f>
        <v>1.3284</v>
      </c>
    </row>
    <row r="25" spans="1:39" x14ac:dyDescent="0.2">
      <c r="A25" t="s">
        <v>0</v>
      </c>
      <c r="B25" t="s">
        <v>3</v>
      </c>
      <c r="C25">
        <v>4</v>
      </c>
      <c r="D25">
        <f xml:space="preserve"> 1000 * 0.00405311584472656</f>
        <v>4.0531158447265598</v>
      </c>
      <c r="F25" t="s">
        <v>7</v>
      </c>
      <c r="G25" t="s">
        <v>9</v>
      </c>
      <c r="H25">
        <v>4</v>
      </c>
      <c r="I25">
        <f xml:space="preserve"> 1000 * 0.00205311584472656</f>
        <v>2.0531158447265598</v>
      </c>
      <c r="K25" t="s">
        <v>24</v>
      </c>
      <c r="L25">
        <v>3</v>
      </c>
      <c r="M25">
        <v>1.8757050037384</v>
      </c>
      <c r="O25" t="s">
        <v>28</v>
      </c>
      <c r="P25">
        <v>3</v>
      </c>
      <c r="Q25">
        <v>1.94848537445068</v>
      </c>
      <c r="U25" t="s">
        <v>0</v>
      </c>
      <c r="V25" t="s">
        <v>24</v>
      </c>
      <c r="W25">
        <v>4</v>
      </c>
      <c r="X25">
        <v>11.7514047622681</v>
      </c>
      <c r="Z25" t="s">
        <v>7</v>
      </c>
      <c r="AA25" t="s">
        <v>28</v>
      </c>
      <c r="AB25">
        <v>4</v>
      </c>
      <c r="AC25">
        <v>2.7519488334655802</v>
      </c>
      <c r="AE25" t="s">
        <v>0</v>
      </c>
      <c r="AF25" t="s">
        <v>37</v>
      </c>
      <c r="AG25">
        <v>3</v>
      </c>
      <c r="AH25">
        <f xml:space="preserve"> 0.001 * 2222.1</f>
        <v>2.2220999999999997</v>
      </c>
      <c r="AJ25" t="s">
        <v>7</v>
      </c>
      <c r="AK25" t="s">
        <v>42</v>
      </c>
      <c r="AL25">
        <v>3</v>
      </c>
      <c r="AM25">
        <f xml:space="preserve"> 0.001 * 2534.2</f>
        <v>2.5341999999999998</v>
      </c>
    </row>
    <row r="26" spans="1:39" x14ac:dyDescent="0.2">
      <c r="A26" t="s">
        <v>0</v>
      </c>
      <c r="B26" t="s">
        <v>5</v>
      </c>
      <c r="C26">
        <v>5</v>
      </c>
      <c r="D26">
        <f xml:space="preserve"> 1000 * 0.00691413879394531</f>
        <v>6.9141387939453098</v>
      </c>
      <c r="F26" t="s">
        <v>7</v>
      </c>
      <c r="G26" t="s">
        <v>8</v>
      </c>
      <c r="H26">
        <v>5</v>
      </c>
      <c r="I26">
        <f xml:space="preserve"> 1000 * 0.00176837158203125</f>
        <v>1.76837158203125</v>
      </c>
      <c r="K26" t="s">
        <v>22</v>
      </c>
      <c r="L26">
        <v>3</v>
      </c>
      <c r="M26">
        <v>1.09621930122375</v>
      </c>
      <c r="O26" t="s">
        <v>2</v>
      </c>
      <c r="P26">
        <v>3</v>
      </c>
      <c r="Q26">
        <v>2.0099565982818599</v>
      </c>
      <c r="U26" t="s">
        <v>0</v>
      </c>
      <c r="V26" t="s">
        <v>1</v>
      </c>
      <c r="W26">
        <v>4</v>
      </c>
      <c r="X26">
        <v>1.3034999370575</v>
      </c>
      <c r="Z26" t="s">
        <v>7</v>
      </c>
      <c r="AA26" t="s">
        <v>9</v>
      </c>
      <c r="AB26">
        <v>4</v>
      </c>
      <c r="AC26">
        <v>2.46380591392517</v>
      </c>
      <c r="AE26" t="s">
        <v>0</v>
      </c>
      <c r="AF26" t="s">
        <v>36</v>
      </c>
      <c r="AG26">
        <v>3</v>
      </c>
      <c r="AH26">
        <f xml:space="preserve"> 0.001 * 2734.7</f>
        <v>2.7346999999999997</v>
      </c>
      <c r="AJ26" t="s">
        <v>7</v>
      </c>
      <c r="AK26" t="s">
        <v>40</v>
      </c>
      <c r="AL26">
        <v>3</v>
      </c>
      <c r="AM26">
        <f xml:space="preserve"> 0.001 * 2403.6</f>
        <v>2.4036</v>
      </c>
    </row>
    <row r="27" spans="1:39" x14ac:dyDescent="0.2">
      <c r="A27" t="s">
        <v>0</v>
      </c>
      <c r="B27" t="s">
        <v>2</v>
      </c>
      <c r="C27">
        <v>5</v>
      </c>
      <c r="D27">
        <f xml:space="preserve"> 1000 * 0.00905990600585937</f>
        <v>9.0599060058593697</v>
      </c>
      <c r="F27" t="s">
        <v>7</v>
      </c>
      <c r="G27" t="s">
        <v>9</v>
      </c>
      <c r="H27">
        <v>5</v>
      </c>
      <c r="I27">
        <f xml:space="preserve"> 1000 * 0.00124520874023437</f>
        <v>1.2452087402343699</v>
      </c>
      <c r="K27" t="s">
        <v>22</v>
      </c>
      <c r="L27">
        <v>4</v>
      </c>
      <c r="M27">
        <v>1.90556216239929</v>
      </c>
      <c r="O27" t="s">
        <v>25</v>
      </c>
      <c r="P27">
        <v>4</v>
      </c>
      <c r="Q27">
        <v>0.87076234817504805</v>
      </c>
      <c r="U27" t="s">
        <v>0</v>
      </c>
      <c r="V27" t="s">
        <v>1</v>
      </c>
      <c r="W27">
        <v>5</v>
      </c>
      <c r="X27">
        <v>2.5673666000366202</v>
      </c>
      <c r="Z27" t="s">
        <v>7</v>
      </c>
      <c r="AA27" t="s">
        <v>28</v>
      </c>
      <c r="AB27">
        <v>5</v>
      </c>
      <c r="AC27">
        <v>1.38391733169556</v>
      </c>
      <c r="AE27" t="s">
        <v>0</v>
      </c>
      <c r="AF27" t="s">
        <v>40</v>
      </c>
      <c r="AG27">
        <v>4</v>
      </c>
      <c r="AH27">
        <f xml:space="preserve"> 0.001 * 3453.8</f>
        <v>3.4538000000000002</v>
      </c>
      <c r="AJ27" t="s">
        <v>7</v>
      </c>
      <c r="AK27" t="s">
        <v>41</v>
      </c>
      <c r="AL27">
        <v>4</v>
      </c>
      <c r="AM27">
        <f xml:space="preserve"> 0.001 * 3126.6</f>
        <v>3.1265999999999998</v>
      </c>
    </row>
    <row r="28" spans="1:39" x14ac:dyDescent="0.2">
      <c r="A28" t="s">
        <v>0</v>
      </c>
      <c r="B28" t="s">
        <v>6</v>
      </c>
      <c r="C28">
        <v>5</v>
      </c>
      <c r="D28">
        <f xml:space="preserve"> 1000 * 0.00500679016113281</f>
        <v>5.0067901611328098</v>
      </c>
      <c r="F28" t="s">
        <v>7</v>
      </c>
      <c r="G28" t="s">
        <v>8</v>
      </c>
      <c r="H28">
        <v>5</v>
      </c>
      <c r="I28">
        <f xml:space="preserve"> 1000 * 0.019672546386718</f>
        <v>19.672546386718</v>
      </c>
      <c r="K28" t="s">
        <v>3</v>
      </c>
      <c r="L28">
        <v>4</v>
      </c>
      <c r="M28">
        <v>1.5358686447143499</v>
      </c>
      <c r="O28" t="s">
        <v>26</v>
      </c>
      <c r="P28">
        <v>4</v>
      </c>
      <c r="Q28">
        <v>0.82941961288452104</v>
      </c>
      <c r="U28" t="s">
        <v>0</v>
      </c>
      <c r="V28" t="s">
        <v>24</v>
      </c>
      <c r="W28">
        <v>5</v>
      </c>
      <c r="X28">
        <v>12.4954125881195</v>
      </c>
      <c r="Z28" t="s">
        <v>7</v>
      </c>
      <c r="AA28" t="s">
        <v>33</v>
      </c>
      <c r="AB28">
        <v>5</v>
      </c>
      <c r="AC28">
        <v>1.2797436714172401</v>
      </c>
      <c r="AE28" t="s">
        <v>0</v>
      </c>
      <c r="AF28" t="s">
        <v>36</v>
      </c>
      <c r="AG28">
        <v>4</v>
      </c>
      <c r="AH28">
        <f xml:space="preserve"> 0.001 * 2561.1</f>
        <v>2.5611000000000002</v>
      </c>
      <c r="AJ28" t="s">
        <v>7</v>
      </c>
      <c r="AK28" t="s">
        <v>43</v>
      </c>
      <c r="AL28">
        <v>4</v>
      </c>
      <c r="AM28">
        <f xml:space="preserve"> 0.001 * 1749.3</f>
        <v>1.7493000000000001</v>
      </c>
    </row>
    <row r="29" spans="1:39" x14ac:dyDescent="0.2">
      <c r="A29" t="s">
        <v>0</v>
      </c>
      <c r="B29" t="s">
        <v>1</v>
      </c>
      <c r="C29">
        <v>5</v>
      </c>
      <c r="D29">
        <f xml:space="preserve"> 1000 * 0.00405311584472656</f>
        <v>4.0531158447265598</v>
      </c>
      <c r="F29" t="s">
        <v>7</v>
      </c>
      <c r="G29" t="s">
        <v>2</v>
      </c>
      <c r="H29">
        <v>5</v>
      </c>
      <c r="I29">
        <f xml:space="preserve"> 1000 * 0.00200679016113281</f>
        <v>2.0067901611328098</v>
      </c>
      <c r="K29" t="s">
        <v>23</v>
      </c>
      <c r="L29">
        <v>4</v>
      </c>
      <c r="M29">
        <v>1.2198190689086901</v>
      </c>
      <c r="O29" t="s">
        <v>24</v>
      </c>
      <c r="P29">
        <v>4</v>
      </c>
      <c r="Q29">
        <v>0.89965224266052202</v>
      </c>
      <c r="U29" t="s">
        <v>0</v>
      </c>
      <c r="V29" t="s">
        <v>10</v>
      </c>
      <c r="W29">
        <v>5</v>
      </c>
      <c r="X29">
        <v>15.527466297149701</v>
      </c>
      <c r="Z29" t="s">
        <v>7</v>
      </c>
      <c r="AA29" t="s">
        <v>8</v>
      </c>
      <c r="AB29">
        <v>5</v>
      </c>
      <c r="AC29">
        <v>2.2078785896301301</v>
      </c>
      <c r="AE29" t="s">
        <v>0</v>
      </c>
      <c r="AF29" t="s">
        <v>35</v>
      </c>
      <c r="AG29">
        <v>4</v>
      </c>
      <c r="AH29">
        <f xml:space="preserve"> 0.001 * 1426.2</f>
        <v>1.4262000000000001</v>
      </c>
      <c r="AJ29" t="s">
        <v>7</v>
      </c>
      <c r="AK29" t="s">
        <v>40</v>
      </c>
      <c r="AL29">
        <v>4</v>
      </c>
      <c r="AM29">
        <f xml:space="preserve"> 0.001 * 1869</f>
        <v>1.869</v>
      </c>
    </row>
    <row r="30" spans="1:39" x14ac:dyDescent="0.2">
      <c r="A30" t="s">
        <v>0</v>
      </c>
      <c r="B30" t="s">
        <v>4</v>
      </c>
      <c r="C30">
        <v>5</v>
      </c>
      <c r="D30">
        <f xml:space="preserve"> 1000 * 0.00405311584472656</f>
        <v>4.0531158447265598</v>
      </c>
      <c r="F30" t="s">
        <v>7</v>
      </c>
      <c r="G30" t="s">
        <v>5</v>
      </c>
      <c r="H30">
        <v>5</v>
      </c>
      <c r="I30">
        <f xml:space="preserve"> 1000 * 0.00200679016113281</f>
        <v>2.0067901611328098</v>
      </c>
      <c r="K30" t="s">
        <v>25</v>
      </c>
      <c r="L30">
        <v>4</v>
      </c>
      <c r="M30">
        <v>1.98704886436462</v>
      </c>
      <c r="O30" t="s">
        <v>27</v>
      </c>
      <c r="P30">
        <v>4</v>
      </c>
      <c r="Q30">
        <v>0.56336379051208496</v>
      </c>
      <c r="U30" t="s">
        <v>0</v>
      </c>
      <c r="V30" t="s">
        <v>31</v>
      </c>
      <c r="W30">
        <v>5</v>
      </c>
      <c r="X30">
        <v>1.9514622688293499</v>
      </c>
      <c r="Z30" t="s">
        <v>7</v>
      </c>
      <c r="AA30" t="s">
        <v>9</v>
      </c>
      <c r="AB30">
        <v>5</v>
      </c>
      <c r="AC30">
        <v>1.3278880119323699</v>
      </c>
      <c r="AE30" t="s">
        <v>0</v>
      </c>
      <c r="AF30" t="s">
        <v>38</v>
      </c>
      <c r="AG30">
        <v>4</v>
      </c>
      <c r="AH30">
        <f xml:space="preserve"> 0.001 * 2025.6</f>
        <v>2.0255999999999998</v>
      </c>
      <c r="AJ30" t="s">
        <v>7</v>
      </c>
      <c r="AK30" t="s">
        <v>39</v>
      </c>
      <c r="AL30">
        <v>4</v>
      </c>
      <c r="AM30">
        <f xml:space="preserve"> 0.001 * 1192.8</f>
        <v>1.1928000000000001</v>
      </c>
    </row>
    <row r="31" spans="1:39" x14ac:dyDescent="0.2">
      <c r="A31" t="s">
        <v>0</v>
      </c>
      <c r="B31" t="s">
        <v>5</v>
      </c>
      <c r="C31">
        <v>5</v>
      </c>
      <c r="D31">
        <f xml:space="preserve"> 1000 * 0.00905990600585937</f>
        <v>9.0599060058593697</v>
      </c>
      <c r="F31" t="s">
        <v>7</v>
      </c>
      <c r="G31" t="s">
        <v>10</v>
      </c>
      <c r="H31">
        <v>5</v>
      </c>
      <c r="I31">
        <f xml:space="preserve"> 1000 * 0.00286781311035156</f>
        <v>2.8678131103515598</v>
      </c>
      <c r="K31" t="s">
        <v>24</v>
      </c>
      <c r="L31">
        <v>4</v>
      </c>
      <c r="M31">
        <v>1.2542464733123699</v>
      </c>
      <c r="O31" t="s">
        <v>28</v>
      </c>
      <c r="P31">
        <v>4</v>
      </c>
      <c r="Q31">
        <v>1.2520101070403999</v>
      </c>
      <c r="U31" t="s">
        <v>0</v>
      </c>
      <c r="V31" t="s">
        <v>30</v>
      </c>
      <c r="W31">
        <v>5</v>
      </c>
      <c r="X31">
        <v>1.5832991600036599</v>
      </c>
      <c r="Z31" t="s">
        <v>7</v>
      </c>
      <c r="AA31" t="s">
        <v>1</v>
      </c>
      <c r="AB31">
        <v>5</v>
      </c>
      <c r="AC31">
        <v>2.0879769325256299</v>
      </c>
      <c r="AE31" t="s">
        <v>0</v>
      </c>
      <c r="AF31" t="s">
        <v>39</v>
      </c>
      <c r="AG31">
        <v>4</v>
      </c>
      <c r="AH31">
        <f xml:space="preserve"> 0.001 * 1027.3</f>
        <v>1.0272999999999999</v>
      </c>
      <c r="AJ31" t="s">
        <v>7</v>
      </c>
      <c r="AK31" t="s">
        <v>44</v>
      </c>
      <c r="AL31">
        <v>4</v>
      </c>
      <c r="AM31">
        <f xml:space="preserve"> 0.001 * 831.8</f>
        <v>0.83179999999999998</v>
      </c>
    </row>
    <row r="32" spans="1:39" x14ac:dyDescent="0.2">
      <c r="A32" t="s">
        <v>0</v>
      </c>
      <c r="B32" t="s">
        <v>3</v>
      </c>
      <c r="C32">
        <v>6</v>
      </c>
      <c r="D32">
        <f xml:space="preserve"> 1000 * 0.00619888305664062</f>
        <v>6.1988830566406197</v>
      </c>
      <c r="F32" t="s">
        <v>7</v>
      </c>
      <c r="G32" t="s">
        <v>6</v>
      </c>
      <c r="H32">
        <v>6</v>
      </c>
      <c r="I32">
        <f xml:space="preserve"> 1000 * 0.00262260437011718</f>
        <v>2.62260437011718</v>
      </c>
      <c r="K32" t="s">
        <v>9</v>
      </c>
      <c r="L32">
        <v>4</v>
      </c>
      <c r="M32">
        <v>2.3535385131835902</v>
      </c>
      <c r="O32" t="s">
        <v>2</v>
      </c>
      <c r="P32">
        <v>4</v>
      </c>
      <c r="Q32">
        <v>0.81542849540710405</v>
      </c>
      <c r="U32" t="s">
        <v>0</v>
      </c>
      <c r="V32" t="s">
        <v>32</v>
      </c>
      <c r="W32">
        <v>5</v>
      </c>
      <c r="X32">
        <v>1.99923920631409</v>
      </c>
      <c r="Z32" t="s">
        <v>7</v>
      </c>
      <c r="AA32" t="s">
        <v>34</v>
      </c>
      <c r="AB32">
        <v>5</v>
      </c>
      <c r="AC32">
        <v>1.07186126708984</v>
      </c>
      <c r="AE32" t="s">
        <v>0</v>
      </c>
      <c r="AF32" t="s">
        <v>37</v>
      </c>
      <c r="AG32">
        <v>4</v>
      </c>
      <c r="AH32">
        <f xml:space="preserve"> 0.001 * 3144.6</f>
        <v>3.1446000000000001</v>
      </c>
      <c r="AJ32" t="s">
        <v>7</v>
      </c>
      <c r="AK32" t="s">
        <v>42</v>
      </c>
      <c r="AL32">
        <v>4</v>
      </c>
      <c r="AM32">
        <f xml:space="preserve"> 0.001 * 1135</f>
        <v>1.135</v>
      </c>
    </row>
    <row r="33" spans="1:39" x14ac:dyDescent="0.2">
      <c r="A33" t="s">
        <v>0</v>
      </c>
      <c r="B33" t="s">
        <v>5</v>
      </c>
      <c r="C33">
        <v>6</v>
      </c>
      <c r="D33">
        <f xml:space="preserve"> 1000 * 0.003814697265625</f>
        <v>3.814697265625</v>
      </c>
      <c r="F33" t="s">
        <v>7</v>
      </c>
      <c r="G33" t="s">
        <v>5</v>
      </c>
      <c r="H33">
        <v>6</v>
      </c>
      <c r="I33">
        <f xml:space="preserve"> 1000 * 0.00405311584472656 - 2</f>
        <v>2.0531158447265598</v>
      </c>
      <c r="K33" t="s">
        <v>24</v>
      </c>
      <c r="L33">
        <v>5</v>
      </c>
      <c r="M33">
        <v>5.0974404811859104</v>
      </c>
      <c r="O33" t="s">
        <v>2</v>
      </c>
      <c r="P33">
        <v>5</v>
      </c>
      <c r="Q33">
        <v>0.74910640716552701</v>
      </c>
      <c r="U33" t="s">
        <v>0</v>
      </c>
      <c r="V33" t="s">
        <v>30</v>
      </c>
      <c r="W33">
        <v>6</v>
      </c>
      <c r="X33">
        <v>2.0952301025390598</v>
      </c>
      <c r="Z33" t="s">
        <v>7</v>
      </c>
      <c r="AA33" t="s">
        <v>34</v>
      </c>
      <c r="AB33">
        <v>6</v>
      </c>
      <c r="AC33">
        <v>1.0558269023895299</v>
      </c>
      <c r="AE33" t="s">
        <v>0</v>
      </c>
      <c r="AF33" t="s">
        <v>35</v>
      </c>
      <c r="AG33">
        <v>5</v>
      </c>
      <c r="AH33">
        <f xml:space="preserve"> 0.001 * 2917.2</f>
        <v>2.9171999999999998</v>
      </c>
      <c r="AJ33" t="s">
        <v>7</v>
      </c>
      <c r="AK33" t="s">
        <v>41</v>
      </c>
      <c r="AL33">
        <v>5</v>
      </c>
      <c r="AM33">
        <f xml:space="preserve"> 0.001 * 1795.2</f>
        <v>1.7952000000000001</v>
      </c>
    </row>
    <row r="34" spans="1:39" x14ac:dyDescent="0.2">
      <c r="A34" t="s">
        <v>0</v>
      </c>
      <c r="B34" t="s">
        <v>4</v>
      </c>
      <c r="C34">
        <v>6</v>
      </c>
      <c r="D34">
        <f xml:space="preserve"> 1000 * 0.00262260437011718</f>
        <v>2.62260437011718</v>
      </c>
      <c r="F34" t="s">
        <v>7</v>
      </c>
      <c r="G34" t="s">
        <v>9</v>
      </c>
      <c r="H34">
        <v>6</v>
      </c>
      <c r="I34">
        <f xml:space="preserve"> 1000 * 0.003814697265625 - 2</f>
        <v>1.814697265625</v>
      </c>
      <c r="K34" t="s">
        <v>22</v>
      </c>
      <c r="L34">
        <v>5</v>
      </c>
      <c r="M34">
        <v>1.47072076797485</v>
      </c>
      <c r="O34" t="s">
        <v>28</v>
      </c>
      <c r="P34">
        <v>5</v>
      </c>
      <c r="Q34">
        <v>0.78589439392089799</v>
      </c>
      <c r="U34" t="s">
        <v>0</v>
      </c>
      <c r="V34" t="s">
        <v>31</v>
      </c>
      <c r="W34">
        <v>6</v>
      </c>
      <c r="X34">
        <v>1.2470910549163801</v>
      </c>
      <c r="Z34" t="s">
        <v>7</v>
      </c>
      <c r="AA34" t="s">
        <v>33</v>
      </c>
      <c r="AB34">
        <v>6</v>
      </c>
      <c r="AC34">
        <v>2.2158896923065199</v>
      </c>
      <c r="AE34" t="s">
        <v>0</v>
      </c>
      <c r="AF34" t="s">
        <v>38</v>
      </c>
      <c r="AG34">
        <v>5</v>
      </c>
      <c r="AH34">
        <f xml:space="preserve"> 0.001 * 3932.5</f>
        <v>3.9325000000000001</v>
      </c>
      <c r="AJ34" t="s">
        <v>7</v>
      </c>
      <c r="AK34" t="s">
        <v>43</v>
      </c>
      <c r="AL34">
        <v>5</v>
      </c>
      <c r="AM34">
        <f xml:space="preserve"> 0.001 * 1163.9</f>
        <v>1.1639000000000002</v>
      </c>
    </row>
    <row r="35" spans="1:39" x14ac:dyDescent="0.2">
      <c r="A35" t="s">
        <v>0</v>
      </c>
      <c r="B35" t="s">
        <v>6</v>
      </c>
      <c r="C35">
        <v>6</v>
      </c>
      <c r="D35">
        <f xml:space="preserve"> 1000 * 0.00524520874023437</f>
        <v>5.2452087402343697</v>
      </c>
      <c r="F35" t="s">
        <v>7</v>
      </c>
      <c r="G35" t="s">
        <v>8</v>
      </c>
      <c r="H35">
        <v>6</v>
      </c>
      <c r="I35">
        <f xml:space="preserve"> 1000 * 0.00329832458496093</f>
        <v>3.29832458496093</v>
      </c>
      <c r="K35" t="s">
        <v>23</v>
      </c>
      <c r="L35">
        <v>5</v>
      </c>
      <c r="M35">
        <v>1.57608985900878</v>
      </c>
      <c r="O35" t="s">
        <v>27</v>
      </c>
      <c r="P35">
        <v>5</v>
      </c>
      <c r="Q35">
        <v>0.763211250305175</v>
      </c>
      <c r="U35" t="s">
        <v>0</v>
      </c>
      <c r="V35" t="s">
        <v>32</v>
      </c>
      <c r="W35">
        <v>6</v>
      </c>
      <c r="X35">
        <v>4.0553348064422599</v>
      </c>
      <c r="Z35" t="s">
        <v>7</v>
      </c>
      <c r="AA35" t="s">
        <v>1</v>
      </c>
      <c r="AB35">
        <v>6</v>
      </c>
      <c r="AC35">
        <v>3.0639512538909899</v>
      </c>
      <c r="AE35" t="s">
        <v>0</v>
      </c>
      <c r="AF35" t="s">
        <v>37</v>
      </c>
      <c r="AG35">
        <v>5</v>
      </c>
      <c r="AH35">
        <f xml:space="preserve"> 0.001 * 1896.9</f>
        <v>1.8969</v>
      </c>
      <c r="AJ35" t="s">
        <v>7</v>
      </c>
      <c r="AK35" t="s">
        <v>42</v>
      </c>
      <c r="AL35">
        <v>5</v>
      </c>
      <c r="AM35">
        <f xml:space="preserve"> 0.001 * 1538.9</f>
        <v>1.5389000000000002</v>
      </c>
    </row>
    <row r="36" spans="1:39" x14ac:dyDescent="0.2">
      <c r="A36" t="s">
        <v>0</v>
      </c>
      <c r="B36" t="s">
        <v>3</v>
      </c>
      <c r="C36">
        <v>6</v>
      </c>
      <c r="D36">
        <f xml:space="preserve"> 1000 * 0.00309944152832031</f>
        <v>3.0994415283203098</v>
      </c>
      <c r="F36" t="s">
        <v>7</v>
      </c>
      <c r="G36" t="s">
        <v>2</v>
      </c>
      <c r="H36">
        <v>6</v>
      </c>
      <c r="I36">
        <f xml:space="preserve"> 1000 * 0.00429153442382812 - 2</f>
        <v>2.2915344238281197</v>
      </c>
      <c r="K36" t="s">
        <v>3</v>
      </c>
      <c r="L36">
        <v>5</v>
      </c>
      <c r="M36">
        <v>3.5590410232543901</v>
      </c>
      <c r="O36" t="s">
        <v>25</v>
      </c>
      <c r="P36">
        <v>5</v>
      </c>
      <c r="Q36">
        <v>0.89390301704406705</v>
      </c>
      <c r="U36" t="s">
        <v>0</v>
      </c>
      <c r="V36" t="s">
        <v>24</v>
      </c>
      <c r="W36">
        <v>6</v>
      </c>
      <c r="X36">
        <v>1.2551062107086199</v>
      </c>
      <c r="Z36" t="s">
        <v>7</v>
      </c>
      <c r="AA36" t="s">
        <v>9</v>
      </c>
      <c r="AB36">
        <v>6</v>
      </c>
      <c r="AC36">
        <v>0.98390436172485396</v>
      </c>
      <c r="AE36" t="s">
        <v>0</v>
      </c>
      <c r="AF36" t="s">
        <v>36</v>
      </c>
      <c r="AG36">
        <v>5</v>
      </c>
      <c r="AH36">
        <f xml:space="preserve"> 0.001 * 1514.9</f>
        <v>1.5149000000000001</v>
      </c>
      <c r="AJ36" t="s">
        <v>7</v>
      </c>
      <c r="AK36" t="s">
        <v>40</v>
      </c>
      <c r="AL36">
        <v>5</v>
      </c>
      <c r="AM36">
        <f xml:space="preserve"> 0.001 * 2068.5</f>
        <v>2.0685000000000002</v>
      </c>
    </row>
    <row r="37" spans="1:39" x14ac:dyDescent="0.2">
      <c r="A37" t="s">
        <v>0</v>
      </c>
      <c r="B37" t="s">
        <v>1</v>
      </c>
      <c r="C37">
        <v>6</v>
      </c>
      <c r="D37">
        <f xml:space="preserve"> 1000 * 0.00309944152832031</f>
        <v>3.0994415283203098</v>
      </c>
      <c r="F37" t="s">
        <v>7</v>
      </c>
      <c r="G37" t="s">
        <v>10</v>
      </c>
      <c r="H37">
        <v>6</v>
      </c>
      <c r="I37">
        <f xml:space="preserve"> 1000 * 0.00214576721191406</f>
        <v>2.1457672119140598</v>
      </c>
      <c r="K37" t="s">
        <v>25</v>
      </c>
      <c r="L37">
        <v>5</v>
      </c>
      <c r="M37">
        <v>1.58735918998718</v>
      </c>
      <c r="O37" t="s">
        <v>26</v>
      </c>
      <c r="P37">
        <v>5</v>
      </c>
      <c r="Q37">
        <v>1.2489883899688701</v>
      </c>
      <c r="U37" t="s">
        <v>0</v>
      </c>
      <c r="V37" t="s">
        <v>1</v>
      </c>
      <c r="W37">
        <v>6</v>
      </c>
      <c r="X37">
        <v>3.8713612556457502</v>
      </c>
      <c r="Z37" t="s">
        <v>7</v>
      </c>
      <c r="AA37" t="s">
        <v>28</v>
      </c>
      <c r="AB37">
        <v>6</v>
      </c>
      <c r="AC37">
        <v>2.5356903076171902</v>
      </c>
      <c r="AE37" t="s">
        <v>0</v>
      </c>
      <c r="AF37" t="s">
        <v>40</v>
      </c>
      <c r="AG37">
        <v>5</v>
      </c>
      <c r="AH37">
        <f xml:space="preserve"> 0.001 * 3382</f>
        <v>3.3820000000000001</v>
      </c>
      <c r="AJ37" t="s">
        <v>7</v>
      </c>
      <c r="AK37" t="s">
        <v>39</v>
      </c>
      <c r="AL37">
        <v>5</v>
      </c>
      <c r="AM37">
        <f xml:space="preserve"> 0.001 * 1867</f>
        <v>1.867</v>
      </c>
    </row>
    <row r="38" spans="1:39" x14ac:dyDescent="0.2">
      <c r="K38" t="s">
        <v>9</v>
      </c>
      <c r="L38">
        <v>5</v>
      </c>
      <c r="M38">
        <v>1.1268448829650799</v>
      </c>
      <c r="O38" t="s">
        <v>24</v>
      </c>
      <c r="P38">
        <v>5</v>
      </c>
      <c r="Q38">
        <v>0.86706662178039495</v>
      </c>
      <c r="U38" t="s">
        <v>0</v>
      </c>
      <c r="V38" t="s">
        <v>10</v>
      </c>
      <c r="W38">
        <v>6</v>
      </c>
      <c r="X38">
        <v>1.5749330520629901</v>
      </c>
      <c r="Z38" t="s">
        <v>7</v>
      </c>
      <c r="AA38" t="s">
        <v>8</v>
      </c>
      <c r="AB38">
        <v>6</v>
      </c>
      <c r="AC38">
        <v>2.1999204158782999</v>
      </c>
      <c r="AE38" t="s">
        <v>0</v>
      </c>
      <c r="AF38" t="s">
        <v>39</v>
      </c>
      <c r="AG38">
        <v>5</v>
      </c>
      <c r="AH38">
        <f xml:space="preserve"> 0.001 * 1541.9</f>
        <v>1.5419</v>
      </c>
      <c r="AJ38" t="s">
        <v>7</v>
      </c>
      <c r="AK38" t="s">
        <v>44</v>
      </c>
      <c r="AL38">
        <v>5</v>
      </c>
      <c r="AM38">
        <f xml:space="preserve"> 0.001 * 980.4</f>
        <v>0.98040000000000005</v>
      </c>
    </row>
    <row r="39" spans="1:39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39" x14ac:dyDescent="0.2">
      <c r="A40" s="2" t="s">
        <v>16</v>
      </c>
      <c r="B40" s="2"/>
      <c r="C40" s="2"/>
      <c r="E40" s="3" t="s">
        <v>14</v>
      </c>
      <c r="G40" s="2" t="s">
        <v>18</v>
      </c>
      <c r="H40" s="2"/>
    </row>
    <row r="41" spans="1:39" x14ac:dyDescent="0.2">
      <c r="A41" t="s">
        <v>11</v>
      </c>
      <c r="B41" t="s">
        <v>12</v>
      </c>
      <c r="C41" t="s">
        <v>13</v>
      </c>
      <c r="E41" t="s">
        <v>15</v>
      </c>
      <c r="G41" t="s">
        <v>12</v>
      </c>
      <c r="H41" t="s">
        <v>13</v>
      </c>
    </row>
    <row r="42" spans="1:39" x14ac:dyDescent="0.2">
      <c r="A42">
        <v>1</v>
      </c>
      <c r="B42">
        <f>AVERAGE(D3:D7)</f>
        <v>9.2506408691406001</v>
      </c>
      <c r="C42">
        <f>AVERAGE(I3:I7)</f>
        <v>5.5154968261718578</v>
      </c>
      <c r="G42">
        <f>0.1286 * B42 + 0.1217 * LOG(3.5, 2)</f>
        <v>1.4095875097858914</v>
      </c>
      <c r="H42">
        <f>0.1286 * C42 + 0.1217 * LOG(3.5, 2)</f>
        <v>0.92924798586011126</v>
      </c>
    </row>
    <row r="43" spans="1:39" x14ac:dyDescent="0.2">
      <c r="A43">
        <v>2</v>
      </c>
      <c r="B43">
        <f xml:space="preserve"> AVERAGE(D8:D13)</f>
        <v>6.0399373372395759</v>
      </c>
      <c r="C43">
        <f>AVERAGE(I8:I13)</f>
        <v>6.0973790486653492</v>
      </c>
      <c r="G43">
        <f t="shared" ref="G43:G47" si="2">0.1286 * B43 + 0.1217 * LOG(3.5, 2)</f>
        <v>0.99669103558341976</v>
      </c>
      <c r="H43">
        <f t="shared" ref="H43:H47" si="3">0.1286 * C43 + 0.1217 * LOG(3.5, 2)</f>
        <v>1.0040780396727742</v>
      </c>
    </row>
    <row r="44" spans="1:39" x14ac:dyDescent="0.2">
      <c r="A44">
        <v>3</v>
      </c>
      <c r="B44">
        <f>AVERAGE(D14:D19)</f>
        <v>4.8089822133382105</v>
      </c>
      <c r="C44">
        <f>AVERAGE(I14:I19)</f>
        <v>3.7529296874999964</v>
      </c>
      <c r="G44">
        <f t="shared" si="2"/>
        <v>0.83839020664970421</v>
      </c>
      <c r="H44">
        <f t="shared" si="3"/>
        <v>0.70258185182691002</v>
      </c>
    </row>
    <row r="45" spans="1:39" x14ac:dyDescent="0.2">
      <c r="A45">
        <v>4</v>
      </c>
      <c r="B45">
        <f>AVERAGE(D19:D25)</f>
        <v>2.9639175959995789</v>
      </c>
      <c r="C45">
        <f>AVERAGE(I20:I25)</f>
        <v>2.3710072835286429</v>
      </c>
      <c r="G45">
        <f t="shared" si="2"/>
        <v>0.60111489685995623</v>
      </c>
      <c r="H45">
        <f t="shared" si="3"/>
        <v>0.52486663067619388</v>
      </c>
    </row>
    <row r="46" spans="1:39" x14ac:dyDescent="0.2">
      <c r="A46">
        <v>5</v>
      </c>
      <c r="B46">
        <f>AVERAGE(D26:D31)</f>
        <v>6.3578287760416634</v>
      </c>
      <c r="C46">
        <f>AVERAGE(I26:I31)</f>
        <v>4.9279200236001328</v>
      </c>
      <c r="G46">
        <f t="shared" si="2"/>
        <v>1.0375718746133682</v>
      </c>
      <c r="H46">
        <f t="shared" si="3"/>
        <v>0.85368560904938739</v>
      </c>
    </row>
    <row r="47" spans="1:39" x14ac:dyDescent="0.2">
      <c r="A47">
        <v>6</v>
      </c>
      <c r="B47">
        <f>AVERAGE(D32:D37)</f>
        <v>4.0133794148762982</v>
      </c>
      <c r="C47">
        <f>AVERAGE(I32:I37)</f>
        <v>2.3710072835286415</v>
      </c>
      <c r="G47">
        <f t="shared" si="2"/>
        <v>0.73607568676750246</v>
      </c>
      <c r="H47">
        <f t="shared" si="3"/>
        <v>0.52486663067619377</v>
      </c>
    </row>
  </sheetData>
  <mergeCells count="16">
    <mergeCell ref="AO1:AQ1"/>
    <mergeCell ref="AS1:AT1"/>
    <mergeCell ref="U1:AC1"/>
    <mergeCell ref="U2:X2"/>
    <mergeCell ref="Y2:AC2"/>
    <mergeCell ref="AE1:AM1"/>
    <mergeCell ref="AE2:AH2"/>
    <mergeCell ref="AI2:AM2"/>
    <mergeCell ref="G40:H40"/>
    <mergeCell ref="A40:C40"/>
    <mergeCell ref="K1:S1"/>
    <mergeCell ref="K2:N2"/>
    <mergeCell ref="O2:S2"/>
    <mergeCell ref="A1:I1"/>
    <mergeCell ref="A2:D2"/>
    <mergeCell ref="E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Mkwara</dc:creator>
  <cp:lastModifiedBy>Gift Mkwara</cp:lastModifiedBy>
  <dcterms:created xsi:type="dcterms:W3CDTF">2023-09-20T22:51:12Z</dcterms:created>
  <dcterms:modified xsi:type="dcterms:W3CDTF">2023-09-21T01:16:28Z</dcterms:modified>
</cp:coreProperties>
</file>