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8" windowWidth="13128" windowHeight="5760" activeTab="3"/>
  </bookViews>
  <sheets>
    <sheet name="Inductor &amp; Capacitor Selection" sheetId="22" r:id="rId1"/>
    <sheet name="Li Design" sheetId="24" r:id="rId2"/>
    <sheet name="Efficiency Estimate" sheetId="27" r:id="rId3"/>
    <sheet name="V_I_Sensing" sheetId="29" r:id="rId4"/>
  </sheets>
  <calcPr calcId="145621"/>
</workbook>
</file>

<file path=xl/calcChain.xml><?xml version="1.0" encoding="utf-8"?>
<calcChain xmlns="http://schemas.openxmlformats.org/spreadsheetml/2006/main">
  <c r="B30" i="22" l="1"/>
  <c r="B28" i="22"/>
  <c r="B29" i="22" s="1"/>
  <c r="B25" i="22"/>
  <c r="B26" i="22" s="1"/>
  <c r="B27" i="22" s="1"/>
  <c r="B17" i="22"/>
  <c r="B11" i="22"/>
  <c r="B12" i="22" s="1"/>
  <c r="D12" i="22" s="1"/>
  <c r="B14" i="22" s="1"/>
  <c r="B24" i="29" l="1"/>
  <c r="B25" i="29" s="1"/>
  <c r="B7" i="29" l="1"/>
  <c r="B8" i="29" s="1"/>
  <c r="B36" i="29" l="1"/>
  <c r="B33" i="29"/>
  <c r="B27" i="29"/>
  <c r="B15" i="29"/>
  <c r="B18" i="29"/>
  <c r="B10" i="29" l="1"/>
  <c r="B44" i="29"/>
  <c r="H34" i="29" l="1"/>
  <c r="D28" i="27" l="1"/>
  <c r="F40" i="27" l="1"/>
  <c r="F39" i="27"/>
  <c r="B3" i="27"/>
  <c r="B4" i="27" s="1"/>
  <c r="D31" i="27"/>
  <c r="G39" i="27" s="1"/>
  <c r="D29" i="27"/>
  <c r="H40" i="27" s="1"/>
  <c r="D25" i="27"/>
  <c r="E40" i="27" s="1"/>
  <c r="D24" i="27"/>
  <c r="D40" i="27" s="1"/>
  <c r="D23" i="27"/>
  <c r="C39" i="27" s="1"/>
  <c r="E39" i="27" l="1"/>
  <c r="D39" i="27"/>
  <c r="H39" i="27"/>
  <c r="C40" i="27"/>
  <c r="G40" i="27"/>
  <c r="J40" i="27" l="1"/>
  <c r="K40" i="27" s="1"/>
  <c r="J39" i="27"/>
  <c r="K39" i="27" s="1"/>
  <c r="L39" i="27"/>
  <c r="B6" i="22"/>
  <c r="B7" i="22" s="1"/>
  <c r="L40" i="27" l="1"/>
  <c r="B12" i="24" l="1"/>
  <c r="B24" i="24"/>
  <c r="B27" i="24" s="1"/>
  <c r="B5" i="24"/>
  <c r="B7" i="24" s="1"/>
  <c r="B28" i="24" l="1"/>
  <c r="B29" i="24"/>
  <c r="B25" i="24"/>
  <c r="B23" i="24"/>
  <c r="D7" i="22" l="1"/>
  <c r="B9" i="22" l="1"/>
</calcChain>
</file>

<file path=xl/sharedStrings.xml><?xml version="1.0" encoding="utf-8"?>
<sst xmlns="http://schemas.openxmlformats.org/spreadsheetml/2006/main" count="224" uniqueCount="150">
  <si>
    <t>Amps</t>
  </si>
  <si>
    <t>R16</t>
  </si>
  <si>
    <t>Ohms</t>
  </si>
  <si>
    <t>R8+R11+R15</t>
  </si>
  <si>
    <t>V</t>
  </si>
  <si>
    <t>R67</t>
  </si>
  <si>
    <t>R68</t>
  </si>
  <si>
    <t>Voltage is sensed using a resistor divider and Op-amp circuitry</t>
  </si>
  <si>
    <t>Vadc</t>
  </si>
  <si>
    <t>Current is sensed using a hall effect sensor LTSR-6-NP</t>
  </si>
  <si>
    <t>Volts</t>
  </si>
  <si>
    <t>Irms</t>
  </si>
  <si>
    <t>Ra</t>
  </si>
  <si>
    <t>Rb</t>
  </si>
  <si>
    <t>ADC Ref. Voltage</t>
  </si>
  <si>
    <t>Rc</t>
  </si>
  <si>
    <t>Rd</t>
  </si>
  <si>
    <t>Re</t>
  </si>
  <si>
    <t>Rf</t>
  </si>
  <si>
    <t>Resitor Divider Gain</t>
  </si>
  <si>
    <t>Nominal Range of Sensor in Volts</t>
  </si>
  <si>
    <t xml:space="preserve">Nominal Range RMS Current </t>
  </si>
  <si>
    <r>
      <t>V</t>
    </r>
    <r>
      <rPr>
        <b/>
        <vertAlign val="subscript"/>
        <sz val="16"/>
        <color theme="0"/>
        <rFont val="Arial"/>
        <family val="2"/>
      </rPr>
      <t>bus</t>
    </r>
  </si>
  <si>
    <r>
      <t>I</t>
    </r>
    <r>
      <rPr>
        <b/>
        <vertAlign val="subscript"/>
        <sz val="16"/>
        <color theme="0"/>
        <rFont val="Arial"/>
        <family val="2"/>
      </rPr>
      <t>inv</t>
    </r>
  </si>
  <si>
    <r>
      <t>V</t>
    </r>
    <r>
      <rPr>
        <vertAlign val="subscript"/>
        <sz val="14"/>
        <rFont val="Arial"/>
        <family val="2"/>
      </rPr>
      <t>nominal</t>
    </r>
  </si>
  <si>
    <r>
      <t>I</t>
    </r>
    <r>
      <rPr>
        <vertAlign val="subscript"/>
        <sz val="14"/>
        <rFont val="Arial"/>
        <family val="2"/>
      </rPr>
      <t>nominal_rms</t>
    </r>
  </si>
  <si>
    <r>
      <t>I</t>
    </r>
    <r>
      <rPr>
        <b/>
        <vertAlign val="subscript"/>
        <sz val="14"/>
        <rFont val="Arial"/>
        <family val="2"/>
      </rPr>
      <t>max_sense</t>
    </r>
  </si>
  <si>
    <r>
      <t>V</t>
    </r>
    <r>
      <rPr>
        <vertAlign val="subscript"/>
        <sz val="14"/>
        <rFont val="Arial"/>
        <family val="2"/>
      </rPr>
      <t>bus_max_sense</t>
    </r>
  </si>
  <si>
    <t>Switching Frequency</t>
  </si>
  <si>
    <t>Hz</t>
  </si>
  <si>
    <t>Ipeak</t>
  </si>
  <si>
    <t>percent</t>
  </si>
  <si>
    <t>Li (min)</t>
  </si>
  <si>
    <t>Inductance Li Calculation</t>
  </si>
  <si>
    <t>H</t>
  </si>
  <si>
    <t>mH</t>
  </si>
  <si>
    <t>Faraday's Law</t>
  </si>
  <si>
    <t>Ripple</t>
  </si>
  <si>
    <t>%</t>
  </si>
  <si>
    <t>Delta I</t>
  </si>
  <si>
    <t>Vdc_Bus</t>
  </si>
  <si>
    <t>Ampere's Law</t>
  </si>
  <si>
    <t>Max energy stored in the inductor</t>
  </si>
  <si>
    <t>W</t>
  </si>
  <si>
    <t>Core</t>
  </si>
  <si>
    <t>nH/N^2</t>
  </si>
  <si>
    <t>mm^2</t>
  </si>
  <si>
    <t>Winding Factor</t>
  </si>
  <si>
    <t>mm</t>
  </si>
  <si>
    <t>Resistance (DCR)</t>
  </si>
  <si>
    <t>Current Density (J)</t>
  </si>
  <si>
    <t>A/mm^2</t>
  </si>
  <si>
    <t>Ohm/Km</t>
  </si>
  <si>
    <t>Desired Inductance Value</t>
  </si>
  <si>
    <t>DC Current</t>
  </si>
  <si>
    <t>Inductance Specification</t>
  </si>
  <si>
    <t>Core Specification</t>
  </si>
  <si>
    <t>Permeance of the core</t>
  </si>
  <si>
    <t>Window Area of the core selected</t>
  </si>
  <si>
    <t>Length of wire needed for N Turns</t>
  </si>
  <si>
    <t xml:space="preserve">Wire Selection </t>
  </si>
  <si>
    <t>Wire Gauge</t>
  </si>
  <si>
    <t>AWG</t>
  </si>
  <si>
    <t xml:space="preserve">Diameter Complete of the </t>
  </si>
  <si>
    <t>Cross Section Area</t>
  </si>
  <si>
    <t>Conductor resistance</t>
  </si>
  <si>
    <t>Max. No of Turns Possible</t>
  </si>
  <si>
    <t>N: Turns Required for the desired inductance , must be less than the Max. No of Turns allowed with the core selection</t>
  </si>
  <si>
    <t>Inductor Design Check &amp; Specification</t>
  </si>
  <si>
    <t>Winding Length for Winding Factor percentage for the core selected</t>
  </si>
  <si>
    <t>DC Bus Calculation</t>
  </si>
  <si>
    <t>% DC Bus Ripple Tolerable</t>
  </si>
  <si>
    <t>RAFsw</t>
  </si>
  <si>
    <t>Switching Ripple Attenuation</t>
  </si>
  <si>
    <t>Conduction Losses</t>
  </si>
  <si>
    <t>Name of the diode selected</t>
  </si>
  <si>
    <t>Diode Parameters</t>
  </si>
  <si>
    <t>Forward Voltage Drop, Vd (Volts)</t>
  </si>
  <si>
    <t>Max at 8 Amps, 25 degree C junction</t>
  </si>
  <si>
    <t>nC</t>
  </si>
  <si>
    <t>at 8 Amps, 800V</t>
  </si>
  <si>
    <t>MOSFET Parameters</t>
  </si>
  <si>
    <r>
      <t>P</t>
    </r>
    <r>
      <rPr>
        <vertAlign val="subscript"/>
        <sz val="10"/>
        <rFont val="Arial"/>
        <family val="2"/>
      </rPr>
      <t>conduction_diode</t>
    </r>
    <r>
      <rPr>
        <sz val="10"/>
        <rFont val="Arial"/>
        <family val="2"/>
      </rPr>
      <t>=V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*i</t>
    </r>
    <r>
      <rPr>
        <vertAlign val="subscript"/>
        <sz val="10"/>
        <rFont val="Arial"/>
        <family val="2"/>
      </rPr>
      <t>nominal</t>
    </r>
  </si>
  <si>
    <r>
      <t>i</t>
    </r>
    <r>
      <rPr>
        <vertAlign val="subscript"/>
        <sz val="10"/>
        <rFont val="Arial"/>
        <family val="2"/>
      </rPr>
      <t xml:space="preserve">nominal </t>
    </r>
  </si>
  <si>
    <r>
      <t>R</t>
    </r>
    <r>
      <rPr>
        <vertAlign val="subscript"/>
        <sz val="10"/>
        <rFont val="Arial"/>
        <family val="2"/>
      </rPr>
      <t>ds_on</t>
    </r>
    <r>
      <rPr>
        <sz val="10"/>
        <rFont val="Arial"/>
        <family val="2"/>
      </rPr>
      <t xml:space="preserve"> at 25 degree C, 12.7Amps</t>
    </r>
  </si>
  <si>
    <r>
      <t>P</t>
    </r>
    <r>
      <rPr>
        <vertAlign val="subscript"/>
        <sz val="10"/>
        <rFont val="Arial"/>
        <family val="2"/>
      </rPr>
      <t>conduction_mosfet</t>
    </r>
    <r>
      <rPr>
        <sz val="10"/>
        <rFont val="Arial"/>
        <family val="2"/>
      </rPr>
      <t>=i</t>
    </r>
    <r>
      <rPr>
        <vertAlign val="subscript"/>
        <sz val="10"/>
        <rFont val="Arial"/>
        <family val="2"/>
      </rPr>
      <t>nominal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*R</t>
    </r>
    <r>
      <rPr>
        <vertAlign val="subscript"/>
        <sz val="10"/>
        <rFont val="Arial"/>
        <family val="2"/>
      </rPr>
      <t>ds_on</t>
    </r>
  </si>
  <si>
    <r>
      <t>V</t>
    </r>
    <r>
      <rPr>
        <vertAlign val="subscript"/>
        <sz val="10"/>
        <rFont val="Arial"/>
        <family val="2"/>
      </rPr>
      <t>body_diode_forward_drop</t>
    </r>
    <r>
      <rPr>
        <sz val="10"/>
        <rFont val="Arial"/>
        <family val="2"/>
      </rPr>
      <t xml:space="preserve"> at 25 degree C, 12.7Amps</t>
    </r>
  </si>
  <si>
    <r>
      <t>P</t>
    </r>
    <r>
      <rPr>
        <vertAlign val="subscript"/>
        <sz val="10"/>
        <rFont val="Arial"/>
        <family val="2"/>
      </rPr>
      <t>conduction_mosfet_body_diode</t>
    </r>
    <r>
      <rPr>
        <sz val="10"/>
        <rFont val="Arial"/>
        <family val="2"/>
      </rPr>
      <t>=V</t>
    </r>
    <r>
      <rPr>
        <vertAlign val="subscript"/>
        <sz val="10"/>
        <rFont val="Arial"/>
        <family val="2"/>
      </rPr>
      <t>body_diode_forward_drop</t>
    </r>
    <r>
      <rPr>
        <sz val="10"/>
        <rFont val="Arial"/>
        <family val="2"/>
      </rPr>
      <t>*i</t>
    </r>
    <r>
      <rPr>
        <vertAlign val="subscript"/>
        <sz val="10"/>
        <rFont val="Arial"/>
        <family val="2"/>
      </rPr>
      <t>nominal</t>
    </r>
  </si>
  <si>
    <t>Switching Losses</t>
  </si>
  <si>
    <r>
      <t>E</t>
    </r>
    <r>
      <rPr>
        <vertAlign val="subscript"/>
        <sz val="10"/>
        <rFont val="Arial"/>
        <family val="2"/>
      </rPr>
      <t>diode_turn_off</t>
    </r>
    <r>
      <rPr>
        <sz val="10"/>
        <rFont val="Arial"/>
        <family val="2"/>
      </rPr>
      <t>=Q</t>
    </r>
    <r>
      <rPr>
        <vertAlign val="subscript"/>
        <sz val="10"/>
        <rFont val="Arial"/>
        <family val="2"/>
      </rPr>
      <t>rr</t>
    </r>
    <r>
      <rPr>
        <sz val="10"/>
        <rFont val="Arial"/>
        <family val="2"/>
      </rPr>
      <t>*V</t>
    </r>
    <r>
      <rPr>
        <vertAlign val="subscript"/>
        <sz val="10"/>
        <rFont val="Arial"/>
        <family val="2"/>
      </rPr>
      <t>bus</t>
    </r>
    <r>
      <rPr>
        <sz val="10"/>
        <rFont val="Arial"/>
        <family val="2"/>
      </rPr>
      <t>/2</t>
    </r>
  </si>
  <si>
    <r>
      <t>Total Capacitive Charge, Q</t>
    </r>
    <r>
      <rPr>
        <vertAlign val="subscript"/>
        <sz val="10"/>
        <rFont val="Arial"/>
        <family val="2"/>
      </rPr>
      <t>rr_diode</t>
    </r>
  </si>
  <si>
    <r>
      <t>Total Capacitive Charge, Q</t>
    </r>
    <r>
      <rPr>
        <vertAlign val="subscript"/>
        <sz val="10"/>
        <rFont val="Arial"/>
        <family val="2"/>
      </rPr>
      <t>rr_mosfet</t>
    </r>
  </si>
  <si>
    <r>
      <t>E</t>
    </r>
    <r>
      <rPr>
        <vertAlign val="subscript"/>
        <sz val="10"/>
        <rFont val="Arial"/>
        <family val="2"/>
      </rPr>
      <t>mosfet_body_diode_turn_off</t>
    </r>
    <r>
      <rPr>
        <sz val="10"/>
        <rFont val="Arial"/>
        <family val="2"/>
      </rPr>
      <t>=Q</t>
    </r>
    <r>
      <rPr>
        <vertAlign val="subscript"/>
        <sz val="10"/>
        <rFont val="Arial"/>
        <family val="2"/>
      </rPr>
      <t>rr_mosfet</t>
    </r>
    <r>
      <rPr>
        <sz val="10"/>
        <rFont val="Arial"/>
        <family val="2"/>
      </rPr>
      <t>*V</t>
    </r>
    <r>
      <rPr>
        <vertAlign val="subscript"/>
        <sz val="10"/>
        <rFont val="Arial"/>
        <family val="2"/>
      </rPr>
      <t>bus</t>
    </r>
    <r>
      <rPr>
        <sz val="10"/>
        <rFont val="Arial"/>
        <family val="2"/>
      </rPr>
      <t>/4</t>
    </r>
  </si>
  <si>
    <r>
      <t>Rise Time, t</t>
    </r>
    <r>
      <rPr>
        <vertAlign val="subscript"/>
        <sz val="10"/>
        <rFont val="Arial"/>
        <family val="2"/>
      </rPr>
      <t>r</t>
    </r>
  </si>
  <si>
    <t>ns</t>
  </si>
  <si>
    <t>Rise Time, tf</t>
  </si>
  <si>
    <r>
      <t>E</t>
    </r>
    <r>
      <rPr>
        <vertAlign val="subscript"/>
        <sz val="10"/>
        <rFont val="Arial"/>
        <family val="2"/>
      </rPr>
      <t>oss</t>
    </r>
    <r>
      <rPr>
        <sz val="10"/>
        <rFont val="Arial"/>
        <family val="2"/>
      </rPr>
      <t xml:space="preserve"> from the datasheet</t>
    </r>
  </si>
  <si>
    <r>
      <t>E</t>
    </r>
    <r>
      <rPr>
        <vertAlign val="subscript"/>
        <sz val="10"/>
        <rFont val="Arial"/>
        <family val="2"/>
      </rPr>
      <t>mosfet_switching</t>
    </r>
    <r>
      <rPr>
        <sz val="10"/>
        <rFont val="Arial"/>
        <family val="2"/>
      </rPr>
      <t>=(V</t>
    </r>
    <r>
      <rPr>
        <vertAlign val="subscript"/>
        <sz val="10"/>
        <rFont val="Arial"/>
        <family val="2"/>
      </rPr>
      <t>bus</t>
    </r>
    <r>
      <rPr>
        <sz val="10"/>
        <rFont val="Arial"/>
        <family val="2"/>
      </rPr>
      <t>/2)*i</t>
    </r>
    <r>
      <rPr>
        <vertAlign val="subscript"/>
        <sz val="10"/>
        <rFont val="Arial"/>
        <family val="2"/>
      </rPr>
      <t>nominal</t>
    </r>
    <r>
      <rPr>
        <sz val="10"/>
        <rFont val="Arial"/>
        <family val="2"/>
      </rPr>
      <t>*(t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+t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</t>
    </r>
  </si>
  <si>
    <r>
      <t>V</t>
    </r>
    <r>
      <rPr>
        <vertAlign val="subscript"/>
        <sz val="10"/>
        <rFont val="Arial"/>
        <family val="2"/>
      </rPr>
      <t>bus</t>
    </r>
  </si>
  <si>
    <t>Vrms</t>
  </si>
  <si>
    <r>
      <t>V</t>
    </r>
    <r>
      <rPr>
        <vertAlign val="subscript"/>
        <sz val="10"/>
        <rFont val="Arial"/>
        <family val="2"/>
      </rPr>
      <t>ac_peak</t>
    </r>
  </si>
  <si>
    <r>
      <t>V</t>
    </r>
    <r>
      <rPr>
        <vertAlign val="subscript"/>
        <sz val="10"/>
        <rFont val="Arial"/>
        <family val="2"/>
      </rPr>
      <t>ac_rms</t>
    </r>
  </si>
  <si>
    <t>Mo</t>
  </si>
  <si>
    <t>Carrier Frequency</t>
  </si>
  <si>
    <t>D1</t>
  </si>
  <si>
    <t>T1</t>
  </si>
  <si>
    <t>Da2</t>
  </si>
  <si>
    <t>Mosfet</t>
  </si>
  <si>
    <t>Total Losses</t>
  </si>
  <si>
    <t>C4D08120A/ C2D05120A</t>
  </si>
  <si>
    <t>Inductor Losses</t>
  </si>
  <si>
    <t>Efficiency</t>
  </si>
  <si>
    <t>use TO220 package !!!</t>
  </si>
  <si>
    <t>Name of the mosfet selected</t>
  </si>
  <si>
    <t>IPP65R190C7</t>
  </si>
  <si>
    <t>Eoss</t>
  </si>
  <si>
    <t>uJ</t>
  </si>
  <si>
    <t>AMC1301 Range</t>
  </si>
  <si>
    <t>AMC1301 Opamp Gain</t>
  </si>
  <si>
    <t xml:space="preserve">Diff to Singe Ended opamp Range </t>
  </si>
  <si>
    <t>AMC1301 Full Scale Range</t>
  </si>
  <si>
    <t>Gaine needed from opamp 2</t>
  </si>
  <si>
    <t>Diff Opamp Gain</t>
  </si>
  <si>
    <r>
      <t>V</t>
    </r>
    <r>
      <rPr>
        <b/>
        <sz val="14"/>
        <color theme="0"/>
        <rFont val="Arial"/>
        <family val="2"/>
      </rPr>
      <t>ac</t>
    </r>
  </si>
  <si>
    <t>AMC1301 half range</t>
  </si>
  <si>
    <t>V range (+/-)</t>
  </si>
  <si>
    <t>DC Offset</t>
  </si>
  <si>
    <t>Gain Needed from opamp</t>
  </si>
  <si>
    <t>Rg</t>
  </si>
  <si>
    <t>Rh</t>
  </si>
  <si>
    <t>Rdiff</t>
  </si>
  <si>
    <t>Reff</t>
  </si>
  <si>
    <t>AMC1301 Range (+/-)</t>
  </si>
  <si>
    <t>Power Rating at 208Vrms</t>
  </si>
  <si>
    <t>Power Rating at 400Vrms</t>
  </si>
  <si>
    <t>Power Rating per phase at 208Vrms</t>
  </si>
  <si>
    <t>Power Rating per phase at 400Vrms</t>
  </si>
  <si>
    <t>Current at 208Vrms</t>
  </si>
  <si>
    <t>Current at 400Vrms</t>
  </si>
  <si>
    <t>DC Bus Nominal at 208Vrms</t>
  </si>
  <si>
    <t>DC Bus Nominal at 400Vrms</t>
  </si>
  <si>
    <t>Current Ripple Toerable</t>
  </si>
  <si>
    <t>DC Bus Ripple at 208Vrms</t>
  </si>
  <si>
    <t>Minimum Bus Voltage (V) at 208Vrms</t>
  </si>
  <si>
    <t>Cbus at 208 Vrms</t>
  </si>
  <si>
    <t>F</t>
  </si>
  <si>
    <t>400Vrms</t>
  </si>
  <si>
    <t>208 Vrms</t>
  </si>
  <si>
    <t xml:space="preserve">Pnominal </t>
  </si>
  <si>
    <t>208Vrms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</si>
</sst>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vertAlign val="subscript"/>
      <sz val="16"/>
      <color theme="0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9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10" xfId="0" applyBorder="1"/>
    <xf numFmtId="11" fontId="4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5" xfId="0" applyFont="1" applyBorder="1"/>
    <xf numFmtId="0" fontId="6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8" fillId="3" borderId="10" xfId="0" applyFont="1" applyFill="1" applyBorder="1"/>
    <xf numFmtId="0" fontId="6" fillId="0" borderId="7" xfId="0" applyFont="1" applyBorder="1"/>
    <xf numFmtId="0" fontId="9" fillId="3" borderId="9" xfId="0" applyFont="1" applyFill="1" applyBorder="1" applyAlignment="1">
      <alignment horizontal="left"/>
    </xf>
    <xf numFmtId="0" fontId="8" fillId="0" borderId="4" xfId="0" applyFont="1" applyBorder="1"/>
    <xf numFmtId="0" fontId="8" fillId="0" borderId="6" xfId="0" applyFont="1" applyBorder="1" applyAlignment="1">
      <alignment horizontal="left" wrapText="1"/>
    </xf>
    <xf numFmtId="0" fontId="8" fillId="0" borderId="7" xfId="0" applyFont="1" applyBorder="1"/>
    <xf numFmtId="0" fontId="8" fillId="0" borderId="8" xfId="0" applyFont="1" applyBorder="1" applyAlignment="1">
      <alignment horizontal="left" wrapText="1"/>
    </xf>
    <xf numFmtId="0" fontId="8" fillId="0" borderId="7" xfId="0" applyFont="1" applyFill="1" applyBorder="1" applyAlignment="1">
      <alignment horizontal="left"/>
    </xf>
    <xf numFmtId="0" fontId="8" fillId="0" borderId="8" xfId="0" applyFont="1" applyBorder="1"/>
    <xf numFmtId="0" fontId="8" fillId="0" borderId="11" xfId="0" applyFont="1" applyBorder="1"/>
    <xf numFmtId="0" fontId="8" fillId="0" borderId="7" xfId="0" applyFont="1" applyFill="1" applyBorder="1"/>
    <xf numFmtId="0" fontId="8" fillId="0" borderId="7" xfId="0" applyFont="1" applyBorder="1" applyAlignment="1">
      <alignment wrapText="1"/>
    </xf>
    <xf numFmtId="0" fontId="6" fillId="3" borderId="9" xfId="0" applyFont="1" applyFill="1" applyBorder="1"/>
    <xf numFmtId="0" fontId="8" fillId="3" borderId="0" xfId="0" applyFont="1" applyFill="1" applyBorder="1"/>
    <xf numFmtId="0" fontId="8" fillId="0" borderId="10" xfId="0" applyFont="1" applyBorder="1"/>
    <xf numFmtId="0" fontId="3" fillId="0" borderId="0" xfId="0" applyFont="1" applyFill="1" applyBorder="1"/>
    <xf numFmtId="0" fontId="0" fillId="0" borderId="5" xfId="0" applyBorder="1"/>
    <xf numFmtId="0" fontId="8" fillId="0" borderId="0" xfId="0" applyFont="1" applyFill="1" applyBorder="1"/>
    <xf numFmtId="0" fontId="3" fillId="0" borderId="0" xfId="0" applyFont="1"/>
    <xf numFmtId="0" fontId="0" fillId="0" borderId="7" xfId="0" applyBorder="1"/>
    <xf numFmtId="0" fontId="0" fillId="0" borderId="9" xfId="0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0" fillId="0" borderId="8" xfId="0" applyFont="1" applyFill="1" applyBorder="1"/>
    <xf numFmtId="0" fontId="3" fillId="0" borderId="9" xfId="0" applyFont="1" applyFill="1" applyBorder="1"/>
    <xf numFmtId="0" fontId="0" fillId="0" borderId="11" xfId="0" applyFont="1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3" fillId="0" borderId="9" xfId="0" applyFont="1" applyBorder="1"/>
    <xf numFmtId="0" fontId="3" fillId="0" borderId="7" xfId="0" applyFont="1" applyBorder="1" applyAlignment="1">
      <alignment wrapText="1"/>
    </xf>
    <xf numFmtId="0" fontId="3" fillId="0" borderId="8" xfId="1" applyBorder="1"/>
    <xf numFmtId="0" fontId="8" fillId="0" borderId="4" xfId="1" applyFont="1" applyBorder="1"/>
    <xf numFmtId="0" fontId="8" fillId="0" borderId="7" xfId="1" applyFont="1" applyBorder="1"/>
    <xf numFmtId="0" fontId="8" fillId="0" borderId="0" xfId="0" applyFont="1"/>
    <xf numFmtId="0" fontId="8" fillId="0" borderId="10" xfId="0" applyFont="1" applyFill="1" applyBorder="1"/>
    <xf numFmtId="0" fontId="8" fillId="0" borderId="5" xfId="0" applyFont="1" applyFill="1" applyBorder="1"/>
    <xf numFmtId="0" fontId="8" fillId="0" borderId="5" xfId="1" applyFont="1" applyBorder="1"/>
    <xf numFmtId="0" fontId="8" fillId="0" borderId="0" xfId="1" applyFont="1" applyBorder="1"/>
    <xf numFmtId="0" fontId="8" fillId="0" borderId="10" xfId="1" applyFont="1" applyBorder="1"/>
    <xf numFmtId="0" fontId="0" fillId="0" borderId="15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0" fillId="0" borderId="31" xfId="0" applyBorder="1"/>
    <xf numFmtId="0" fontId="0" fillId="0" borderId="0" xfId="0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6" fillId="0" borderId="9" xfId="0" applyFont="1" applyFill="1" applyBorder="1"/>
    <xf numFmtId="0" fontId="8" fillId="5" borderId="0" xfId="0" applyFont="1" applyFill="1" applyBorder="1"/>
    <xf numFmtId="0" fontId="6" fillId="3" borderId="7" xfId="0" applyFont="1" applyFill="1" applyBorder="1"/>
    <xf numFmtId="0" fontId="0" fillId="0" borderId="15" xfId="0" applyBorder="1" applyAlignment="1">
      <alignment horizontal="left"/>
    </xf>
    <xf numFmtId="0" fontId="8" fillId="0" borderId="6" xfId="0" applyFont="1" applyBorder="1"/>
    <xf numFmtId="0" fontId="8" fillId="3" borderId="9" xfId="0" applyFont="1" applyFill="1" applyBorder="1"/>
    <xf numFmtId="0" fontId="8" fillId="3" borderId="9" xfId="0" applyFont="1" applyFill="1" applyBorder="1" applyAlignment="1">
      <alignment wrapText="1"/>
    </xf>
    <xf numFmtId="0" fontId="0" fillId="4" borderId="0" xfId="0" applyFill="1" applyBorder="1"/>
    <xf numFmtId="0" fontId="8" fillId="4" borderId="0" xfId="0" applyFont="1" applyFill="1" applyBorder="1"/>
    <xf numFmtId="0" fontId="8" fillId="0" borderId="9" xfId="1" applyFont="1" applyBorder="1"/>
    <xf numFmtId="0" fontId="3" fillId="0" borderId="11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10" xfId="1" applyBorder="1" applyAlignment="1">
      <alignment horizontal="center"/>
    </xf>
    <xf numFmtId="0" fontId="3" fillId="0" borderId="11" xfId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left"/>
    </xf>
    <xf numFmtId="0" fontId="3" fillId="0" borderId="21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3" fillId="0" borderId="19" xfId="0" applyFont="1" applyBorder="1" applyAlignment="1">
      <alignment horizontal="left"/>
    </xf>
    <xf numFmtId="0" fontId="3" fillId="0" borderId="19" xfId="0" applyFont="1" applyBorder="1" applyAlignment="1">
      <alignment horizontal="left" wrapText="1"/>
    </xf>
    <xf numFmtId="0" fontId="3" fillId="0" borderId="20" xfId="0" applyFont="1" applyBorder="1"/>
    <xf numFmtId="0" fontId="3" fillId="0" borderId="19" xfId="0" applyFont="1" applyBorder="1" applyAlignment="1">
      <alignment horizontal="left"/>
    </xf>
    <xf numFmtId="0" fontId="0" fillId="0" borderId="22" xfId="0" applyFill="1" applyBorder="1"/>
    <xf numFmtId="0" fontId="3" fillId="0" borderId="23" xfId="0" applyFont="1" applyFill="1" applyBorder="1"/>
    <xf numFmtId="0" fontId="3" fillId="0" borderId="32" xfId="0" applyFont="1" applyBorder="1" applyAlignment="1"/>
    <xf numFmtId="0" fontId="3" fillId="0" borderId="33" xfId="0" applyFont="1" applyBorder="1" applyAlignment="1"/>
    <xf numFmtId="0" fontId="3" fillId="0" borderId="34" xfId="0" applyFont="1" applyBorder="1" applyAlignment="1"/>
    <xf numFmtId="0" fontId="3" fillId="0" borderId="20" xfId="0" applyFont="1" applyFill="1" applyBorder="1"/>
    <xf numFmtId="0" fontId="3" fillId="0" borderId="22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1" xfId="0" applyFont="1" applyBorder="1"/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4" fillId="0" borderId="26" xfId="0" applyFont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7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533400</xdr:colOff>
          <xdr:row>1</xdr:row>
          <xdr:rowOff>15240</xdr:rowOff>
        </xdr:from>
        <xdr:to>
          <xdr:col>6</xdr:col>
          <xdr:colOff>563880</xdr:colOff>
          <xdr:row>4</xdr:row>
          <xdr:rowOff>190500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144780</xdr:colOff>
          <xdr:row>24</xdr:row>
          <xdr:rowOff>0</xdr:rowOff>
        </xdr:from>
        <xdr:to>
          <xdr:col>6</xdr:col>
          <xdr:colOff>403860</xdr:colOff>
          <xdr:row>26</xdr:row>
          <xdr:rowOff>76200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106680</xdr:rowOff>
        </xdr:from>
        <xdr:to>
          <xdr:col>8</xdr:col>
          <xdr:colOff>350520</xdr:colOff>
          <xdr:row>3</xdr:row>
          <xdr:rowOff>121920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144780</xdr:rowOff>
        </xdr:from>
        <xdr:to>
          <xdr:col>8</xdr:col>
          <xdr:colOff>236220</xdr:colOff>
          <xdr:row>6</xdr:row>
          <xdr:rowOff>60960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7</xdr:row>
          <xdr:rowOff>68580</xdr:rowOff>
        </xdr:from>
        <xdr:to>
          <xdr:col>8</xdr:col>
          <xdr:colOff>312420</xdr:colOff>
          <xdr:row>9</xdr:row>
          <xdr:rowOff>30480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10</xdr:row>
          <xdr:rowOff>7620</xdr:rowOff>
        </xdr:from>
        <xdr:to>
          <xdr:col>8</xdr:col>
          <xdr:colOff>182880</xdr:colOff>
          <xdr:row>13</xdr:row>
          <xdr:rowOff>22860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20</xdr:row>
          <xdr:rowOff>121920</xdr:rowOff>
        </xdr:from>
        <xdr:to>
          <xdr:col>8</xdr:col>
          <xdr:colOff>160020</xdr:colOff>
          <xdr:row>23</xdr:row>
          <xdr:rowOff>99060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106680</xdr:colOff>
          <xdr:row>17</xdr:row>
          <xdr:rowOff>114300</xdr:rowOff>
        </xdr:from>
        <xdr:to>
          <xdr:col>10</xdr:col>
          <xdr:colOff>99060</xdr:colOff>
          <xdr:row>19</xdr:row>
          <xdr:rowOff>160020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25</xdr:row>
          <xdr:rowOff>365760</xdr:rowOff>
        </xdr:from>
        <xdr:to>
          <xdr:col>8</xdr:col>
          <xdr:colOff>38100</xdr:colOff>
          <xdr:row>28</xdr:row>
          <xdr:rowOff>45720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28</xdr:row>
          <xdr:rowOff>160020</xdr:rowOff>
        </xdr:from>
        <xdr:to>
          <xdr:col>9</xdr:col>
          <xdr:colOff>335280</xdr:colOff>
          <xdr:row>33</xdr:row>
          <xdr:rowOff>137160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23</xdr:row>
          <xdr:rowOff>220980</xdr:rowOff>
        </xdr:from>
        <xdr:to>
          <xdr:col>11</xdr:col>
          <xdr:colOff>487680</xdr:colOff>
          <xdr:row>25</xdr:row>
          <xdr:rowOff>266700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121920</xdr:colOff>
          <xdr:row>13</xdr:row>
          <xdr:rowOff>114300</xdr:rowOff>
        </xdr:from>
        <xdr:to>
          <xdr:col>12</xdr:col>
          <xdr:colOff>0</xdr:colOff>
          <xdr:row>16</xdr:row>
          <xdr:rowOff>144780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39</xdr:row>
      <xdr:rowOff>32385</xdr:rowOff>
    </xdr:from>
    <xdr:to>
      <xdr:col>4</xdr:col>
      <xdr:colOff>2644140</xdr:colOff>
      <xdr:row>43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3480" y="7896225"/>
          <a:ext cx="2529840" cy="1362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7620</xdr:rowOff>
        </xdr:from>
        <xdr:to>
          <xdr:col>4</xdr:col>
          <xdr:colOff>2552700</xdr:colOff>
          <xdr:row>13</xdr:row>
          <xdr:rowOff>99060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19</xdr:row>
          <xdr:rowOff>266700</xdr:rowOff>
        </xdr:from>
        <xdr:to>
          <xdr:col>4</xdr:col>
          <xdr:colOff>2415540</xdr:colOff>
          <xdr:row>26</xdr:row>
          <xdr:rowOff>175260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oleObject" Target="../embeddings/oleObject8.bin"/><Relationship Id="rId18" Type="http://schemas.openxmlformats.org/officeDocument/2006/relationships/image" Target="../media/image10.emf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12.bin"/><Relationship Id="rId7" Type="http://schemas.openxmlformats.org/officeDocument/2006/relationships/oleObject" Target="../embeddings/oleObject5.bin"/><Relationship Id="rId12" Type="http://schemas.openxmlformats.org/officeDocument/2006/relationships/image" Target="../media/image7.emf"/><Relationship Id="rId17" Type="http://schemas.openxmlformats.org/officeDocument/2006/relationships/oleObject" Target="../embeddings/oleObject1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9.emf"/><Relationship Id="rId20" Type="http://schemas.openxmlformats.org/officeDocument/2006/relationships/image" Target="../media/image11.emf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11" Type="http://schemas.openxmlformats.org/officeDocument/2006/relationships/oleObject" Target="../embeddings/oleObject7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9.bin"/><Relationship Id="rId10" Type="http://schemas.openxmlformats.org/officeDocument/2006/relationships/image" Target="../media/image6.emf"/><Relationship Id="rId19" Type="http://schemas.openxmlformats.org/officeDocument/2006/relationships/oleObject" Target="../embeddings/oleObject11.bin"/><Relationship Id="rId4" Type="http://schemas.openxmlformats.org/officeDocument/2006/relationships/image" Target="../media/image3.emf"/><Relationship Id="rId9" Type="http://schemas.openxmlformats.org/officeDocument/2006/relationships/oleObject" Target="../embeddings/oleObject6.bin"/><Relationship Id="rId14" Type="http://schemas.openxmlformats.org/officeDocument/2006/relationships/image" Target="../media/image8.emf"/><Relationship Id="rId22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2.vsdx"/><Relationship Id="rId5" Type="http://schemas.openxmlformats.org/officeDocument/2006/relationships/image" Target="../media/image13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selection activeCell="K28" sqref="K28"/>
    </sheetView>
  </sheetViews>
  <sheetFormatPr defaultRowHeight="13.2" x14ac:dyDescent="0.25"/>
  <cols>
    <col min="1" max="1" width="37.5546875" customWidth="1"/>
    <col min="2" max="2" width="15.6640625" bestFit="1" customWidth="1"/>
    <col min="3" max="3" width="5.6640625" customWidth="1"/>
    <col min="4" max="4" width="8.21875" customWidth="1"/>
    <col min="5" max="5" width="7.44140625" customWidth="1"/>
  </cols>
  <sheetData>
    <row r="1" spans="1:7" ht="18" thickBot="1" x14ac:dyDescent="0.35">
      <c r="A1" s="82" t="s">
        <v>33</v>
      </c>
      <c r="B1" s="83"/>
      <c r="C1" s="83"/>
      <c r="D1" s="83"/>
      <c r="E1" s="83"/>
      <c r="F1" s="83"/>
      <c r="G1" s="84"/>
    </row>
    <row r="2" spans="1:7" ht="15" x14ac:dyDescent="0.25">
      <c r="A2" s="17" t="s">
        <v>28</v>
      </c>
      <c r="B2" s="11">
        <v>50000</v>
      </c>
      <c r="C2" s="11" t="s">
        <v>29</v>
      </c>
      <c r="D2" s="1"/>
      <c r="E2" s="73"/>
      <c r="F2" s="74"/>
      <c r="G2" s="75"/>
    </row>
    <row r="3" spans="1:7" ht="15" x14ac:dyDescent="0.25">
      <c r="A3" s="17" t="s">
        <v>141</v>
      </c>
      <c r="B3" s="11">
        <v>10</v>
      </c>
      <c r="C3" s="11" t="s">
        <v>38</v>
      </c>
      <c r="D3" s="1"/>
      <c r="E3" s="76"/>
      <c r="F3" s="77"/>
      <c r="G3" s="78"/>
    </row>
    <row r="4" spans="1:7" ht="13.8" thickBot="1" x14ac:dyDescent="0.3">
      <c r="A4" s="31"/>
      <c r="B4" s="1"/>
      <c r="C4" s="1"/>
      <c r="D4" s="1"/>
      <c r="E4" s="76"/>
      <c r="F4" s="77"/>
      <c r="G4" s="78"/>
    </row>
    <row r="5" spans="1:7" ht="16.8" customHeight="1" thickBot="1" x14ac:dyDescent="0.3">
      <c r="A5" s="15" t="s">
        <v>133</v>
      </c>
      <c r="B5" s="10">
        <v>1200</v>
      </c>
      <c r="C5" s="10" t="s">
        <v>43</v>
      </c>
      <c r="D5" s="28"/>
      <c r="E5" s="79"/>
      <c r="F5" s="80"/>
      <c r="G5" s="81"/>
    </row>
    <row r="6" spans="1:7" ht="15" x14ac:dyDescent="0.25">
      <c r="A6" s="17" t="s">
        <v>135</v>
      </c>
      <c r="B6" s="11">
        <f>B5/3</f>
        <v>400</v>
      </c>
      <c r="C6" s="11" t="s">
        <v>43</v>
      </c>
      <c r="D6" s="1"/>
      <c r="E6" s="4"/>
      <c r="F6" s="1"/>
      <c r="G6" s="4"/>
    </row>
    <row r="7" spans="1:7" ht="15" x14ac:dyDescent="0.25">
      <c r="A7" s="17" t="s">
        <v>137</v>
      </c>
      <c r="B7" s="11">
        <f>B6/120</f>
        <v>3.3333333333333335</v>
      </c>
      <c r="C7" s="11" t="s">
        <v>11</v>
      </c>
      <c r="D7" s="11">
        <f>B7*1.414</f>
        <v>4.7133333333333329</v>
      </c>
      <c r="E7" s="20" t="s">
        <v>30</v>
      </c>
      <c r="F7" s="1"/>
      <c r="G7" s="4"/>
    </row>
    <row r="8" spans="1:7" ht="15" x14ac:dyDescent="0.25">
      <c r="A8" s="17" t="s">
        <v>139</v>
      </c>
      <c r="B8" s="11">
        <v>300</v>
      </c>
      <c r="C8" s="11" t="s">
        <v>4</v>
      </c>
      <c r="D8" s="1"/>
      <c r="E8" s="4"/>
      <c r="F8" s="1"/>
      <c r="G8" s="4"/>
    </row>
    <row r="9" spans="1:7" ht="15.6" thickBot="1" x14ac:dyDescent="0.3">
      <c r="A9" s="67" t="s">
        <v>32</v>
      </c>
      <c r="B9" s="12">
        <f>B8/(4*B2*D7*0.01*B3)</f>
        <v>3.1824611032531826E-3</v>
      </c>
      <c r="C9" s="48" t="s">
        <v>34</v>
      </c>
      <c r="D9" s="5"/>
      <c r="E9" s="3"/>
      <c r="F9" s="1"/>
      <c r="G9" s="4"/>
    </row>
    <row r="10" spans="1:7" ht="15" x14ac:dyDescent="0.25">
      <c r="A10" s="15" t="s">
        <v>134</v>
      </c>
      <c r="B10" s="10">
        <v>2300</v>
      </c>
      <c r="C10" s="28" t="s">
        <v>43</v>
      </c>
      <c r="D10" s="10"/>
      <c r="E10" s="66"/>
      <c r="F10" s="11"/>
      <c r="G10" s="20"/>
    </row>
    <row r="11" spans="1:7" ht="15" x14ac:dyDescent="0.25">
      <c r="A11" s="17" t="s">
        <v>136</v>
      </c>
      <c r="B11" s="11">
        <f>B10/3</f>
        <v>766.66666666666663</v>
      </c>
      <c r="C11" s="11" t="s">
        <v>43</v>
      </c>
      <c r="D11" s="11"/>
      <c r="E11" s="20"/>
      <c r="F11" s="11"/>
      <c r="G11" s="20"/>
    </row>
    <row r="12" spans="1:7" ht="15" x14ac:dyDescent="0.25">
      <c r="A12" s="17" t="s">
        <v>138</v>
      </c>
      <c r="B12" s="11">
        <f>B11/230</f>
        <v>3.333333333333333</v>
      </c>
      <c r="C12" s="11" t="s">
        <v>11</v>
      </c>
      <c r="D12" s="11">
        <f>B12*1.414</f>
        <v>4.7133333333333329</v>
      </c>
      <c r="E12" s="20" t="s">
        <v>30</v>
      </c>
      <c r="F12" s="11"/>
      <c r="G12" s="20"/>
    </row>
    <row r="13" spans="1:7" ht="15" x14ac:dyDescent="0.25">
      <c r="A13" s="17" t="s">
        <v>140</v>
      </c>
      <c r="B13" s="11">
        <v>350</v>
      </c>
      <c r="C13" s="11" t="s">
        <v>4</v>
      </c>
      <c r="D13" s="11"/>
      <c r="E13" s="20"/>
      <c r="F13" s="11"/>
      <c r="G13" s="20"/>
    </row>
    <row r="14" spans="1:7" ht="15.6" thickBot="1" x14ac:dyDescent="0.3">
      <c r="A14" s="68" t="s">
        <v>32</v>
      </c>
      <c r="B14" s="12">
        <f>B8/(4*B2*D12*0.01*B3)</f>
        <v>3.1824611032531826E-3</v>
      </c>
      <c r="C14" s="26" t="s">
        <v>34</v>
      </c>
      <c r="D14" s="5"/>
      <c r="E14" s="3"/>
      <c r="F14" s="26"/>
      <c r="G14" s="21"/>
    </row>
    <row r="15" spans="1:7" ht="15.6" thickBot="1" x14ac:dyDescent="0.3">
      <c r="F15" s="47"/>
      <c r="G15" s="47"/>
    </row>
    <row r="16" spans="1:7" ht="18" thickBot="1" x14ac:dyDescent="0.35">
      <c r="A16" s="85" t="s">
        <v>73</v>
      </c>
      <c r="B16" s="86"/>
      <c r="C16" s="86"/>
      <c r="D16" s="86"/>
      <c r="E16" s="86"/>
      <c r="F16" s="86"/>
      <c r="G16" s="87"/>
    </row>
    <row r="17" spans="1:8" ht="3" customHeight="1" x14ac:dyDescent="0.25">
      <c r="A17" s="97" t="s">
        <v>72</v>
      </c>
      <c r="B17" s="94">
        <f>20*LOG10(B3*0.01)</f>
        <v>-20</v>
      </c>
      <c r="C17" s="88"/>
      <c r="D17" s="88"/>
      <c r="E17" s="88"/>
      <c r="F17" s="88"/>
      <c r="G17" s="89"/>
    </row>
    <row r="18" spans="1:8" ht="23.4" customHeight="1" thickBot="1" x14ac:dyDescent="0.3">
      <c r="A18" s="98"/>
      <c r="B18" s="95"/>
      <c r="C18" s="90"/>
      <c r="D18" s="90"/>
      <c r="E18" s="90"/>
      <c r="F18" s="90"/>
      <c r="G18" s="91"/>
    </row>
    <row r="19" spans="1:8" ht="15" hidden="1" customHeight="1" x14ac:dyDescent="0.25">
      <c r="A19" s="98"/>
      <c r="B19" s="95"/>
      <c r="C19" s="90"/>
      <c r="D19" s="90"/>
      <c r="E19" s="90"/>
      <c r="F19" s="90"/>
      <c r="G19" s="91"/>
    </row>
    <row r="20" spans="1:8" ht="3" hidden="1" customHeight="1" x14ac:dyDescent="0.25">
      <c r="A20" s="98"/>
      <c r="B20" s="95"/>
      <c r="C20" s="90"/>
      <c r="D20" s="90"/>
      <c r="E20" s="90"/>
      <c r="F20" s="90"/>
      <c r="G20" s="91"/>
      <c r="H20" s="69"/>
    </row>
    <row r="21" spans="1:8" ht="15" hidden="1" customHeight="1" x14ac:dyDescent="0.25">
      <c r="A21" s="98"/>
      <c r="B21" s="95"/>
      <c r="C21" s="90"/>
      <c r="D21" s="90"/>
      <c r="E21" s="90"/>
      <c r="F21" s="90"/>
      <c r="G21" s="91"/>
      <c r="H21" s="69"/>
    </row>
    <row r="22" spans="1:8" ht="15" hidden="1" customHeight="1" x14ac:dyDescent="0.25">
      <c r="A22" s="99"/>
      <c r="B22" s="96"/>
      <c r="C22" s="92"/>
      <c r="D22" s="92"/>
      <c r="E22" s="92"/>
      <c r="F22" s="92"/>
      <c r="G22" s="93"/>
      <c r="H22" s="69"/>
    </row>
    <row r="23" spans="1:8" ht="18" thickBot="1" x14ac:dyDescent="0.35">
      <c r="A23" s="82" t="s">
        <v>70</v>
      </c>
      <c r="B23" s="83"/>
      <c r="C23" s="83"/>
      <c r="D23" s="83"/>
      <c r="E23" s="83"/>
      <c r="F23" s="83"/>
      <c r="G23" s="84"/>
      <c r="H23" s="69"/>
    </row>
    <row r="24" spans="1:8" ht="15" x14ac:dyDescent="0.25">
      <c r="A24" s="45" t="s">
        <v>71</v>
      </c>
      <c r="B24" s="50">
        <v>2</v>
      </c>
      <c r="C24" s="49" t="s">
        <v>31</v>
      </c>
      <c r="D24" s="2"/>
      <c r="E24" s="73"/>
      <c r="F24" s="74"/>
      <c r="G24" s="75"/>
      <c r="H24" s="69"/>
    </row>
    <row r="25" spans="1:8" ht="15" x14ac:dyDescent="0.25">
      <c r="A25" s="46" t="s">
        <v>142</v>
      </c>
      <c r="B25" s="51">
        <f>B8*2*0.01*B24</f>
        <v>12</v>
      </c>
      <c r="C25" s="51" t="s">
        <v>4</v>
      </c>
      <c r="D25" s="44"/>
      <c r="E25" s="76"/>
      <c r="F25" s="77"/>
      <c r="G25" s="78"/>
      <c r="H25" s="69"/>
    </row>
    <row r="26" spans="1:8" ht="15" x14ac:dyDescent="0.25">
      <c r="A26" s="46" t="s">
        <v>143</v>
      </c>
      <c r="B26" s="51">
        <f>B8*2-B25</f>
        <v>588</v>
      </c>
      <c r="C26" s="51" t="s">
        <v>4</v>
      </c>
      <c r="D26" s="44"/>
      <c r="E26" s="76"/>
      <c r="F26" s="77"/>
      <c r="G26" s="78"/>
      <c r="H26" s="69"/>
    </row>
    <row r="27" spans="1:8" ht="15" x14ac:dyDescent="0.25">
      <c r="A27" s="46" t="s">
        <v>144</v>
      </c>
      <c r="B27" s="11">
        <f>B5*0.33/(4*60*(B8*B8*4-B26*B26))</f>
        <v>1.1574074074074075E-4</v>
      </c>
      <c r="C27" s="51" t="s">
        <v>145</v>
      </c>
      <c r="D27" s="44"/>
      <c r="E27" s="76"/>
      <c r="F27" s="77"/>
      <c r="G27" s="78"/>
      <c r="H27" s="69"/>
    </row>
    <row r="28" spans="1:8" ht="15" x14ac:dyDescent="0.25">
      <c r="A28" s="46" t="s">
        <v>142</v>
      </c>
      <c r="B28" s="51">
        <f>B13*2*B24*0.01</f>
        <v>14</v>
      </c>
      <c r="C28" s="51"/>
      <c r="D28" s="44"/>
      <c r="E28" s="76"/>
      <c r="F28" s="77"/>
      <c r="G28" s="78"/>
      <c r="H28" s="69"/>
    </row>
    <row r="29" spans="1:8" ht="15" x14ac:dyDescent="0.25">
      <c r="A29" s="46" t="s">
        <v>143</v>
      </c>
      <c r="B29" s="51">
        <f>B13*2-B28</f>
        <v>686</v>
      </c>
      <c r="C29" s="51"/>
      <c r="D29" s="44"/>
      <c r="E29" s="76"/>
      <c r="F29" s="77"/>
      <c r="G29" s="78"/>
      <c r="H29" s="69"/>
    </row>
    <row r="30" spans="1:8" ht="15.6" thickBot="1" x14ac:dyDescent="0.3">
      <c r="A30" s="71" t="s">
        <v>144</v>
      </c>
      <c r="B30" s="26">
        <f>B10*0.33/(4*50*(B13*B13*4-B29*B29))</f>
        <v>1.95578231292517E-4</v>
      </c>
      <c r="C30" s="52" t="s">
        <v>145</v>
      </c>
      <c r="D30" s="72"/>
      <c r="E30" s="79"/>
      <c r="F30" s="80"/>
      <c r="G30" s="81"/>
      <c r="H30" s="69"/>
    </row>
    <row r="31" spans="1:8" ht="15" x14ac:dyDescent="0.25">
      <c r="A31" s="70"/>
      <c r="B31" s="70"/>
      <c r="C31" s="70"/>
      <c r="D31" s="69"/>
      <c r="E31" s="69"/>
      <c r="F31" s="69"/>
      <c r="G31" s="69"/>
      <c r="H31" s="69"/>
    </row>
    <row r="32" spans="1:8" ht="15" x14ac:dyDescent="0.25">
      <c r="A32" s="70"/>
      <c r="B32" s="70"/>
      <c r="C32" s="70"/>
      <c r="D32" s="69"/>
      <c r="E32" s="69"/>
      <c r="F32" s="69"/>
      <c r="G32" s="69"/>
      <c r="H32" s="69"/>
    </row>
    <row r="33" spans="1:8" x14ac:dyDescent="0.25">
      <c r="A33" s="69"/>
      <c r="B33" s="69"/>
      <c r="C33" s="69"/>
      <c r="D33" s="69"/>
      <c r="E33" s="69"/>
      <c r="F33" s="69"/>
      <c r="G33" s="69"/>
      <c r="H33" s="69"/>
    </row>
    <row r="34" spans="1:8" x14ac:dyDescent="0.25">
      <c r="A34" s="69"/>
      <c r="B34" s="69"/>
      <c r="C34" s="69"/>
      <c r="D34" s="69"/>
      <c r="E34" s="69"/>
      <c r="F34" s="69"/>
      <c r="G34" s="69"/>
      <c r="H34" s="69"/>
    </row>
    <row r="35" spans="1:8" x14ac:dyDescent="0.25">
      <c r="A35" s="69"/>
      <c r="B35" s="69"/>
      <c r="C35" s="69"/>
      <c r="D35" s="69"/>
      <c r="E35" s="69"/>
      <c r="F35" s="69"/>
      <c r="G35" s="69"/>
      <c r="H35" s="69"/>
    </row>
    <row r="36" spans="1:8" x14ac:dyDescent="0.25">
      <c r="A36" s="69"/>
      <c r="B36" s="69"/>
      <c r="C36" s="69"/>
      <c r="D36" s="69"/>
      <c r="E36" s="69"/>
      <c r="F36" s="69"/>
      <c r="G36" s="69"/>
      <c r="H36" s="69"/>
    </row>
  </sheetData>
  <mergeCells count="10">
    <mergeCell ref="A23:G23"/>
    <mergeCell ref="E24:G30"/>
    <mergeCell ref="E2:G5"/>
    <mergeCell ref="A1:G1"/>
    <mergeCell ref="A16:G16"/>
    <mergeCell ref="E17:G22"/>
    <mergeCell ref="D17:D22"/>
    <mergeCell ref="C17:C22"/>
    <mergeCell ref="B17:B22"/>
    <mergeCell ref="A17:A2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 sizeWithCells="1">
              <from>
                <xdr:col>3</xdr:col>
                <xdr:colOff>533400</xdr:colOff>
                <xdr:row>1</xdr:row>
                <xdr:rowOff>15240</xdr:rowOff>
              </from>
              <to>
                <xdr:col>6</xdr:col>
                <xdr:colOff>563880</xdr:colOff>
                <xdr:row>4</xdr:row>
                <xdr:rowOff>190500</xdr:rowOff>
              </to>
            </anchor>
          </objectPr>
        </oleObject>
      </mc:Choice>
      <mc:Fallback>
        <oleObject progId="Equation.3" shapeId="3075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4</xdr:col>
                <xdr:colOff>144780</xdr:colOff>
                <xdr:row>24</xdr:row>
                <xdr:rowOff>0</xdr:rowOff>
              </from>
              <to>
                <xdr:col>6</xdr:col>
                <xdr:colOff>403860</xdr:colOff>
                <xdr:row>26</xdr:row>
                <xdr:rowOff>76200</xdr:rowOff>
              </to>
            </anchor>
          </objectPr>
        </oleObject>
      </mc:Choice>
      <mc:Fallback>
        <oleObject progId="Equation.3" shapeId="307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F24" sqref="F24"/>
    </sheetView>
  </sheetViews>
  <sheetFormatPr defaultRowHeight="13.2" x14ac:dyDescent="0.25"/>
  <cols>
    <col min="1" max="1" width="29.44140625" customWidth="1"/>
    <col min="2" max="2" width="13.33203125" customWidth="1"/>
    <col min="3" max="3" width="23.88671875" customWidth="1"/>
  </cols>
  <sheetData>
    <row r="1" spans="1:6" ht="18" thickBot="1" x14ac:dyDescent="0.35">
      <c r="A1" s="82" t="s">
        <v>55</v>
      </c>
      <c r="B1" s="83"/>
      <c r="C1" s="84"/>
    </row>
    <row r="2" spans="1:6" x14ac:dyDescent="0.25">
      <c r="A2" s="33" t="s">
        <v>53</v>
      </c>
      <c r="B2" s="28">
        <v>3</v>
      </c>
      <c r="C2" s="2" t="s">
        <v>35</v>
      </c>
    </row>
    <row r="3" spans="1:6" x14ac:dyDescent="0.25">
      <c r="A3" s="34" t="s">
        <v>54</v>
      </c>
      <c r="B3" s="1">
        <v>5</v>
      </c>
      <c r="C3" s="4" t="s">
        <v>0</v>
      </c>
      <c r="F3" t="s">
        <v>36</v>
      </c>
    </row>
    <row r="4" spans="1:6" x14ac:dyDescent="0.25">
      <c r="A4" s="31" t="s">
        <v>37</v>
      </c>
      <c r="B4" s="1">
        <v>10</v>
      </c>
      <c r="C4" s="4" t="s">
        <v>38</v>
      </c>
    </row>
    <row r="5" spans="1:6" x14ac:dyDescent="0.25">
      <c r="A5" s="31" t="s">
        <v>39</v>
      </c>
      <c r="B5" s="1">
        <f>B3*B4*1.414/100</f>
        <v>0.70700000000000007</v>
      </c>
      <c r="C5" s="4" t="s">
        <v>0</v>
      </c>
    </row>
    <row r="6" spans="1:6" x14ac:dyDescent="0.25">
      <c r="A6" s="31" t="s">
        <v>40</v>
      </c>
      <c r="B6" s="1">
        <v>400</v>
      </c>
      <c r="C6" s="4" t="s">
        <v>4</v>
      </c>
      <c r="F6" t="s">
        <v>41</v>
      </c>
    </row>
    <row r="7" spans="1:6" ht="13.8" thickBot="1" x14ac:dyDescent="0.3">
      <c r="A7" s="32" t="s">
        <v>42</v>
      </c>
      <c r="B7" s="5">
        <f>0.5*B2*B5*B5</f>
        <v>0.7497735000000002</v>
      </c>
      <c r="C7" s="3" t="s">
        <v>43</v>
      </c>
    </row>
    <row r="8" spans="1:6" ht="13.8" thickBot="1" x14ac:dyDescent="0.3"/>
    <row r="9" spans="1:6" ht="18" thickBot="1" x14ac:dyDescent="0.35">
      <c r="A9" s="82" t="s">
        <v>60</v>
      </c>
      <c r="B9" s="83"/>
      <c r="C9" s="84"/>
    </row>
    <row r="10" spans="1:6" x14ac:dyDescent="0.25">
      <c r="A10" s="33" t="s">
        <v>61</v>
      </c>
      <c r="B10" s="28">
        <v>18</v>
      </c>
      <c r="C10" s="35" t="s">
        <v>62</v>
      </c>
    </row>
    <row r="11" spans="1:6" x14ac:dyDescent="0.25">
      <c r="A11" s="36" t="s">
        <v>63</v>
      </c>
      <c r="B11" s="1">
        <v>1.07</v>
      </c>
      <c r="C11" s="4" t="s">
        <v>48</v>
      </c>
    </row>
    <row r="12" spans="1:6" x14ac:dyDescent="0.25">
      <c r="A12" s="36" t="s">
        <v>64</v>
      </c>
      <c r="B12" s="1">
        <f>3.14*B11*B11/4</f>
        <v>0.89874650000000011</v>
      </c>
      <c r="C12" s="37" t="s">
        <v>46</v>
      </c>
    </row>
    <row r="13" spans="1:6" ht="13.8" thickBot="1" x14ac:dyDescent="0.3">
      <c r="A13" s="38" t="s">
        <v>65</v>
      </c>
      <c r="B13" s="5">
        <v>22.4</v>
      </c>
      <c r="C13" s="39" t="s">
        <v>52</v>
      </c>
    </row>
    <row r="14" spans="1:6" ht="13.8" thickBot="1" x14ac:dyDescent="0.3">
      <c r="A14" s="27"/>
      <c r="B14" s="1"/>
      <c r="C14" s="1"/>
    </row>
    <row r="15" spans="1:6" ht="18" thickBot="1" x14ac:dyDescent="0.35">
      <c r="A15" s="82" t="s">
        <v>56</v>
      </c>
      <c r="B15" s="83"/>
      <c r="C15" s="84"/>
    </row>
    <row r="16" spans="1:6" x14ac:dyDescent="0.25">
      <c r="A16" s="40" t="s">
        <v>44</v>
      </c>
      <c r="B16" s="41"/>
      <c r="C16" s="2"/>
    </row>
    <row r="17" spans="1:5" x14ac:dyDescent="0.25">
      <c r="A17" s="34" t="s">
        <v>57</v>
      </c>
      <c r="B17" s="1">
        <v>135</v>
      </c>
      <c r="C17" s="4" t="s">
        <v>45</v>
      </c>
    </row>
    <row r="18" spans="1:5" ht="13.8" thickBot="1" x14ac:dyDescent="0.3">
      <c r="A18" s="42" t="s">
        <v>58</v>
      </c>
      <c r="B18" s="5">
        <v>427</v>
      </c>
      <c r="C18" s="3" t="s">
        <v>46</v>
      </c>
    </row>
    <row r="19" spans="1:5" x14ac:dyDescent="0.25">
      <c r="A19" s="30"/>
    </row>
    <row r="20" spans="1:5" ht="13.8" thickBot="1" x14ac:dyDescent="0.3">
      <c r="A20" s="30"/>
    </row>
    <row r="21" spans="1:5" ht="18" thickBot="1" x14ac:dyDescent="0.35">
      <c r="A21" s="82" t="s">
        <v>68</v>
      </c>
      <c r="B21" s="83"/>
      <c r="C21" s="84"/>
    </row>
    <row r="22" spans="1:5" x14ac:dyDescent="0.25">
      <c r="A22" s="33" t="s">
        <v>47</v>
      </c>
      <c r="B22" s="28">
        <v>0.6</v>
      </c>
      <c r="C22" s="2"/>
    </row>
    <row r="23" spans="1:5" x14ac:dyDescent="0.25">
      <c r="A23" s="34" t="s">
        <v>66</v>
      </c>
      <c r="B23" s="1">
        <f>B18*B22/B12</f>
        <v>285.0636970491679</v>
      </c>
      <c r="C23" s="4"/>
    </row>
    <row r="24" spans="1:5" ht="52.8" x14ac:dyDescent="0.25">
      <c r="A24" s="43" t="s">
        <v>67</v>
      </c>
      <c r="B24" s="1">
        <f>SQRT(B2*10^-3/(135*10^-9))</f>
        <v>149.07119849998597</v>
      </c>
      <c r="C24" s="4"/>
    </row>
    <row r="25" spans="1:5" x14ac:dyDescent="0.25">
      <c r="A25" s="31" t="s">
        <v>47</v>
      </c>
      <c r="B25" s="1">
        <f>(B24*B12/B18)*100</f>
        <v>31.376397635285169</v>
      </c>
      <c r="C25" s="4" t="s">
        <v>38</v>
      </c>
    </row>
    <row r="26" spans="1:5" ht="30.75" customHeight="1" x14ac:dyDescent="0.25">
      <c r="A26" s="43" t="s">
        <v>69</v>
      </c>
      <c r="B26" s="1">
        <v>68.2</v>
      </c>
      <c r="C26" s="4" t="s">
        <v>48</v>
      </c>
    </row>
    <row r="27" spans="1:5" x14ac:dyDescent="0.25">
      <c r="A27" s="34" t="s">
        <v>59</v>
      </c>
      <c r="B27" s="1">
        <f>B24*B26</f>
        <v>10166.655737699044</v>
      </c>
      <c r="C27" s="4" t="s">
        <v>48</v>
      </c>
    </row>
    <row r="28" spans="1:5" x14ac:dyDescent="0.25">
      <c r="A28" s="31" t="s">
        <v>49</v>
      </c>
      <c r="B28" s="1">
        <f>B27*B13/1000000</f>
        <v>0.22773308852445859</v>
      </c>
      <c r="C28" s="4" t="s">
        <v>2</v>
      </c>
    </row>
    <row r="29" spans="1:5" ht="13.8" thickBot="1" x14ac:dyDescent="0.3">
      <c r="A29" s="32" t="s">
        <v>50</v>
      </c>
      <c r="B29" s="5">
        <f>B3/B12</f>
        <v>5.5633040017402005</v>
      </c>
      <c r="C29" s="3" t="s">
        <v>51</v>
      </c>
    </row>
    <row r="32" spans="1:5" x14ac:dyDescent="0.25">
      <c r="A32" s="1"/>
      <c r="B32" s="1"/>
      <c r="C32" s="1"/>
      <c r="D32" s="1"/>
      <c r="E32" s="1"/>
    </row>
    <row r="33" spans="1:5" ht="14.4" x14ac:dyDescent="0.3">
      <c r="A33" s="100"/>
      <c r="B33" s="100"/>
      <c r="C33" s="100"/>
      <c r="D33" s="100"/>
      <c r="E33" s="100"/>
    </row>
    <row r="34" spans="1:5" ht="14.4" x14ac:dyDescent="0.3">
      <c r="A34" s="1"/>
      <c r="B34" s="100"/>
      <c r="C34" s="100"/>
      <c r="D34" s="100"/>
      <c r="E34" s="100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27"/>
      <c r="B45" s="1"/>
      <c r="C45" s="1"/>
      <c r="D45" s="1"/>
      <c r="E45" s="1"/>
    </row>
  </sheetData>
  <mergeCells count="7">
    <mergeCell ref="A33:E33"/>
    <mergeCell ref="B34:C34"/>
    <mergeCell ref="D34:E34"/>
    <mergeCell ref="A1:C1"/>
    <mergeCell ref="A15:C15"/>
    <mergeCell ref="A9:C9"/>
    <mergeCell ref="A21:C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>
              <from>
                <xdr:col>7</xdr:col>
                <xdr:colOff>114300</xdr:colOff>
                <xdr:row>1</xdr:row>
                <xdr:rowOff>106680</xdr:rowOff>
              </from>
              <to>
                <xdr:col>8</xdr:col>
                <xdr:colOff>350520</xdr:colOff>
                <xdr:row>3</xdr:row>
                <xdr:rowOff>121920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>
              <from>
                <xdr:col>7</xdr:col>
                <xdr:colOff>114300</xdr:colOff>
                <xdr:row>4</xdr:row>
                <xdr:rowOff>144780</xdr:rowOff>
              </from>
              <to>
                <xdr:col>8</xdr:col>
                <xdr:colOff>236220</xdr:colOff>
                <xdr:row>6</xdr:row>
                <xdr:rowOff>60960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>
              <from>
                <xdr:col>7</xdr:col>
                <xdr:colOff>137160</xdr:colOff>
                <xdr:row>7</xdr:row>
                <xdr:rowOff>68580</xdr:rowOff>
              </from>
              <to>
                <xdr:col>8</xdr:col>
                <xdr:colOff>312420</xdr:colOff>
                <xdr:row>9</xdr:row>
                <xdr:rowOff>30480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>
              <from>
                <xdr:col>7</xdr:col>
                <xdr:colOff>152400</xdr:colOff>
                <xdr:row>10</xdr:row>
                <xdr:rowOff>7620</xdr:rowOff>
              </from>
              <to>
                <xdr:col>8</xdr:col>
                <xdr:colOff>182880</xdr:colOff>
                <xdr:row>13</xdr:row>
                <xdr:rowOff>22860</xdr:rowOff>
              </to>
            </anchor>
          </objectPr>
        </oleObject>
      </mc:Choice>
      <mc:Fallback>
        <oleObject progId="Equation.3" shapeId="5124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>
              <from>
                <xdr:col>7</xdr:col>
                <xdr:colOff>99060</xdr:colOff>
                <xdr:row>20</xdr:row>
                <xdr:rowOff>121920</xdr:rowOff>
              </from>
              <to>
                <xdr:col>8</xdr:col>
                <xdr:colOff>160020</xdr:colOff>
                <xdr:row>23</xdr:row>
                <xdr:rowOff>99060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6" r:id="rId13">
          <objectPr defaultSize="0" autoPict="0" r:id="rId14">
            <anchor moveWithCells="1">
              <from>
                <xdr:col>7</xdr:col>
                <xdr:colOff>106680</xdr:colOff>
                <xdr:row>17</xdr:row>
                <xdr:rowOff>114300</xdr:rowOff>
              </from>
              <to>
                <xdr:col>10</xdr:col>
                <xdr:colOff>99060</xdr:colOff>
                <xdr:row>19</xdr:row>
                <xdr:rowOff>160020</xdr:rowOff>
              </to>
            </anchor>
          </objectPr>
        </oleObject>
      </mc:Choice>
      <mc:Fallback>
        <oleObject progId="Equation.3" shapeId="5126" r:id="rId13"/>
      </mc:Fallback>
    </mc:AlternateContent>
    <mc:AlternateContent xmlns:mc="http://schemas.openxmlformats.org/markup-compatibility/2006">
      <mc:Choice Requires="x14">
        <oleObject progId="Equation.3" shapeId="5127" r:id="rId15">
          <objectPr defaultSize="0" autoPict="0" r:id="rId16">
            <anchor moveWithCells="1">
              <from>
                <xdr:col>7</xdr:col>
                <xdr:colOff>137160</xdr:colOff>
                <xdr:row>25</xdr:row>
                <xdr:rowOff>365760</xdr:rowOff>
              </from>
              <to>
                <xdr:col>8</xdr:col>
                <xdr:colOff>38100</xdr:colOff>
                <xdr:row>28</xdr:row>
                <xdr:rowOff>45720</xdr:rowOff>
              </to>
            </anchor>
          </objectPr>
        </oleObject>
      </mc:Choice>
      <mc:Fallback>
        <oleObject progId="Equation.3" shapeId="5127" r:id="rId15"/>
      </mc:Fallback>
    </mc:AlternateContent>
    <mc:AlternateContent xmlns:mc="http://schemas.openxmlformats.org/markup-compatibility/2006">
      <mc:Choice Requires="x14">
        <oleObject progId="Equation.3" shapeId="5128" r:id="rId17">
          <objectPr defaultSize="0" autoPict="0" r:id="rId18">
            <anchor moveWithCells="1">
              <from>
                <xdr:col>7</xdr:col>
                <xdr:colOff>137160</xdr:colOff>
                <xdr:row>28</xdr:row>
                <xdr:rowOff>160020</xdr:rowOff>
              </from>
              <to>
                <xdr:col>9</xdr:col>
                <xdr:colOff>335280</xdr:colOff>
                <xdr:row>33</xdr:row>
                <xdr:rowOff>137160</xdr:rowOff>
              </to>
            </anchor>
          </objectPr>
        </oleObject>
      </mc:Choice>
      <mc:Fallback>
        <oleObject progId="Equation.3" shapeId="5128" r:id="rId17"/>
      </mc:Fallback>
    </mc:AlternateContent>
    <mc:AlternateContent xmlns:mc="http://schemas.openxmlformats.org/markup-compatibility/2006">
      <mc:Choice Requires="x14">
        <oleObject progId="Equation.3" shapeId="5129" r:id="rId19">
          <objectPr defaultSize="0" autoPict="0" r:id="rId20">
            <anchor moveWithCells="1">
              <from>
                <xdr:col>7</xdr:col>
                <xdr:colOff>99060</xdr:colOff>
                <xdr:row>23</xdr:row>
                <xdr:rowOff>220980</xdr:rowOff>
              </from>
              <to>
                <xdr:col>11</xdr:col>
                <xdr:colOff>487680</xdr:colOff>
                <xdr:row>25</xdr:row>
                <xdr:rowOff>266700</xdr:rowOff>
              </to>
            </anchor>
          </objectPr>
        </oleObject>
      </mc:Choice>
      <mc:Fallback>
        <oleObject progId="Equation.3" shapeId="5129" r:id="rId19"/>
      </mc:Fallback>
    </mc:AlternateContent>
    <mc:AlternateContent xmlns:mc="http://schemas.openxmlformats.org/markup-compatibility/2006">
      <mc:Choice Requires="x14">
        <oleObject progId="Equation.3" shapeId="5130" r:id="rId21">
          <objectPr defaultSize="0" autoPict="0" r:id="rId22">
            <anchor moveWithCells="1">
              <from>
                <xdr:col>7</xdr:col>
                <xdr:colOff>121920</xdr:colOff>
                <xdr:row>13</xdr:row>
                <xdr:rowOff>114300</xdr:rowOff>
              </from>
              <to>
                <xdr:col>12</xdr:col>
                <xdr:colOff>0</xdr:colOff>
                <xdr:row>16</xdr:row>
                <xdr:rowOff>144780</xdr:rowOff>
              </to>
            </anchor>
          </objectPr>
        </oleObject>
      </mc:Choice>
      <mc:Fallback>
        <oleObject progId="Equation.3" shapeId="5130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2" zoomScaleNormal="100" workbookViewId="0">
      <selection activeCell="E46" sqref="E46"/>
    </sheetView>
  </sheetViews>
  <sheetFormatPr defaultRowHeight="13.2" x14ac:dyDescent="0.25"/>
  <cols>
    <col min="3" max="3" width="25.21875" customWidth="1"/>
    <col min="4" max="4" width="14.109375" customWidth="1"/>
    <col min="6" max="6" width="10" customWidth="1"/>
    <col min="7" max="7" width="9.109375" customWidth="1"/>
    <col min="8" max="8" width="9.33203125" customWidth="1"/>
    <col min="9" max="9" width="14.21875" customWidth="1"/>
    <col min="10" max="10" width="15.33203125" customWidth="1"/>
    <col min="11" max="11" width="10.6640625" customWidth="1"/>
    <col min="12" max="12" width="12.6640625" customWidth="1"/>
  </cols>
  <sheetData>
    <row r="1" spans="1:12" ht="15.6" x14ac:dyDescent="0.35">
      <c r="A1" s="30" t="s">
        <v>98</v>
      </c>
      <c r="B1">
        <v>750</v>
      </c>
      <c r="C1" s="30" t="s">
        <v>4</v>
      </c>
    </row>
    <row r="2" spans="1:12" ht="15.6" x14ac:dyDescent="0.35">
      <c r="A2" s="30" t="s">
        <v>101</v>
      </c>
      <c r="B2">
        <v>110</v>
      </c>
      <c r="C2" s="30" t="s">
        <v>99</v>
      </c>
    </row>
    <row r="3" spans="1:12" ht="15.6" x14ac:dyDescent="0.35">
      <c r="A3" s="30" t="s">
        <v>100</v>
      </c>
      <c r="B3">
        <f>B2*1.414</f>
        <v>155.54</v>
      </c>
      <c r="C3" s="30" t="s">
        <v>99</v>
      </c>
      <c r="D3" t="s">
        <v>112</v>
      </c>
    </row>
    <row r="4" spans="1:12" x14ac:dyDescent="0.25">
      <c r="A4" s="30" t="s">
        <v>102</v>
      </c>
      <c r="B4">
        <f>2*B3/B1</f>
        <v>0.41477333333333333</v>
      </c>
      <c r="C4" s="30"/>
    </row>
    <row r="5" spans="1:12" x14ac:dyDescent="0.25">
      <c r="A5" s="30"/>
      <c r="C5" s="30"/>
    </row>
    <row r="6" spans="1:12" ht="13.8" thickBot="1" x14ac:dyDescent="0.3"/>
    <row r="7" spans="1:12" ht="21.6" thickBot="1" x14ac:dyDescent="0.45">
      <c r="A7" s="104" t="s">
        <v>76</v>
      </c>
      <c r="B7" s="105"/>
      <c r="C7" s="105"/>
      <c r="D7" s="105"/>
      <c r="E7" s="106"/>
    </row>
    <row r="8" spans="1:12" x14ac:dyDescent="0.25">
      <c r="A8" s="125" t="s">
        <v>75</v>
      </c>
      <c r="B8" s="126"/>
      <c r="C8" s="126"/>
      <c r="D8" s="127" t="s">
        <v>109</v>
      </c>
      <c r="E8" s="128"/>
      <c r="L8" s="1"/>
    </row>
    <row r="9" spans="1:12" x14ac:dyDescent="0.25">
      <c r="A9" s="110" t="s">
        <v>77</v>
      </c>
      <c r="B9" s="101"/>
      <c r="C9" s="101"/>
      <c r="D9" s="53">
        <v>1.8</v>
      </c>
      <c r="E9" s="54" t="s">
        <v>4</v>
      </c>
      <c r="F9" t="s">
        <v>78</v>
      </c>
      <c r="L9" s="1"/>
    </row>
    <row r="10" spans="1:12" ht="16.2" thickBot="1" x14ac:dyDescent="0.4">
      <c r="A10" s="111" t="s">
        <v>90</v>
      </c>
      <c r="B10" s="112"/>
      <c r="C10" s="112"/>
      <c r="D10" s="55">
        <v>27</v>
      </c>
      <c r="E10" s="56" t="s">
        <v>79</v>
      </c>
      <c r="F10" t="s">
        <v>80</v>
      </c>
      <c r="L10" s="1"/>
    </row>
    <row r="11" spans="1:12" ht="13.8" thickBot="1" x14ac:dyDescent="0.3"/>
    <row r="12" spans="1:12" ht="21.6" thickBot="1" x14ac:dyDescent="0.45">
      <c r="A12" s="131" t="s">
        <v>81</v>
      </c>
      <c r="B12" s="132"/>
      <c r="C12" s="132"/>
      <c r="D12" s="132"/>
      <c r="E12" s="133"/>
    </row>
    <row r="13" spans="1:12" x14ac:dyDescent="0.25">
      <c r="A13" s="125" t="s">
        <v>113</v>
      </c>
      <c r="B13" s="126"/>
      <c r="C13" s="126"/>
      <c r="D13" s="129" t="s">
        <v>114</v>
      </c>
      <c r="E13" s="130"/>
      <c r="G13" s="1"/>
    </row>
    <row r="14" spans="1:12" ht="15.6" x14ac:dyDescent="0.35">
      <c r="A14" s="114" t="s">
        <v>84</v>
      </c>
      <c r="B14" s="101"/>
      <c r="C14" s="101"/>
      <c r="D14" s="53">
        <v>0.16800000000000001</v>
      </c>
      <c r="E14" s="54" t="s">
        <v>2</v>
      </c>
      <c r="G14" s="1"/>
    </row>
    <row r="15" spans="1:12" ht="27.75" customHeight="1" x14ac:dyDescent="0.25">
      <c r="A15" s="115" t="s">
        <v>86</v>
      </c>
      <c r="B15" s="113"/>
      <c r="C15" s="113"/>
      <c r="D15" s="53">
        <v>0.9</v>
      </c>
      <c r="E15" s="116" t="s">
        <v>4</v>
      </c>
      <c r="G15" s="1"/>
    </row>
    <row r="16" spans="1:12" ht="27.75" customHeight="1" x14ac:dyDescent="0.35">
      <c r="A16" s="117" t="s">
        <v>91</v>
      </c>
      <c r="B16" s="65"/>
      <c r="C16" s="65"/>
      <c r="D16" s="53">
        <v>6500</v>
      </c>
      <c r="E16" s="116" t="s">
        <v>79</v>
      </c>
      <c r="G16" s="1"/>
    </row>
    <row r="17" spans="1:7" ht="27.75" customHeight="1" x14ac:dyDescent="0.35">
      <c r="A17" s="114" t="s">
        <v>93</v>
      </c>
      <c r="B17" s="101"/>
      <c r="C17" s="101"/>
      <c r="D17" s="53">
        <v>11</v>
      </c>
      <c r="E17" s="116" t="s">
        <v>94</v>
      </c>
      <c r="G17" s="1"/>
    </row>
    <row r="18" spans="1:7" x14ac:dyDescent="0.25">
      <c r="A18" s="114" t="s">
        <v>95</v>
      </c>
      <c r="B18" s="101"/>
      <c r="C18" s="101"/>
      <c r="D18" s="53">
        <v>9</v>
      </c>
      <c r="E18" s="116" t="s">
        <v>94</v>
      </c>
      <c r="G18" s="1"/>
    </row>
    <row r="19" spans="1:7" ht="13.8" thickBot="1" x14ac:dyDescent="0.3">
      <c r="A19" s="120" t="s">
        <v>115</v>
      </c>
      <c r="B19" s="121"/>
      <c r="C19" s="122"/>
      <c r="D19" s="118">
        <v>2.7</v>
      </c>
      <c r="E19" s="119" t="s">
        <v>116</v>
      </c>
      <c r="G19" s="1"/>
    </row>
    <row r="20" spans="1:7" ht="13.8" thickBot="1" x14ac:dyDescent="0.3"/>
    <row r="21" spans="1:7" ht="21.6" thickBot="1" x14ac:dyDescent="0.45">
      <c r="A21" s="131" t="s">
        <v>74</v>
      </c>
      <c r="B21" s="132"/>
      <c r="C21" s="132"/>
      <c r="D21" s="132"/>
      <c r="E21" s="133"/>
    </row>
    <row r="22" spans="1:7" ht="15.6" x14ac:dyDescent="0.35">
      <c r="A22" s="134" t="s">
        <v>83</v>
      </c>
      <c r="B22" s="135"/>
      <c r="C22" s="135"/>
      <c r="D22" s="57">
        <v>4</v>
      </c>
      <c r="E22" s="58" t="s">
        <v>0</v>
      </c>
    </row>
    <row r="23" spans="1:7" ht="15.6" x14ac:dyDescent="0.35">
      <c r="A23" s="114" t="s">
        <v>82</v>
      </c>
      <c r="B23" s="102"/>
      <c r="C23" s="102"/>
      <c r="D23" s="53">
        <f>D9*D22</f>
        <v>7.2</v>
      </c>
      <c r="E23" s="116" t="s">
        <v>43</v>
      </c>
    </row>
    <row r="24" spans="1:7" ht="16.8" x14ac:dyDescent="0.35">
      <c r="A24" s="114" t="s">
        <v>85</v>
      </c>
      <c r="B24" s="102"/>
      <c r="C24" s="102"/>
      <c r="D24" s="53">
        <f>D22*D22*D14</f>
        <v>2.6880000000000002</v>
      </c>
      <c r="E24" s="123" t="s">
        <v>43</v>
      </c>
    </row>
    <row r="25" spans="1:7" ht="16.2" thickBot="1" x14ac:dyDescent="0.4">
      <c r="A25" s="111" t="s">
        <v>87</v>
      </c>
      <c r="B25" s="124"/>
      <c r="C25" s="124"/>
      <c r="D25" s="55">
        <f>D15*D22</f>
        <v>3.6</v>
      </c>
      <c r="E25" s="56" t="s">
        <v>43</v>
      </c>
    </row>
    <row r="26" spans="1:7" ht="13.8" thickBot="1" x14ac:dyDescent="0.3"/>
    <row r="27" spans="1:7" ht="21" x14ac:dyDescent="0.25">
      <c r="A27" s="136" t="s">
        <v>88</v>
      </c>
      <c r="B27" s="137"/>
      <c r="C27" s="137"/>
      <c r="D27" s="137"/>
      <c r="E27" s="138"/>
    </row>
    <row r="28" spans="1:7" ht="15.6" x14ac:dyDescent="0.35">
      <c r="A28" s="114" t="s">
        <v>89</v>
      </c>
      <c r="B28" s="102"/>
      <c r="C28" s="102"/>
      <c r="D28" s="53">
        <f>D10*10^-9*750/2</f>
        <v>1.0125E-5</v>
      </c>
      <c r="E28" s="54" t="s">
        <v>43</v>
      </c>
    </row>
    <row r="29" spans="1:7" ht="15.6" x14ac:dyDescent="0.35">
      <c r="A29" s="114" t="s">
        <v>92</v>
      </c>
      <c r="B29" s="102"/>
      <c r="C29" s="102"/>
      <c r="D29" s="53">
        <f>D17*10^-9*B1/4</f>
        <v>2.0625000000000002E-6</v>
      </c>
      <c r="E29" s="54" t="s">
        <v>43</v>
      </c>
    </row>
    <row r="30" spans="1:7" ht="15.6" x14ac:dyDescent="0.35">
      <c r="A30" s="139" t="s">
        <v>96</v>
      </c>
      <c r="B30" s="53"/>
      <c r="C30" s="53"/>
      <c r="D30" s="53">
        <v>2.7E-6</v>
      </c>
      <c r="E30" s="54" t="s">
        <v>43</v>
      </c>
    </row>
    <row r="31" spans="1:7" ht="16.2" thickBot="1" x14ac:dyDescent="0.4">
      <c r="A31" s="140" t="s">
        <v>97</v>
      </c>
      <c r="B31" s="55"/>
      <c r="C31" s="55"/>
      <c r="D31" s="55">
        <f>(B1/2)*D22*(D17+D18)*10^-9*0.5</f>
        <v>1.5E-5</v>
      </c>
      <c r="E31" s="56" t="s">
        <v>43</v>
      </c>
    </row>
    <row r="34" spans="1:12" x14ac:dyDescent="0.25">
      <c r="A34" s="59"/>
      <c r="B34" s="157" t="s">
        <v>149</v>
      </c>
      <c r="C34" s="157" t="s">
        <v>146</v>
      </c>
    </row>
    <row r="35" spans="1:12" x14ac:dyDescent="0.25">
      <c r="A35" s="157" t="s">
        <v>148</v>
      </c>
      <c r="B35" s="59">
        <v>400</v>
      </c>
      <c r="C35" s="59">
        <v>800</v>
      </c>
      <c r="D35" s="30" t="s">
        <v>43</v>
      </c>
    </row>
    <row r="36" spans="1:12" ht="13.8" thickBot="1" x14ac:dyDescent="0.3"/>
    <row r="37" spans="1:12" ht="45.75" customHeight="1" thickBot="1" x14ac:dyDescent="0.3">
      <c r="A37" s="151" t="s">
        <v>103</v>
      </c>
      <c r="B37" s="154"/>
      <c r="C37" s="155" t="s">
        <v>74</v>
      </c>
      <c r="D37" s="152"/>
      <c r="E37" s="153"/>
      <c r="F37" s="155" t="s">
        <v>88</v>
      </c>
      <c r="G37" s="152"/>
      <c r="H37" s="153"/>
      <c r="I37" s="60" t="s">
        <v>110</v>
      </c>
      <c r="J37" s="60" t="s">
        <v>108</v>
      </c>
      <c r="K37" s="155" t="s">
        <v>111</v>
      </c>
      <c r="L37" s="153"/>
    </row>
    <row r="38" spans="1:12" ht="20.399999999999999" customHeight="1" x14ac:dyDescent="0.25">
      <c r="A38" s="147"/>
      <c r="B38" s="148"/>
      <c r="C38" s="149" t="s">
        <v>104</v>
      </c>
      <c r="D38" s="149" t="s">
        <v>105</v>
      </c>
      <c r="E38" s="149" t="s">
        <v>106</v>
      </c>
      <c r="F38" s="149" t="s">
        <v>104</v>
      </c>
      <c r="G38" s="150" t="s">
        <v>107</v>
      </c>
      <c r="H38" s="150" t="s">
        <v>106</v>
      </c>
      <c r="I38" s="57"/>
      <c r="J38" s="57"/>
      <c r="K38" s="149" t="s">
        <v>147</v>
      </c>
      <c r="L38" s="156" t="s">
        <v>146</v>
      </c>
    </row>
    <row r="39" spans="1:12" x14ac:dyDescent="0.25">
      <c r="A39" s="142">
        <v>50000</v>
      </c>
      <c r="B39" s="141"/>
      <c r="C39" s="53">
        <f>D23*B4</f>
        <v>2.9863680000000001</v>
      </c>
      <c r="D39" s="53">
        <f>D24*(1-B4)</f>
        <v>1.57308928</v>
      </c>
      <c r="E39" s="53">
        <f>D25*(1-B4)</f>
        <v>2.1068160000000002</v>
      </c>
      <c r="F39" s="53">
        <f>A39*D28</f>
        <v>0.50624999999999998</v>
      </c>
      <c r="G39" s="53">
        <f>A39*D31</f>
        <v>0.75</v>
      </c>
      <c r="H39" s="53">
        <f>D29*A39</f>
        <v>0.10312500000000001</v>
      </c>
      <c r="I39" s="53">
        <v>2.98</v>
      </c>
      <c r="J39" s="53">
        <f>SUM(C39:I39)</f>
        <v>11.005648280000001</v>
      </c>
      <c r="K39" s="61">
        <f>(B$35-J39)/B$35</f>
        <v>0.97248587929999997</v>
      </c>
      <c r="L39" s="116">
        <f>(C$35-J39)/C$35</f>
        <v>0.98624293965000009</v>
      </c>
    </row>
    <row r="40" spans="1:12" ht="13.8" thickBot="1" x14ac:dyDescent="0.3">
      <c r="A40" s="143">
        <v>100000</v>
      </c>
      <c r="B40" s="144"/>
      <c r="C40" s="55">
        <f>D23*B4</f>
        <v>2.9863680000000001</v>
      </c>
      <c r="D40" s="55">
        <f>D24*(1-B4)</f>
        <v>1.57308928</v>
      </c>
      <c r="E40" s="55">
        <f>D25*(1-B4)</f>
        <v>2.1068160000000002</v>
      </c>
      <c r="F40" s="55">
        <f>A40*D28</f>
        <v>1.0125</v>
      </c>
      <c r="G40" s="55">
        <f>A40*D31</f>
        <v>1.5</v>
      </c>
      <c r="H40" s="55">
        <f>D29*A40</f>
        <v>0.20625000000000002</v>
      </c>
      <c r="I40" s="55">
        <v>7.8</v>
      </c>
      <c r="J40" s="55">
        <f>SUM(C40:I40)</f>
        <v>17.185023280000003</v>
      </c>
      <c r="K40" s="145">
        <f>(B$35-J40)/B$35</f>
        <v>0.95703744180000005</v>
      </c>
      <c r="L40" s="146">
        <f>(C$35-J40)/C$35</f>
        <v>0.97851872090000003</v>
      </c>
    </row>
    <row r="41" spans="1:12" x14ac:dyDescent="0.25">
      <c r="A41" s="103"/>
      <c r="B41" s="103"/>
      <c r="C41" s="103"/>
    </row>
  </sheetData>
  <mergeCells count="28">
    <mergeCell ref="A27:E27"/>
    <mergeCell ref="D13:E13"/>
    <mergeCell ref="D8:E8"/>
    <mergeCell ref="A40:B40"/>
    <mergeCell ref="A41:C41"/>
    <mergeCell ref="A37:B37"/>
    <mergeCell ref="A39:B39"/>
    <mergeCell ref="A38:B38"/>
    <mergeCell ref="C37:E37"/>
    <mergeCell ref="A9:C9"/>
    <mergeCell ref="A10:C10"/>
    <mergeCell ref="A13:C13"/>
    <mergeCell ref="A7:E7"/>
    <mergeCell ref="A12:E12"/>
    <mergeCell ref="K37:L37"/>
    <mergeCell ref="A14:C14"/>
    <mergeCell ref="A15:C15"/>
    <mergeCell ref="A8:C8"/>
    <mergeCell ref="A28:C28"/>
    <mergeCell ref="A17:C17"/>
    <mergeCell ref="A29:C29"/>
    <mergeCell ref="A18:C18"/>
    <mergeCell ref="A23:C23"/>
    <mergeCell ref="A22:C22"/>
    <mergeCell ref="A24:C24"/>
    <mergeCell ref="A25:C25"/>
    <mergeCell ref="F37:H37"/>
    <mergeCell ref="A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G29" sqref="G29"/>
    </sheetView>
  </sheetViews>
  <sheetFormatPr defaultRowHeight="13.2" x14ac:dyDescent="0.25"/>
  <cols>
    <col min="1" max="1" width="35.6640625" customWidth="1"/>
    <col min="2" max="2" width="10.33203125" bestFit="1" customWidth="1"/>
    <col min="3" max="3" width="6.44140625" customWidth="1"/>
    <col min="4" max="4" width="18.5546875" customWidth="1"/>
    <col min="5" max="5" width="39" customWidth="1"/>
    <col min="7" max="7" width="24.44140625" customWidth="1"/>
  </cols>
  <sheetData>
    <row r="1" spans="1:5" ht="15.6" thickBot="1" x14ac:dyDescent="0.3">
      <c r="A1" s="15" t="s">
        <v>8</v>
      </c>
      <c r="B1" s="10">
        <v>3.3</v>
      </c>
      <c r="C1" s="8" t="s">
        <v>4</v>
      </c>
      <c r="D1" s="7" t="s">
        <v>14</v>
      </c>
    </row>
    <row r="2" spans="1:5" ht="18" thickBot="1" x14ac:dyDescent="0.35">
      <c r="A2" s="82" t="s">
        <v>7</v>
      </c>
      <c r="B2" s="83"/>
      <c r="C2" s="83"/>
      <c r="D2" s="83"/>
      <c r="E2" s="84"/>
    </row>
    <row r="3" spans="1:5" ht="24" thickBot="1" x14ac:dyDescent="0.55000000000000004">
      <c r="A3" s="104" t="s">
        <v>22</v>
      </c>
      <c r="B3" s="105"/>
      <c r="C3" s="105"/>
      <c r="D3" s="106"/>
      <c r="E3" s="107"/>
    </row>
    <row r="4" spans="1:5" ht="15" x14ac:dyDescent="0.25">
      <c r="A4" s="17" t="s">
        <v>12</v>
      </c>
      <c r="B4" s="11">
        <v>3000000</v>
      </c>
      <c r="C4" s="11" t="s">
        <v>2</v>
      </c>
      <c r="D4" s="11" t="s">
        <v>3</v>
      </c>
      <c r="E4" s="108"/>
    </row>
    <row r="5" spans="1:5" ht="15" x14ac:dyDescent="0.25">
      <c r="A5" s="17" t="s">
        <v>13</v>
      </c>
      <c r="B5" s="11">
        <v>2740</v>
      </c>
      <c r="C5" s="11" t="s">
        <v>2</v>
      </c>
      <c r="D5" s="20" t="s">
        <v>1</v>
      </c>
      <c r="E5" s="108"/>
    </row>
    <row r="6" spans="1:5" ht="15" x14ac:dyDescent="0.25">
      <c r="A6" s="17" t="s">
        <v>130</v>
      </c>
      <c r="B6" s="11">
        <v>18000</v>
      </c>
      <c r="C6" s="11"/>
      <c r="D6" s="20"/>
      <c r="E6" s="108"/>
    </row>
    <row r="7" spans="1:5" ht="15" x14ac:dyDescent="0.25">
      <c r="A7" s="17" t="s">
        <v>131</v>
      </c>
      <c r="B7" s="11">
        <f>B5*B6/(B5+B6)</f>
        <v>2378.01350048216</v>
      </c>
      <c r="C7" s="11"/>
      <c r="D7" s="20"/>
      <c r="E7" s="108"/>
    </row>
    <row r="8" spans="1:5" ht="15" x14ac:dyDescent="0.25">
      <c r="A8" s="23" t="s">
        <v>19</v>
      </c>
      <c r="B8" s="11">
        <f>B7/(B4+B7)</f>
        <v>7.920433369113393E-4</v>
      </c>
      <c r="C8" s="11"/>
      <c r="D8" s="20"/>
      <c r="E8" s="108"/>
    </row>
    <row r="9" spans="1:5" ht="15" x14ac:dyDescent="0.25">
      <c r="A9" s="17" t="s">
        <v>117</v>
      </c>
      <c r="B9" s="11">
        <v>0.5</v>
      </c>
      <c r="C9" s="11"/>
      <c r="D9" s="20"/>
      <c r="E9" s="108"/>
    </row>
    <row r="10" spans="1:5" ht="20.399999999999999" thickBot="1" x14ac:dyDescent="0.45">
      <c r="A10" s="24" t="s">
        <v>27</v>
      </c>
      <c r="B10" s="12">
        <f>B9/(B8)</f>
        <v>631.27858880778592</v>
      </c>
      <c r="C10" s="12" t="s">
        <v>10</v>
      </c>
      <c r="D10" s="20"/>
      <c r="E10" s="108"/>
    </row>
    <row r="11" spans="1:5" ht="15" x14ac:dyDescent="0.25">
      <c r="A11" s="17" t="s">
        <v>118</v>
      </c>
      <c r="B11" s="11">
        <v>8.1999999999999993</v>
      </c>
      <c r="C11" s="11"/>
      <c r="D11" s="20"/>
      <c r="E11" s="108"/>
    </row>
    <row r="12" spans="1:5" ht="15" x14ac:dyDescent="0.25">
      <c r="A12" s="17" t="s">
        <v>120</v>
      </c>
      <c r="B12" s="11">
        <v>4.0999999999999996</v>
      </c>
      <c r="C12" s="11" t="s">
        <v>10</v>
      </c>
      <c r="D12" s="20"/>
      <c r="E12" s="108"/>
    </row>
    <row r="13" spans="1:5" ht="15" x14ac:dyDescent="0.25">
      <c r="A13" s="17" t="s">
        <v>124</v>
      </c>
      <c r="B13" s="11">
        <v>2.0499999999999998</v>
      </c>
      <c r="C13" s="11"/>
      <c r="D13" s="20"/>
      <c r="E13" s="108"/>
    </row>
    <row r="14" spans="1:5" ht="15" x14ac:dyDescent="0.25">
      <c r="A14" s="17" t="s">
        <v>119</v>
      </c>
      <c r="B14" s="11">
        <v>3.24</v>
      </c>
      <c r="C14" s="11" t="s">
        <v>10</v>
      </c>
      <c r="D14" s="20"/>
      <c r="E14" s="108"/>
    </row>
    <row r="15" spans="1:5" ht="15" x14ac:dyDescent="0.25">
      <c r="A15" s="17" t="s">
        <v>121</v>
      </c>
      <c r="B15" s="63">
        <f>B14/B13</f>
        <v>1.5804878048780491</v>
      </c>
      <c r="C15" s="11"/>
      <c r="D15" s="20"/>
      <c r="E15" s="108"/>
    </row>
    <row r="16" spans="1:5" ht="15" x14ac:dyDescent="0.25">
      <c r="A16" s="17" t="s">
        <v>15</v>
      </c>
      <c r="B16" s="11">
        <v>9400</v>
      </c>
      <c r="C16" s="11" t="s">
        <v>2</v>
      </c>
      <c r="D16" s="20"/>
      <c r="E16" s="108"/>
    </row>
    <row r="17" spans="1:5" ht="15" x14ac:dyDescent="0.25">
      <c r="A17" s="17" t="s">
        <v>16</v>
      </c>
      <c r="B17" s="11">
        <v>7500</v>
      </c>
      <c r="C17" s="11" t="s">
        <v>2</v>
      </c>
      <c r="D17" s="20"/>
      <c r="E17" s="108"/>
    </row>
    <row r="18" spans="1:5" ht="15" x14ac:dyDescent="0.25">
      <c r="A18" s="22" t="s">
        <v>122</v>
      </c>
      <c r="B18" s="1">
        <f>B17/B16</f>
        <v>0.7978723404255319</v>
      </c>
      <c r="C18" s="11"/>
      <c r="D18" s="20"/>
      <c r="E18" s="108"/>
    </row>
    <row r="19" spans="1:5" ht="21.75" customHeight="1" thickBot="1" x14ac:dyDescent="0.3">
      <c r="A19" s="32"/>
      <c r="B19" s="5"/>
      <c r="C19" s="5"/>
      <c r="D19" s="21"/>
      <c r="E19" s="109"/>
    </row>
    <row r="20" spans="1:5" ht="21.6" thickBot="1" x14ac:dyDescent="0.45">
      <c r="A20" s="104" t="s">
        <v>123</v>
      </c>
      <c r="B20" s="105"/>
      <c r="C20" s="105"/>
      <c r="D20" s="105"/>
      <c r="E20" s="107"/>
    </row>
    <row r="21" spans="1:5" ht="15" x14ac:dyDescent="0.25">
      <c r="A21" s="22" t="s">
        <v>17</v>
      </c>
      <c r="B21" s="11">
        <v>3000000</v>
      </c>
      <c r="C21" s="11" t="s">
        <v>2</v>
      </c>
      <c r="D21" s="11"/>
      <c r="E21" s="108"/>
    </row>
    <row r="22" spans="1:5" ht="15" x14ac:dyDescent="0.25">
      <c r="A22" s="22" t="s">
        <v>18</v>
      </c>
      <c r="B22" s="11">
        <v>2000</v>
      </c>
      <c r="C22" s="11" t="s">
        <v>2</v>
      </c>
      <c r="D22" s="11"/>
      <c r="E22" s="108"/>
    </row>
    <row r="23" spans="1:5" ht="15" x14ac:dyDescent="0.25">
      <c r="A23" s="22" t="s">
        <v>130</v>
      </c>
      <c r="B23" s="11">
        <v>18000</v>
      </c>
      <c r="C23" s="11"/>
      <c r="D23" s="11"/>
      <c r="E23" s="108"/>
    </row>
    <row r="24" spans="1:5" ht="15" x14ac:dyDescent="0.25">
      <c r="A24" s="22" t="s">
        <v>131</v>
      </c>
      <c r="B24" s="11">
        <f>B22*B23/(B22+B23)</f>
        <v>1800</v>
      </c>
      <c r="C24" s="11"/>
      <c r="D24" s="11"/>
      <c r="E24" s="108"/>
    </row>
    <row r="25" spans="1:5" ht="15" x14ac:dyDescent="0.25">
      <c r="A25" s="23" t="s">
        <v>19</v>
      </c>
      <c r="B25" s="11">
        <f>B24/(B21+B24)</f>
        <v>5.9964021587047766E-4</v>
      </c>
      <c r="C25" s="11"/>
      <c r="D25" s="11"/>
      <c r="E25" s="108"/>
    </row>
    <row r="26" spans="1:5" ht="15" x14ac:dyDescent="0.25">
      <c r="A26" s="17" t="s">
        <v>132</v>
      </c>
      <c r="B26" s="11">
        <v>0.25</v>
      </c>
      <c r="C26" s="11"/>
      <c r="D26" s="11"/>
      <c r="E26" s="108"/>
    </row>
    <row r="27" spans="1:5" ht="17.399999999999999" x14ac:dyDescent="0.3">
      <c r="A27" s="64" t="s">
        <v>125</v>
      </c>
      <c r="B27" s="25">
        <f>B26/B25</f>
        <v>416.91666666666669</v>
      </c>
      <c r="C27" s="25" t="s">
        <v>10</v>
      </c>
      <c r="D27" s="11"/>
      <c r="E27" s="108"/>
    </row>
    <row r="28" spans="1:5" ht="15" x14ac:dyDescent="0.25">
      <c r="A28" s="17" t="s">
        <v>118</v>
      </c>
      <c r="B28" s="11">
        <v>8.1999999999999993</v>
      </c>
      <c r="C28" s="11"/>
      <c r="D28" s="11"/>
      <c r="E28" s="108"/>
    </row>
    <row r="29" spans="1:5" ht="15" x14ac:dyDescent="0.25">
      <c r="A29" s="17" t="s">
        <v>120</v>
      </c>
      <c r="B29" s="11">
        <v>4.0999999999999996</v>
      </c>
      <c r="C29" s="11" t="s">
        <v>10</v>
      </c>
      <c r="D29" s="11"/>
      <c r="E29" s="108"/>
    </row>
    <row r="30" spans="1:5" ht="15" x14ac:dyDescent="0.25">
      <c r="A30" s="17" t="s">
        <v>124</v>
      </c>
      <c r="B30" s="11">
        <v>2.0499999999999998</v>
      </c>
      <c r="C30" s="11"/>
      <c r="D30" s="11"/>
      <c r="E30" s="108"/>
    </row>
    <row r="31" spans="1:5" ht="15" x14ac:dyDescent="0.25">
      <c r="A31" s="17" t="s">
        <v>119</v>
      </c>
      <c r="B31" s="11">
        <v>3.24</v>
      </c>
      <c r="C31" s="11" t="s">
        <v>10</v>
      </c>
      <c r="D31" s="11"/>
      <c r="E31" s="108"/>
    </row>
    <row r="32" spans="1:5" ht="15" x14ac:dyDescent="0.25">
      <c r="A32" s="22" t="s">
        <v>126</v>
      </c>
      <c r="B32" s="29">
        <v>1.65</v>
      </c>
      <c r="C32" s="29" t="s">
        <v>10</v>
      </c>
      <c r="D32" s="11"/>
      <c r="E32" s="108"/>
    </row>
    <row r="33" spans="1:8" ht="15" x14ac:dyDescent="0.25">
      <c r="A33" s="22" t="s">
        <v>127</v>
      </c>
      <c r="B33" s="11">
        <f>(B31-B32)/B30</f>
        <v>0.77560975609756122</v>
      </c>
      <c r="C33" s="29"/>
      <c r="D33" s="11"/>
      <c r="E33" s="108"/>
    </row>
    <row r="34" spans="1:8" ht="15" x14ac:dyDescent="0.25">
      <c r="A34" s="22" t="s">
        <v>128</v>
      </c>
      <c r="B34" s="29">
        <v>9400</v>
      </c>
      <c r="C34" s="29" t="s">
        <v>2</v>
      </c>
      <c r="D34" s="11"/>
      <c r="E34" s="108"/>
      <c r="H34">
        <f>H33*3.3/3.24</f>
        <v>0</v>
      </c>
    </row>
    <row r="35" spans="1:8" ht="15" x14ac:dyDescent="0.25">
      <c r="A35" s="22" t="s">
        <v>129</v>
      </c>
      <c r="B35" s="29">
        <v>7500</v>
      </c>
      <c r="C35" s="29" t="s">
        <v>2</v>
      </c>
      <c r="D35" s="11"/>
      <c r="E35" s="108"/>
    </row>
    <row r="36" spans="1:8" ht="17.399999999999999" x14ac:dyDescent="0.3">
      <c r="A36" s="158" t="s">
        <v>122</v>
      </c>
      <c r="B36" s="29">
        <f>B35/B34</f>
        <v>0.7978723404255319</v>
      </c>
      <c r="C36" s="29"/>
      <c r="D36" s="11"/>
      <c r="E36" s="108"/>
    </row>
    <row r="37" spans="1:8" ht="18" thickBot="1" x14ac:dyDescent="0.35">
      <c r="A37" s="62"/>
      <c r="B37" s="48"/>
      <c r="C37" s="48"/>
      <c r="D37" s="26"/>
      <c r="E37" s="109"/>
    </row>
    <row r="38" spans="1:8" ht="18" thickBot="1" x14ac:dyDescent="0.35">
      <c r="A38" s="82" t="s">
        <v>9</v>
      </c>
      <c r="B38" s="83"/>
      <c r="C38" s="83"/>
      <c r="D38" s="83"/>
      <c r="E38" s="84"/>
    </row>
    <row r="39" spans="1:8" ht="24" thickBot="1" x14ac:dyDescent="0.55000000000000004">
      <c r="A39" s="104" t="s">
        <v>23</v>
      </c>
      <c r="B39" s="105"/>
      <c r="C39" s="105"/>
      <c r="D39" s="106"/>
      <c r="E39" s="107"/>
    </row>
    <row r="40" spans="1:8" ht="33.75" customHeight="1" x14ac:dyDescent="0.4">
      <c r="A40" s="9" t="s">
        <v>24</v>
      </c>
      <c r="B40" s="10">
        <v>0.625</v>
      </c>
      <c r="C40" s="10" t="s">
        <v>10</v>
      </c>
      <c r="D40" s="16" t="s">
        <v>20</v>
      </c>
      <c r="E40" s="108"/>
    </row>
    <row r="41" spans="1:8" ht="33.75" customHeight="1" x14ac:dyDescent="0.4">
      <c r="A41" s="13" t="s">
        <v>25</v>
      </c>
      <c r="B41" s="11">
        <v>3</v>
      </c>
      <c r="C41" s="11" t="s">
        <v>11</v>
      </c>
      <c r="D41" s="18" t="s">
        <v>21</v>
      </c>
      <c r="E41" s="108"/>
    </row>
    <row r="42" spans="1:8" ht="15" x14ac:dyDescent="0.25">
      <c r="A42" s="19" t="s">
        <v>17</v>
      </c>
      <c r="B42" s="11">
        <v>500000</v>
      </c>
      <c r="C42" s="11" t="s">
        <v>2</v>
      </c>
      <c r="D42" s="20" t="s">
        <v>5</v>
      </c>
      <c r="E42" s="108"/>
    </row>
    <row r="43" spans="1:8" ht="15" x14ac:dyDescent="0.25">
      <c r="A43" s="19" t="s">
        <v>18</v>
      </c>
      <c r="B43" s="11">
        <v>330000</v>
      </c>
      <c r="C43" s="11" t="s">
        <v>2</v>
      </c>
      <c r="D43" s="20" t="s">
        <v>6</v>
      </c>
      <c r="E43" s="108"/>
    </row>
    <row r="44" spans="1:8" ht="21.6" thickBot="1" x14ac:dyDescent="0.5">
      <c r="A44" s="14" t="s">
        <v>26</v>
      </c>
      <c r="B44" s="12">
        <f>B41*B1*0.5/(B40*B43/B42)</f>
        <v>11.999999999999998</v>
      </c>
      <c r="C44" s="12" t="s">
        <v>0</v>
      </c>
      <c r="D44" s="21"/>
      <c r="E44" s="109"/>
    </row>
    <row r="48" spans="1:8" ht="15" customHeight="1" x14ac:dyDescent="0.25"/>
    <row r="49" spans="2:3" x14ac:dyDescent="0.25">
      <c r="B49" s="6"/>
      <c r="C49" s="6"/>
    </row>
    <row r="50" spans="2:3" ht="19.5" customHeight="1" x14ac:dyDescent="0.25">
      <c r="B50" s="6"/>
      <c r="C50" s="6"/>
    </row>
    <row r="51" spans="2:3" ht="23.25" customHeight="1" x14ac:dyDescent="0.25">
      <c r="B51" s="6"/>
      <c r="C51" s="6"/>
    </row>
    <row r="52" spans="2:3" x14ac:dyDescent="0.25">
      <c r="B52" s="6"/>
      <c r="C52" s="6"/>
    </row>
    <row r="53" spans="2:3" x14ac:dyDescent="0.25">
      <c r="B53" s="6"/>
      <c r="C53" s="6"/>
    </row>
  </sheetData>
  <mergeCells count="8">
    <mergeCell ref="A39:D39"/>
    <mergeCell ref="E39:E44"/>
    <mergeCell ref="A2:E2"/>
    <mergeCell ref="A3:D3"/>
    <mergeCell ref="E3:E19"/>
    <mergeCell ref="A20:D20"/>
    <mergeCell ref="A38:E38"/>
    <mergeCell ref="E20:E3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3" r:id="rId4">
          <objectPr defaultSize="0" autoPict="0" r:id="rId5">
            <anchor moveWithCells="1">
              <from>
                <xdr:col>4</xdr:col>
                <xdr:colOff>76200</xdr:colOff>
                <xdr:row>7</xdr:row>
                <xdr:rowOff>7620</xdr:rowOff>
              </from>
              <to>
                <xdr:col>4</xdr:col>
                <xdr:colOff>2552700</xdr:colOff>
                <xdr:row>13</xdr:row>
                <xdr:rowOff>99060</xdr:rowOff>
              </to>
            </anchor>
          </objectPr>
        </oleObject>
      </mc:Choice>
      <mc:Fallback>
        <oleObject progId="Visio.Drawing.15" shapeId="15363" r:id="rId4"/>
      </mc:Fallback>
    </mc:AlternateContent>
    <mc:AlternateContent xmlns:mc="http://schemas.openxmlformats.org/markup-compatibility/2006">
      <mc:Choice Requires="x14">
        <oleObject progId="Visio.Drawing.15" shapeId="15366" r:id="rId6">
          <objectPr defaultSize="0" autoPict="0" r:id="rId7">
            <anchor moveWithCells="1">
              <from>
                <xdr:col>4</xdr:col>
                <xdr:colOff>68580</xdr:colOff>
                <xdr:row>19</xdr:row>
                <xdr:rowOff>266700</xdr:rowOff>
              </from>
              <to>
                <xdr:col>4</xdr:col>
                <xdr:colOff>2415540</xdr:colOff>
                <xdr:row>26</xdr:row>
                <xdr:rowOff>175260</xdr:rowOff>
              </to>
            </anchor>
          </objectPr>
        </oleObject>
      </mc:Choice>
      <mc:Fallback>
        <oleObject progId="Visio.Drawing.15" shapeId="1536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Inductor &amp; Capacitor Selection</vt:lpstr>
      <vt:lpstr>Li Design</vt:lpstr>
      <vt:lpstr>Efficiency Estimate</vt:lpstr>
      <vt:lpstr>V_I_Sensing</vt:lpstr>
    </vt:vector>
  </TitlesOfParts>
  <Company>Texas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Bhardwaj, Manish</cp:lastModifiedBy>
  <dcterms:created xsi:type="dcterms:W3CDTF">2007-05-31T15:53:01Z</dcterms:created>
  <dcterms:modified xsi:type="dcterms:W3CDTF">2016-11-23T20:43:03Z</dcterms:modified>
</cp:coreProperties>
</file>