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ctor3d-my.sharepoint.com/personal/adam_vector3d_co_uk/Documents/Projects/Vector 3D/Testing and Calibration Products/"/>
    </mc:Choice>
  </mc:AlternateContent>
  <xr:revisionPtr revIDLastSave="32" documentId="8_{8BE26DFE-D61F-4915-B661-671FE14D6437}" xr6:coauthVersionLast="47" xr6:coauthVersionMax="47" xr10:uidLastSave="{8A3C572B-620D-4961-B8FE-549BEA1CCEDA}"/>
  <workbookProtection workbookAlgorithmName="SHA-512" workbookHashValue="JWEPzSWxSZIaWS+dqfQRH3OBCKN/XFkI2jp1dYN8RAL8EtWq1QGvxvmxRO8XH8dHf+49C7qy+rtvyzNeSP88Iw==" workbookSaltValue="Za3E6oabFc0mBMDGzRfGwg==" workbookSpinCount="100000" lockStructure="1"/>
  <bookViews>
    <workbookView xWindow="-120" yWindow="-120" windowWidth="38640" windowHeight="21240" xr2:uid="{C23B89ED-7B17-469A-AAEE-50C83F6C9DF6}"/>
  </bookViews>
  <sheets>
    <sheet name="Calculator" sheetId="2" r:id="rId1"/>
    <sheet name="Data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2" l="1"/>
  <c r="C44" i="2"/>
  <c r="B9" i="3"/>
  <c r="B8" i="3"/>
  <c r="B7" i="3"/>
  <c r="B6" i="3"/>
  <c r="B5" i="3"/>
  <c r="B4" i="3"/>
  <c r="B3" i="3"/>
  <c r="B2" i="3"/>
  <c r="E7" i="2" l="1"/>
  <c r="C2" i="3" s="1"/>
  <c r="E8" i="2"/>
  <c r="E9" i="2"/>
  <c r="E10" i="2"/>
  <c r="E11" i="2"/>
  <c r="E12" i="2"/>
  <c r="E13" i="2"/>
  <c r="E14" i="2"/>
  <c r="E15" i="2"/>
  <c r="E16" i="2"/>
  <c r="B34" i="3" s="1"/>
  <c r="C34" i="3" s="1"/>
  <c r="A30" i="3" l="1"/>
  <c r="A29" i="3"/>
  <c r="C3" i="3"/>
  <c r="C4" i="3"/>
  <c r="C5" i="3"/>
  <c r="C6" i="3"/>
  <c r="C7" i="3"/>
  <c r="C8" i="3"/>
  <c r="C9" i="3"/>
  <c r="D13" i="3" l="1"/>
  <c r="B29" i="2" s="1"/>
  <c r="C29" i="2" s="1"/>
  <c r="E13" i="3"/>
  <c r="B30" i="2" s="1"/>
  <c r="C30" i="2" s="1"/>
  <c r="B13" i="3"/>
  <c r="C13" i="3"/>
  <c r="B35" i="3" s="1"/>
  <c r="B17" i="3" l="1"/>
  <c r="B52" i="3"/>
  <c r="C61" i="2" s="1"/>
  <c r="B56" i="3"/>
  <c r="C69" i="2" s="1"/>
  <c r="B53" i="3"/>
  <c r="C62" i="2" s="1"/>
  <c r="B57" i="3"/>
  <c r="C70" i="2" s="1"/>
  <c r="B48" i="3"/>
  <c r="B49" i="3" s="1"/>
  <c r="C54" i="2" s="1"/>
  <c r="B25" i="2"/>
  <c r="C25" i="2" s="1"/>
  <c r="B24" i="2"/>
  <c r="C24" i="2" s="1"/>
  <c r="C35" i="3" l="1"/>
  <c r="A31" i="3"/>
  <c r="C17" i="3"/>
  <c r="A23" i="3"/>
  <c r="C37" i="2" s="1"/>
  <c r="B36" i="3"/>
  <c r="B37" i="3" s="1"/>
  <c r="A32" i="3" s="1"/>
  <c r="B18" i="3"/>
  <c r="C37" i="3" l="1"/>
  <c r="C45" i="2"/>
  <c r="B19" i="3"/>
  <c r="C19" i="3" s="1"/>
  <c r="C18" i="3"/>
  <c r="C36" i="3"/>
  <c r="B20" i="3" l="1"/>
  <c r="B27" i="2" s="1"/>
  <c r="C27" i="2" s="1"/>
  <c r="B43" i="3"/>
  <c r="A44" i="3" s="1"/>
  <c r="C49" i="2" s="1"/>
  <c r="C20" i="3"/>
</calcChain>
</file>

<file path=xl/sharedStrings.xml><?xml version="1.0" encoding="utf-8"?>
<sst xmlns="http://schemas.openxmlformats.org/spreadsheetml/2006/main" count="112" uniqueCount="90">
  <si>
    <t>Design</t>
  </si>
  <si>
    <t>X</t>
  </si>
  <si>
    <t>Y</t>
  </si>
  <si>
    <t>% Error</t>
  </si>
  <si>
    <t>Correction</t>
  </si>
  <si>
    <t>Skew</t>
  </si>
  <si>
    <t>H1 (a)</t>
  </si>
  <si>
    <t>H2 (b)</t>
  </si>
  <si>
    <t>Klipper</t>
  </si>
  <si>
    <t>GET_CURRENT_SKEW</t>
  </si>
  <si>
    <t>SKEW_PROFILE SAVE=my_skew_profile</t>
  </si>
  <si>
    <t>Angle</t>
  </si>
  <si>
    <t>Measurements</t>
  </si>
  <si>
    <t>Results</t>
  </si>
  <si>
    <t>Error</t>
  </si>
  <si>
    <t>Klipper G Code Fix</t>
  </si>
  <si>
    <t>Marlin</t>
  </si>
  <si>
    <t>RRF</t>
  </si>
  <si>
    <t>if ENABLED(SKEW_CORRECTION)</t>
  </si>
  <si>
    <t>Skew Factor</t>
  </si>
  <si>
    <t>AC</t>
  </si>
  <si>
    <t>AB</t>
  </si>
  <si>
    <t>AD</t>
  </si>
  <si>
    <t>Marlin Firmware Adjustment</t>
  </si>
  <si>
    <t>Fix Skew</t>
  </si>
  <si>
    <t>Reading 1</t>
  </si>
  <si>
    <t>Reading 2</t>
  </si>
  <si>
    <t>Reading 3</t>
  </si>
  <si>
    <t>Average</t>
  </si>
  <si>
    <t>M556 S100 X0.7 Y-0.2 Z0.6</t>
  </si>
  <si>
    <t>Example</t>
  </si>
  <si>
    <t>X value is XY compensation, others involve Z</t>
  </si>
  <si>
    <t>Value</t>
  </si>
  <si>
    <t>RepRap Firmware Adjustment</t>
  </si>
  <si>
    <t>SuperSlicer</t>
  </si>
  <si>
    <t>Slicer</t>
  </si>
  <si>
    <t>Superslicer</t>
  </si>
  <si>
    <t>Fix Size</t>
  </si>
  <si>
    <t>Note: Because of the way excel works, you may find "," and "." get switched for your regional language settings.</t>
  </si>
  <si>
    <t>Red</t>
  </si>
  <si>
    <t>Yellow</t>
  </si>
  <si>
    <t>Green</t>
  </si>
  <si>
    <t>&gt;1mm deviation warning. Double-check your measurement.</t>
  </si>
  <si>
    <t>&lt;1mm deviation. Measurement seems ok. Continue.</t>
  </si>
  <si>
    <t>Steps/mm</t>
  </si>
  <si>
    <t>Current Steps/mm (X)</t>
  </si>
  <si>
    <t>Current Steps/mm (Y)</t>
  </si>
  <si>
    <t>New Steps/mm (X)</t>
  </si>
  <si>
    <t>New Steps/mm (Y)</t>
  </si>
  <si>
    <t>Material XY shinkage</t>
  </si>
  <si>
    <t>Tips For Implementation</t>
  </si>
  <si>
    <t>If you have quite large skew error (&gt;0.5°), correct this first before doing XY scale compensation.</t>
  </si>
  <si>
    <t>Ensure you have calibration Extuder Step/mm before doing this test.</t>
  </si>
  <si>
    <t>What the Results Mean</t>
  </si>
  <si>
    <t>If X and Y errors are very different from each other, check your steps/mm and belt tension.</t>
  </si>
  <si>
    <t>If you have CoreXY, X and Y are 'locked' to each other so use the average of the two errors.</t>
  </si>
  <si>
    <t>Inner</t>
  </si>
  <si>
    <t>Outer</t>
  </si>
  <si>
    <t>Inner and Outer errors are averages that include X and Y dimensions that may be useful to diagnose over/under extrusion.</t>
  </si>
  <si>
    <t>If inner is negative, and outer is positive, this could indicate over extrusion.</t>
  </si>
  <si>
    <t>If inner is positive, and outer is negative, this could indicate under extrusion.</t>
  </si>
  <si>
    <t>If X and Y errors are both negative, your print is undersize by the percentage shown.</t>
  </si>
  <si>
    <t>If X and Y errors are both positive, your print is oversize by the percentage shown.</t>
  </si>
  <si>
    <t>Rotation Distance</t>
  </si>
  <si>
    <t>Superslicer is the only slicer with Material XY Shrinkage compensation. If you use Cura, PS, ideamaker etc you will have to use steps/mm (or rotation distance) for the printer instead, or remember to scale the print for different materials</t>
  </si>
  <si>
    <t>Ensure you have XYZ Steps/mm set approximately correct before doing this test.</t>
  </si>
  <si>
    <t>Current Rot. Dist. (X)</t>
  </si>
  <si>
    <t>Current Rot. Dist. (Y)</t>
  </si>
  <si>
    <t>New Rot. Dist. (X)</t>
  </si>
  <si>
    <t>New Rot. Dist. (Y)</t>
  </si>
  <si>
    <t>Share</t>
  </si>
  <si>
    <t>SKEW_PROFILE LOAD=my_skew_profile</t>
  </si>
  <si>
    <t>Add</t>
  </si>
  <si>
    <t>Send Command</t>
  </si>
  <si>
    <t>to printer.cfg</t>
  </si>
  <si>
    <t xml:space="preserve">[skew_correction] </t>
  </si>
  <si>
    <t>via console</t>
  </si>
  <si>
    <t>SET_SKEW CLEAR=1</t>
  </si>
  <si>
    <t>to config.g</t>
  </si>
  <si>
    <t>to firmware</t>
  </si>
  <si>
    <t>(This spreadsheet is locked to prevent accidental modification)</t>
  </si>
  <si>
    <t>Feel free to share your success and results on twitter, facebook, instagram etc</t>
  </si>
  <si>
    <t>to end of start G code</t>
  </si>
  <si>
    <t>to start of end G code</t>
  </si>
  <si>
    <t>For X and Y see 'Fix Size' below. For skew see 'Fix Skew'</t>
  </si>
  <si>
    <t>Scale</t>
  </si>
  <si>
    <t>(if you have a larger printer, and larger tools, you can print at larger scale)</t>
  </si>
  <si>
    <t>&gt;5mm deviation warning. Steps/mm or large measurment error.</t>
  </si>
  <si>
    <t>Tag me using @Adam_V3D and use #calibrationflower</t>
  </si>
  <si>
    <t>Input your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</si>
</sst>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°"/>
    <numFmt numFmtId="165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2" tint="-0.249977111117893"/>
      </bottom>
      <diagonal/>
    </border>
    <border>
      <left/>
      <right style="double">
        <color theme="2" tint="-0.249977111117893"/>
      </right>
      <top/>
      <bottom/>
      <diagonal/>
    </border>
    <border>
      <left/>
      <right style="double">
        <color theme="2" tint="-0.249977111117893"/>
      </right>
      <top/>
      <bottom style="double">
        <color theme="2" tint="-0.249977111117893"/>
      </bottom>
      <diagonal/>
    </border>
    <border>
      <left style="double">
        <color theme="2" tint="-0.249977111117893"/>
      </left>
      <right/>
      <top/>
      <bottom style="double">
        <color theme="2" tint="-0.249977111117893"/>
      </bottom>
      <diagonal/>
    </border>
    <border>
      <left style="dashed">
        <color theme="2" tint="-0.249977111117893"/>
      </left>
      <right/>
      <top style="dashed">
        <color theme="2" tint="-0.249977111117893"/>
      </top>
      <bottom/>
      <diagonal/>
    </border>
    <border>
      <left/>
      <right/>
      <top style="dashed">
        <color theme="2" tint="-0.249977111117893"/>
      </top>
      <bottom/>
      <diagonal/>
    </border>
    <border>
      <left/>
      <right style="dashed">
        <color theme="2" tint="-0.249977111117893"/>
      </right>
      <top style="dashed">
        <color theme="2" tint="-0.249977111117893"/>
      </top>
      <bottom/>
      <diagonal/>
    </border>
    <border>
      <left style="dashed">
        <color theme="2" tint="-0.249977111117893"/>
      </left>
      <right/>
      <top/>
      <bottom/>
      <diagonal/>
    </border>
    <border>
      <left/>
      <right style="dashed">
        <color theme="2" tint="-0.249977111117893"/>
      </right>
      <top/>
      <bottom/>
      <diagonal/>
    </border>
    <border>
      <left style="dashed">
        <color theme="2" tint="-0.249977111117893"/>
      </left>
      <right/>
      <top/>
      <bottom style="dashed">
        <color theme="2" tint="-0.249977111117893"/>
      </bottom>
      <diagonal/>
    </border>
    <border>
      <left/>
      <right/>
      <top/>
      <bottom style="dashed">
        <color theme="2" tint="-0.249977111117893"/>
      </bottom>
      <diagonal/>
    </border>
    <border>
      <left/>
      <right style="dashed">
        <color theme="2" tint="-0.249977111117893"/>
      </right>
      <top/>
      <bottom style="dashed">
        <color theme="2" tint="-0.249977111117893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76">
    <xf numFmtId="0" fontId="0" fillId="0" borderId="0" xfId="0"/>
    <xf numFmtId="10" fontId="0" fillId="0" borderId="0" xfId="1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10" fontId="0" fillId="0" borderId="0" xfId="1" applyNumberFormat="1" applyFont="1"/>
    <xf numFmtId="0" fontId="3" fillId="0" borderId="0" xfId="0" applyFon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2" fontId="0" fillId="0" borderId="0" xfId="0" applyNumberFormat="1" applyAlignment="1" applyProtection="1">
      <alignment horizontal="center"/>
    </xf>
    <xf numFmtId="165" fontId="0" fillId="0" borderId="0" xfId="0" applyNumberFormat="1"/>
    <xf numFmtId="2" fontId="0" fillId="0" borderId="0" xfId="1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Protection="1">
      <protection locked="0"/>
    </xf>
    <xf numFmtId="0" fontId="6" fillId="2" borderId="0" xfId="2"/>
    <xf numFmtId="0" fontId="8" fillId="4" borderId="0" xfId="4"/>
    <xf numFmtId="0" fontId="7" fillId="3" borderId="0" xfId="3"/>
    <xf numFmtId="0" fontId="6" fillId="2" borderId="0" xfId="2" applyAlignment="1">
      <alignment horizontal="center"/>
    </xf>
    <xf numFmtId="0" fontId="8" fillId="4" borderId="0" xfId="4" applyAlignment="1">
      <alignment horizontal="center"/>
    </xf>
    <xf numFmtId="0" fontId="7" fillId="3" borderId="0" xfId="3" applyAlignment="1">
      <alignment horizontal="center"/>
    </xf>
    <xf numFmtId="0" fontId="9" fillId="0" borderId="0" xfId="0" applyFont="1"/>
    <xf numFmtId="0" fontId="10" fillId="0" borderId="0" xfId="0" applyFont="1"/>
    <xf numFmtId="10" fontId="4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9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3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9" fillId="0" borderId="8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9" fillId="0" borderId="10" xfId="0" applyFont="1" applyBorder="1" applyAlignment="1">
      <alignment vertical="top"/>
    </xf>
    <xf numFmtId="0" fontId="5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10" fontId="4" fillId="0" borderId="0" xfId="1" applyNumberFormat="1" applyFont="1" applyAlignment="1">
      <alignment horizontal="center"/>
    </xf>
    <xf numFmtId="9" fontId="1" fillId="0" borderId="0" xfId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0" fillId="0" borderId="4" xfId="0" applyFont="1" applyBorder="1" applyAlignment="1" applyProtection="1">
      <alignment horizontal="center"/>
      <protection locked="0"/>
    </xf>
    <xf numFmtId="0" fontId="9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3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251116</xdr:colOff>
      <xdr:row>1</xdr:row>
      <xdr:rowOff>175292</xdr:rowOff>
    </xdr:from>
    <xdr:to>
      <xdr:col>12</xdr:col>
      <xdr:colOff>562841</xdr:colOff>
      <xdr:row>20</xdr:row>
      <xdr:rowOff>32637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7EC65-8CC2-4C6F-BC26-2EC1C8259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9411" y="469701"/>
          <a:ext cx="4554680" cy="3710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E97B-484C-49CC-958C-1D8C3FE146D4}">
  <dimension ref="A1:Q70"/>
  <sheetViews>
    <sheetView showGridLines="0" tabSelected="1" zoomScale="110" zoomScaleNormal="110" workbookViewId="0">
      <selection activeCell="B7" sqref="B7:D7"/>
    </sheetView>
  </sheetViews>
  <sheetFormatPr defaultRowHeight="15" x14ac:dyDescent="0.25"/>
  <cols>
    <col min="1" max="1" width="13.28515625" customWidth="1"/>
    <col min="2" max="2" width="17.5703125" customWidth="1"/>
    <col min="3" max="3" width="18.140625" customWidth="1"/>
    <col min="4" max="4" width="17.85546875" customWidth="1"/>
    <col min="5" max="5" width="20.85546875" customWidth="1"/>
  </cols>
  <sheetData>
    <row r="1" spans="1:5" ht="23.25" x14ac:dyDescent="0.35">
      <c r="A1" s="5" t="s">
        <v>12</v>
      </c>
    </row>
    <row r="2" spans="1:5" s="26" customFormat="1" ht="18" customHeight="1" x14ac:dyDescent="0.2">
      <c r="A2" s="37" t="s">
        <v>80</v>
      </c>
    </row>
    <row r="3" spans="1:5" s="26" customFormat="1" ht="17.25" customHeight="1" x14ac:dyDescent="0.2">
      <c r="A3" s="37"/>
      <c r="B3" s="64" t="s">
        <v>85</v>
      </c>
      <c r="C3" s="67">
        <v>1</v>
      </c>
    </row>
    <row r="4" spans="1:5" s="26" customFormat="1" ht="17.25" customHeight="1" x14ac:dyDescent="0.2">
      <c r="A4" s="37"/>
      <c r="B4" s="36" t="s">
        <v>86</v>
      </c>
      <c r="D4" s="36"/>
    </row>
    <row r="6" spans="1:5" ht="18.75" customHeight="1" thickBot="1" x14ac:dyDescent="0.4">
      <c r="A6" s="42"/>
      <c r="B6" s="38" t="s">
        <v>25</v>
      </c>
      <c r="C6" s="38" t="s">
        <v>26</v>
      </c>
      <c r="D6" s="40" t="s">
        <v>27</v>
      </c>
      <c r="E6" s="38" t="s">
        <v>28</v>
      </c>
    </row>
    <row r="7" spans="1:5" ht="16.5" thickTop="1" x14ac:dyDescent="0.25">
      <c r="A7" s="39">
        <v>1</v>
      </c>
      <c r="B7" s="12">
        <v>99.52</v>
      </c>
      <c r="C7" s="12">
        <v>99.47</v>
      </c>
      <c r="D7" s="12">
        <v>99.53</v>
      </c>
      <c r="E7" s="14">
        <f>AVERAGE(B7:D7)</f>
        <v>99.506666666666661</v>
      </c>
    </row>
    <row r="8" spans="1:5" ht="15.75" x14ac:dyDescent="0.25">
      <c r="A8" s="39">
        <v>2</v>
      </c>
      <c r="B8" s="12">
        <v>49.95</v>
      </c>
      <c r="C8" s="12">
        <v>49.93</v>
      </c>
      <c r="D8" s="12">
        <v>49.9</v>
      </c>
      <c r="E8" s="14">
        <f t="shared" ref="E8:E16" si="0">AVERAGE(B8:D8)</f>
        <v>49.926666666666669</v>
      </c>
    </row>
    <row r="9" spans="1:5" ht="15.75" x14ac:dyDescent="0.25">
      <c r="A9" s="39">
        <v>3</v>
      </c>
      <c r="B9" s="12">
        <v>99</v>
      </c>
      <c r="C9" s="12">
        <v>99.02</v>
      </c>
      <c r="D9" s="12">
        <v>99.07</v>
      </c>
      <c r="E9" s="14">
        <f t="shared" si="0"/>
        <v>99.029999999999987</v>
      </c>
    </row>
    <row r="10" spans="1:5" ht="15.75" x14ac:dyDescent="0.25">
      <c r="A10" s="39">
        <v>4</v>
      </c>
      <c r="B10" s="12">
        <v>49.38</v>
      </c>
      <c r="C10" s="12">
        <v>49.35</v>
      </c>
      <c r="D10" s="12">
        <v>49.37</v>
      </c>
      <c r="E10" s="14">
        <f t="shared" si="0"/>
        <v>49.366666666666667</v>
      </c>
    </row>
    <row r="11" spans="1:5" ht="15.75" x14ac:dyDescent="0.25">
      <c r="A11" s="39">
        <v>5</v>
      </c>
      <c r="B11" s="12">
        <v>99.53</v>
      </c>
      <c r="C11" s="12">
        <v>99.53</v>
      </c>
      <c r="D11" s="12">
        <v>99.49</v>
      </c>
      <c r="E11" s="14">
        <f t="shared" si="0"/>
        <v>99.516666666666666</v>
      </c>
    </row>
    <row r="12" spans="1:5" ht="15.75" x14ac:dyDescent="0.25">
      <c r="A12" s="39">
        <v>6</v>
      </c>
      <c r="B12" s="12">
        <v>49.92</v>
      </c>
      <c r="C12" s="12">
        <v>49.97</v>
      </c>
      <c r="D12" s="12">
        <v>49.92</v>
      </c>
      <c r="E12" s="14">
        <f t="shared" si="0"/>
        <v>49.936666666666667</v>
      </c>
    </row>
    <row r="13" spans="1:5" ht="15.75" x14ac:dyDescent="0.25">
      <c r="A13" s="39">
        <v>7</v>
      </c>
      <c r="B13" s="12">
        <v>98.93</v>
      </c>
      <c r="C13" s="12">
        <v>98.96</v>
      </c>
      <c r="D13" s="12">
        <v>98.92</v>
      </c>
      <c r="E13" s="14">
        <f t="shared" si="0"/>
        <v>98.936666666666667</v>
      </c>
    </row>
    <row r="14" spans="1:5" ht="15.75" x14ac:dyDescent="0.25">
      <c r="A14" s="39">
        <v>8</v>
      </c>
      <c r="B14" s="12">
        <v>49.3</v>
      </c>
      <c r="C14" s="12">
        <v>49.31</v>
      </c>
      <c r="D14" s="12">
        <v>49.27</v>
      </c>
      <c r="E14" s="14">
        <f t="shared" si="0"/>
        <v>49.293333333333329</v>
      </c>
    </row>
    <row r="15" spans="1:5" ht="15.75" x14ac:dyDescent="0.25">
      <c r="A15" s="39">
        <v>9</v>
      </c>
      <c r="B15" s="12">
        <v>99.76</v>
      </c>
      <c r="C15" s="12">
        <v>99.74</v>
      </c>
      <c r="D15" s="12">
        <v>99.75</v>
      </c>
      <c r="E15" s="14">
        <f t="shared" si="0"/>
        <v>99.75</v>
      </c>
    </row>
    <row r="16" spans="1:5" ht="15.75" x14ac:dyDescent="0.25">
      <c r="A16" s="39">
        <v>10</v>
      </c>
      <c r="B16" s="12">
        <v>99.3</v>
      </c>
      <c r="C16" s="12">
        <v>99.3</v>
      </c>
      <c r="D16" s="12">
        <v>99.4</v>
      </c>
      <c r="E16" s="14">
        <f t="shared" si="0"/>
        <v>99.333333333333329</v>
      </c>
    </row>
    <row r="18" spans="1:17" x14ac:dyDescent="0.25">
      <c r="B18" s="22" t="s">
        <v>41</v>
      </c>
      <c r="C18" s="19" t="s">
        <v>43</v>
      </c>
      <c r="D18" s="19"/>
      <c r="E18" s="19"/>
    </row>
    <row r="19" spans="1:17" x14ac:dyDescent="0.25">
      <c r="B19" s="23" t="s">
        <v>40</v>
      </c>
      <c r="C19" s="20" t="s">
        <v>42</v>
      </c>
      <c r="D19" s="20"/>
      <c r="E19" s="20"/>
    </row>
    <row r="20" spans="1:17" x14ac:dyDescent="0.25">
      <c r="B20" s="24" t="s">
        <v>39</v>
      </c>
      <c r="C20" s="21" t="s">
        <v>87</v>
      </c>
      <c r="D20" s="21"/>
      <c r="E20" s="21"/>
    </row>
    <row r="22" spans="1:17" ht="23.25" x14ac:dyDescent="0.35">
      <c r="A22" s="5" t="s">
        <v>13</v>
      </c>
      <c r="G22" s="51" t="s">
        <v>53</v>
      </c>
      <c r="H22" s="52"/>
      <c r="I22" s="52"/>
      <c r="J22" s="52"/>
      <c r="K22" s="52"/>
      <c r="L22" s="52"/>
      <c r="M22" s="52"/>
      <c r="N22" s="52"/>
      <c r="O22" s="52"/>
      <c r="P22" s="52"/>
      <c r="Q22" s="53"/>
    </row>
    <row r="23" spans="1:17" ht="16.5" thickBot="1" x14ac:dyDescent="0.3">
      <c r="A23" s="43"/>
      <c r="B23" s="45" t="s">
        <v>14</v>
      </c>
      <c r="C23" s="38" t="s">
        <v>4</v>
      </c>
      <c r="G23" s="60" t="s">
        <v>61</v>
      </c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1:17" ht="16.5" thickTop="1" x14ac:dyDescent="0.25">
      <c r="A24" s="44" t="s">
        <v>1</v>
      </c>
      <c r="B24" s="7">
        <f>Data!B13</f>
        <v>-7.1916666666666986E-3</v>
      </c>
      <c r="C24" s="1">
        <f>B24*-1</f>
        <v>7.1916666666666986E-3</v>
      </c>
      <c r="G24" s="60" t="s">
        <v>62</v>
      </c>
      <c r="H24" s="55"/>
      <c r="I24" s="55"/>
      <c r="J24" s="55"/>
      <c r="K24" s="55"/>
      <c r="L24" s="55"/>
      <c r="M24" s="55"/>
      <c r="N24" s="55"/>
      <c r="O24" s="55"/>
      <c r="P24" s="55"/>
      <c r="Q24" s="56"/>
    </row>
    <row r="25" spans="1:17" ht="15.75" x14ac:dyDescent="0.25">
      <c r="A25" s="44" t="s">
        <v>2</v>
      </c>
      <c r="B25" s="7">
        <f>Data!C13</f>
        <v>-7.7166666666666833E-3</v>
      </c>
      <c r="C25" s="1">
        <f>B25*-1</f>
        <v>7.7166666666666833E-3</v>
      </c>
      <c r="G25" s="60" t="s">
        <v>54</v>
      </c>
      <c r="H25" s="55"/>
      <c r="I25" s="55"/>
      <c r="J25" s="55"/>
      <c r="K25" s="55"/>
      <c r="L25" s="55"/>
      <c r="M25" s="55"/>
      <c r="N25" s="55"/>
      <c r="O25" s="55"/>
      <c r="P25" s="55"/>
      <c r="Q25" s="56"/>
    </row>
    <row r="26" spans="1:17" ht="15.75" x14ac:dyDescent="0.25">
      <c r="A26" s="2"/>
      <c r="G26" s="60" t="s">
        <v>55</v>
      </c>
      <c r="H26" s="55"/>
      <c r="I26" s="55"/>
      <c r="J26" s="55"/>
      <c r="K26" s="55"/>
      <c r="L26" s="55"/>
      <c r="M26" s="55"/>
      <c r="N26" s="55"/>
      <c r="O26" s="55"/>
      <c r="P26" s="55"/>
      <c r="Q26" s="56"/>
    </row>
    <row r="27" spans="1:17" ht="15.75" x14ac:dyDescent="0.25">
      <c r="A27" s="44" t="s">
        <v>5</v>
      </c>
      <c r="B27" s="10">
        <f>Data!B20</f>
        <v>0.23983458597622587</v>
      </c>
      <c r="C27" s="10">
        <f>-B27</f>
        <v>-0.23983458597622587</v>
      </c>
      <c r="G27" s="60" t="s">
        <v>84</v>
      </c>
      <c r="H27" s="55"/>
      <c r="I27" s="55"/>
      <c r="J27" s="55"/>
      <c r="K27" s="55"/>
      <c r="L27" s="55"/>
      <c r="M27" s="55"/>
      <c r="N27" s="55"/>
      <c r="O27" s="55"/>
      <c r="P27" s="55"/>
      <c r="Q27" s="56"/>
    </row>
    <row r="28" spans="1:17" ht="15.75" x14ac:dyDescent="0.25">
      <c r="A28" s="11"/>
      <c r="B28" s="10"/>
      <c r="C28" s="10"/>
      <c r="G28" s="60" t="s">
        <v>58</v>
      </c>
      <c r="H28" s="55"/>
      <c r="I28" s="55"/>
      <c r="J28" s="55"/>
      <c r="K28" s="55"/>
      <c r="L28" s="55"/>
      <c r="M28" s="55"/>
      <c r="N28" s="55"/>
      <c r="O28" s="55"/>
      <c r="P28" s="55"/>
      <c r="Q28" s="56"/>
    </row>
    <row r="29" spans="1:17" x14ac:dyDescent="0.25">
      <c r="A29" s="46" t="s">
        <v>56</v>
      </c>
      <c r="B29" s="28">
        <f>Data!D13</f>
        <v>-3.1250000000000002E-3</v>
      </c>
      <c r="C29" s="1">
        <f>B29*-1</f>
        <v>3.1250000000000002E-3</v>
      </c>
      <c r="G29" s="60" t="s">
        <v>59</v>
      </c>
      <c r="H29" s="55"/>
      <c r="I29" s="55"/>
      <c r="J29" s="55"/>
      <c r="K29" s="55"/>
      <c r="L29" s="55"/>
      <c r="M29" s="55"/>
      <c r="N29" s="55"/>
      <c r="O29" s="55"/>
      <c r="P29" s="55"/>
      <c r="Q29" s="56"/>
    </row>
    <row r="30" spans="1:17" x14ac:dyDescent="0.25">
      <c r="A30" s="46" t="s">
        <v>57</v>
      </c>
      <c r="B30" s="28">
        <f>Data!E13</f>
        <v>-1.1783333333333382E-2</v>
      </c>
      <c r="C30" s="1">
        <f>B30*-1</f>
        <v>1.1783333333333382E-2</v>
      </c>
      <c r="G30" s="63" t="s">
        <v>60</v>
      </c>
      <c r="H30" s="58"/>
      <c r="I30" s="58"/>
      <c r="J30" s="58"/>
      <c r="K30" s="58"/>
      <c r="L30" s="58"/>
      <c r="M30" s="58"/>
      <c r="N30" s="58"/>
      <c r="O30" s="58"/>
      <c r="P30" s="58"/>
      <c r="Q30" s="59"/>
    </row>
    <row r="32" spans="1:17" ht="23.25" x14ac:dyDescent="0.35">
      <c r="A32" s="5" t="s">
        <v>24</v>
      </c>
      <c r="G32" s="51" t="s">
        <v>50</v>
      </c>
      <c r="H32" s="52"/>
      <c r="I32" s="52"/>
      <c r="J32" s="52"/>
      <c r="K32" s="52"/>
      <c r="L32" s="52"/>
      <c r="M32" s="52"/>
      <c r="N32" s="52"/>
      <c r="O32" s="53"/>
    </row>
    <row r="33" spans="1:15" x14ac:dyDescent="0.25">
      <c r="A33" s="26" t="s">
        <v>38</v>
      </c>
      <c r="G33" s="60" t="s">
        <v>52</v>
      </c>
      <c r="H33" s="61"/>
      <c r="I33" s="61"/>
      <c r="J33" s="61"/>
      <c r="K33" s="61"/>
      <c r="L33" s="61"/>
      <c r="M33" s="61"/>
      <c r="N33" s="61"/>
      <c r="O33" s="62"/>
    </row>
    <row r="34" spans="1:15" x14ac:dyDescent="0.25">
      <c r="A34" s="8" t="s">
        <v>15</v>
      </c>
      <c r="G34" s="60" t="s">
        <v>65</v>
      </c>
      <c r="H34" s="61"/>
      <c r="I34" s="61"/>
      <c r="J34" s="61"/>
      <c r="K34" s="61"/>
      <c r="L34" s="61"/>
      <c r="M34" s="61"/>
      <c r="N34" s="61"/>
      <c r="O34" s="62"/>
    </row>
    <row r="35" spans="1:15" ht="15" customHeight="1" x14ac:dyDescent="0.25">
      <c r="G35" s="60" t="s">
        <v>51</v>
      </c>
      <c r="H35" s="61"/>
      <c r="I35" s="61"/>
      <c r="J35" s="61"/>
      <c r="K35" s="61"/>
      <c r="L35" s="61"/>
      <c r="M35" s="61"/>
      <c r="N35" s="61"/>
      <c r="O35" s="62"/>
    </row>
    <row r="36" spans="1:15" ht="15" customHeight="1" x14ac:dyDescent="0.25">
      <c r="B36" s="33" t="s">
        <v>72</v>
      </c>
      <c r="C36" s="35" t="s">
        <v>75</v>
      </c>
      <c r="D36" s="32"/>
      <c r="E36" s="34" t="s">
        <v>74</v>
      </c>
      <c r="G36" s="70" t="s">
        <v>64</v>
      </c>
      <c r="H36" s="71"/>
      <c r="I36" s="71"/>
      <c r="J36" s="71"/>
      <c r="K36" s="71"/>
      <c r="L36" s="71"/>
      <c r="M36" s="71"/>
      <c r="N36" s="71"/>
      <c r="O36" s="72"/>
    </row>
    <row r="37" spans="1:15" ht="15" customHeight="1" x14ac:dyDescent="0.25">
      <c r="B37" s="33" t="s">
        <v>73</v>
      </c>
      <c r="C37" s="35" t="str">
        <f>Data!A23</f>
        <v>SET_SKEW XY=99.33,99.75,70.2</v>
      </c>
      <c r="D37" s="32"/>
      <c r="E37" s="34" t="s">
        <v>76</v>
      </c>
      <c r="G37" s="70"/>
      <c r="H37" s="71"/>
      <c r="I37" s="71"/>
      <c r="J37" s="71"/>
      <c r="K37" s="71"/>
      <c r="L37" s="71"/>
      <c r="M37" s="71"/>
      <c r="N37" s="71"/>
      <c r="O37" s="72"/>
    </row>
    <row r="38" spans="1:15" ht="15" customHeight="1" x14ac:dyDescent="0.25">
      <c r="B38" s="33" t="s">
        <v>73</v>
      </c>
      <c r="C38" s="35" t="str">
        <f>Data!A24</f>
        <v>SKEW_PROFILE SAVE=my_skew_profile</v>
      </c>
      <c r="D38" s="32"/>
      <c r="E38" s="34" t="s">
        <v>76</v>
      </c>
      <c r="G38" s="73"/>
      <c r="H38" s="74"/>
      <c r="I38" s="74"/>
      <c r="J38" s="74"/>
      <c r="K38" s="74"/>
      <c r="L38" s="74"/>
      <c r="M38" s="74"/>
      <c r="N38" s="74"/>
      <c r="O38" s="75"/>
    </row>
    <row r="39" spans="1:15" x14ac:dyDescent="0.25">
      <c r="B39" s="33" t="s">
        <v>72</v>
      </c>
      <c r="C39" s="35" t="s">
        <v>71</v>
      </c>
      <c r="D39" s="32"/>
      <c r="E39" s="34" t="s">
        <v>82</v>
      </c>
      <c r="G39" s="29"/>
      <c r="H39" s="29"/>
      <c r="I39" s="29"/>
      <c r="J39" s="29"/>
      <c r="K39" s="29"/>
      <c r="L39" s="29"/>
      <c r="M39" s="29"/>
      <c r="N39" s="29"/>
    </row>
    <row r="40" spans="1:15" x14ac:dyDescent="0.25">
      <c r="B40" s="33" t="s">
        <v>72</v>
      </c>
      <c r="C40" s="68" t="s">
        <v>77</v>
      </c>
      <c r="D40" s="32"/>
      <c r="E40" s="34" t="s">
        <v>83</v>
      </c>
      <c r="H40" s="29"/>
      <c r="I40" s="29"/>
      <c r="J40" s="29"/>
      <c r="K40" s="29"/>
      <c r="L40" s="29"/>
      <c r="M40" s="29"/>
      <c r="N40" s="29"/>
    </row>
    <row r="41" spans="1:15" x14ac:dyDescent="0.25">
      <c r="B41" s="32"/>
      <c r="C41" s="32"/>
      <c r="D41" s="32"/>
      <c r="E41" s="32"/>
      <c r="H41" s="25"/>
      <c r="I41" s="25"/>
      <c r="J41" s="25"/>
      <c r="K41" s="25"/>
      <c r="L41" s="25"/>
      <c r="M41" s="25"/>
      <c r="N41" s="25"/>
    </row>
    <row r="42" spans="1:15" x14ac:dyDescent="0.25">
      <c r="A42" s="8" t="s">
        <v>23</v>
      </c>
    </row>
    <row r="44" spans="1:15" x14ac:dyDescent="0.25">
      <c r="B44" s="31" t="s">
        <v>72</v>
      </c>
      <c r="C44" s="13" t="str">
        <f>Data!A28</f>
        <v>if ENABLED(SKEW_CORRECTION)</v>
      </c>
      <c r="E44" s="30" t="s">
        <v>79</v>
      </c>
    </row>
    <row r="45" spans="1:15" x14ac:dyDescent="0.25">
      <c r="B45" s="31" t="s">
        <v>72</v>
      </c>
      <c r="C45" s="13" t="str">
        <f>Data!A32</f>
        <v xml:space="preserve"> define XY_SKEW_FACTOR 0.002</v>
      </c>
      <c r="E45" s="30" t="s">
        <v>79</v>
      </c>
    </row>
    <row r="46" spans="1:15" x14ac:dyDescent="0.25">
      <c r="E46" s="30"/>
    </row>
    <row r="47" spans="1:15" x14ac:dyDescent="0.25">
      <c r="A47" s="8" t="s">
        <v>33</v>
      </c>
      <c r="E47" s="30"/>
    </row>
    <row r="48" spans="1:15" x14ac:dyDescent="0.25">
      <c r="E48" s="30"/>
    </row>
    <row r="49" spans="1:14" x14ac:dyDescent="0.25">
      <c r="B49" s="31" t="s">
        <v>72</v>
      </c>
      <c r="C49" s="13" t="str">
        <f>Data!A44</f>
        <v>M556 S100 X0.419</v>
      </c>
      <c r="E49" s="30" t="s">
        <v>78</v>
      </c>
    </row>
    <row r="51" spans="1:14" ht="23.25" x14ac:dyDescent="0.35">
      <c r="A51" s="5" t="s">
        <v>37</v>
      </c>
      <c r="G51" s="51" t="s">
        <v>70</v>
      </c>
      <c r="H51" s="52"/>
      <c r="I51" s="52"/>
      <c r="J51" s="52"/>
      <c r="K51" s="52"/>
      <c r="L51" s="52"/>
      <c r="M51" s="52"/>
      <c r="N51" s="53"/>
    </row>
    <row r="52" spans="1:14" x14ac:dyDescent="0.25">
      <c r="A52" s="8" t="s">
        <v>49</v>
      </c>
      <c r="G52" s="54" t="s">
        <v>81</v>
      </c>
      <c r="H52" s="55"/>
      <c r="I52" s="55"/>
      <c r="J52" s="55"/>
      <c r="K52" s="55"/>
      <c r="L52" s="55"/>
      <c r="M52" s="55"/>
      <c r="N52" s="56"/>
    </row>
    <row r="53" spans="1:14" x14ac:dyDescent="0.25">
      <c r="G53" s="57" t="s">
        <v>88</v>
      </c>
      <c r="H53" s="58"/>
      <c r="I53" s="58"/>
      <c r="J53" s="58"/>
      <c r="K53" s="58"/>
      <c r="L53" s="58"/>
      <c r="M53" s="58"/>
      <c r="N53" s="59"/>
    </row>
    <row r="54" spans="1:14" x14ac:dyDescent="0.25">
      <c r="B54" s="30" t="s">
        <v>34</v>
      </c>
      <c r="C54" s="18" t="str">
        <f>Data!B49</f>
        <v>99.25</v>
      </c>
    </row>
    <row r="56" spans="1:14" x14ac:dyDescent="0.25">
      <c r="A56" s="8" t="s">
        <v>44</v>
      </c>
    </row>
    <row r="57" spans="1:14" ht="15.75" thickBot="1" x14ac:dyDescent="0.3">
      <c r="B57" s="43"/>
      <c r="C57" s="48" t="s">
        <v>89</v>
      </c>
    </row>
    <row r="58" spans="1:14" ht="16.5" thickTop="1" thickBot="1" x14ac:dyDescent="0.3">
      <c r="B58" s="47" t="s">
        <v>45</v>
      </c>
      <c r="C58" s="69" t="s">
        <v>89</v>
      </c>
    </row>
    <row r="59" spans="1:14" ht="15.75" thickTop="1" x14ac:dyDescent="0.25">
      <c r="B59" s="47" t="s">
        <v>46</v>
      </c>
      <c r="C59" s="12">
        <v>100</v>
      </c>
      <c r="E59" s="3"/>
    </row>
    <row r="60" spans="1:14" x14ac:dyDescent="0.25">
      <c r="B60" s="49"/>
      <c r="C60" s="41"/>
    </row>
    <row r="61" spans="1:14" x14ac:dyDescent="0.25">
      <c r="B61" s="47" t="s">
        <v>47</v>
      </c>
      <c r="C61" s="14" t="e">
        <f>Data!B52</f>
        <v>#VALUE!</v>
      </c>
      <c r="E61" s="3"/>
    </row>
    <row r="62" spans="1:14" x14ac:dyDescent="0.25">
      <c r="B62" s="47" t="s">
        <v>48</v>
      </c>
      <c r="C62" s="14">
        <f>Data!B53</f>
        <v>100.77166666666666</v>
      </c>
    </row>
    <row r="64" spans="1:14" x14ac:dyDescent="0.25">
      <c r="A64" s="8" t="s">
        <v>63</v>
      </c>
    </row>
    <row r="65" spans="2:3" ht="15.75" thickBot="1" x14ac:dyDescent="0.3">
      <c r="C65" s="48" t="s">
        <v>89</v>
      </c>
    </row>
    <row r="66" spans="2:3" ht="15.75" thickTop="1" x14ac:dyDescent="0.25">
      <c r="B66" s="47" t="s">
        <v>66</v>
      </c>
      <c r="C66" s="12">
        <v>100</v>
      </c>
    </row>
    <row r="67" spans="2:3" x14ac:dyDescent="0.25">
      <c r="B67" s="47" t="s">
        <v>67</v>
      </c>
      <c r="C67" s="12">
        <v>100</v>
      </c>
    </row>
    <row r="68" spans="2:3" x14ac:dyDescent="0.25">
      <c r="B68" s="49"/>
      <c r="C68" s="50"/>
    </row>
    <row r="69" spans="2:3" x14ac:dyDescent="0.25">
      <c r="B69" s="47" t="s">
        <v>68</v>
      </c>
      <c r="C69" s="14">
        <f>Data!B56</f>
        <v>99.280833333333334</v>
      </c>
    </row>
    <row r="70" spans="2:3" x14ac:dyDescent="0.25">
      <c r="B70" s="47" t="s">
        <v>69</v>
      </c>
      <c r="C70" s="14">
        <f>Data!B57</f>
        <v>99.228333333333325</v>
      </c>
    </row>
  </sheetData>
  <sheetProtection algorithmName="SHA-512" hashValue="qf0bDPshrc5hrDPCzUrivED9HJJ3I5jBCVaODuIIIZ5slFxQBoxfONMTiKUDYCmRvL+XZSqpfpbAnjFZX1F5uQ==" saltValue="f/EMFifdbqILMJ+27/yyfw==" spinCount="100000" sheet="1" selectLockedCells="1"/>
  <mergeCells count="1">
    <mergeCell ref="G36:O38"/>
  </mergeCells>
  <dataValidations count="8">
    <dataValidation type="decimal" allowBlank="1" showInputMessage="1" showErrorMessage="1" error="Value must be a decimal between 0 and 1000." sqref="B7:D16" xr:uid="{4182E5FE-658D-4802-B42A-C4EFCE60120D}">
      <formula1>0</formula1>
      <formula2>1000</formula2>
    </dataValidation>
    <dataValidation type="decimal" allowBlank="1" showInputMessage="1" showErrorMessage="1" error="Value must be a decimal between 0 and 1000" sqref="E7:E16" xr:uid="{DF8A3E73-31C8-4C48-8A33-BC274A7354A8}">
      <formula1>0</formula1>
      <formula2>1000</formula2>
    </dataValidation>
    <dataValidation type="decimal" operator="greaterThanOrEqual" allowBlank="1" showInputMessage="1" showErrorMessage="1" sqref="C3" xr:uid="{C2FC6C3B-C2AC-4771-8BE9-4EEFF34A473C}">
      <formula1>1</formula1>
    </dataValidation>
    <dataValidation type="decimal" operator="greaterThan" allowBlank="1" showErrorMessage="1" errorTitle="Input Error" error="Value must be a decimal greater than zero." sqref="C58:C59 C66:C67" xr:uid="{F8C58940-67BD-47FF-9FB1-FF5E55606F53}">
      <formula1>0</formula1>
    </dataValidation>
    <dataValidation type="custom" allowBlank="1" showInputMessage="1" showErrorMessage="1" error="Value cannot be changed" sqref="C36" xr:uid="{F7F4BE6D-7DAF-4B40-B8D3-157B0DADAEF3}">
      <formula1>"[skew_correction] "</formula1>
    </dataValidation>
    <dataValidation type="custom" allowBlank="1" showInputMessage="1" showErrorMessage="1" error="Value cannot be changed." sqref="C39" xr:uid="{8CD4DB8B-C84A-485C-9689-3544D53849B4}">
      <formula1>"SKEW_PROFILE LOAD=my_skew_profile"</formula1>
    </dataValidation>
    <dataValidation type="custom" allowBlank="1" showInputMessage="1" showErrorMessage="1" error="Value cannot be changed." sqref="C40" xr:uid="{2CB4DAAB-05CD-4496-9E71-66B0976E0434}">
      <formula1>"SET_SKEW CLEAR=1"</formula1>
    </dataValidation>
    <dataValidation type="custom" allowBlank="1" showInputMessage="1" showErrorMessage="1" sqref="E59" xr:uid="{C9009621-B92F-402F-94A8-55BAC37F3F9B}">
      <formula1>C54</formula1>
    </dataValidation>
  </dataValidations>
  <pageMargins left="0.7" right="0.7" top="0.75" bottom="0.75" header="0.3" footer="0.3"/>
  <pageSetup paperSize="9" orientation="portrait" r:id="rId1"/>
  <ignoredErrors>
    <ignoredError sqref="E7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6" operator="between" id="{41D1CF1C-0FC6-414D-BD3C-0572790C250D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" operator="lessThan" id="{0F9CDE9F-7F5D-4BD9-BF9D-07B3FF01CDC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operator="greaterThan" id="{FDA8D922-53D8-4B6A-907F-32CD3ACD831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9" operator="greaterThan" id="{E8822CDC-04C0-440F-8E17-FD76B45410CB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lessThan" id="{126C8726-A0B2-4A77-BF16-ABE9F3DDEF7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B7:D7</xm:sqref>
        </x14:conditionalFormatting>
        <x14:conditionalFormatting xmlns:xm="http://schemas.microsoft.com/office/excel/2006/main">
          <x14:cfRule type="cellIs" priority="96" operator="greaterThan" id="{4BC8C20D-915B-44CD-8800-A8B85DC7600D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7" operator="lessThan" id="{CA524CFB-3C63-4C88-BC65-570F567E210F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operator="between" id="{14C2AA31-1BB7-4FFF-BB92-7FCC7BD586E3}">
            <xm:f>Data!$B$3-1</xm:f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greaterThan" id="{388D4A60-1896-4840-9560-E5CC1375DF0A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lessThan" id="{E1D81BE5-DAC8-499C-AA69-052DB87DE645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 B10:D10 B12:D12 B14:D14</xm:sqref>
        </x14:conditionalFormatting>
        <x14:conditionalFormatting xmlns:xm="http://schemas.microsoft.com/office/excel/2006/main">
          <x14:cfRule type="cellIs" priority="21" operator="between" id="{44ACA335-A9EE-489D-B141-FE58D7566AA4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lessThan" id="{A300C8D8-2DB3-476B-AFB1-BF8220AC7F6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" operator="greaterThan" id="{82AFE114-8C82-4548-ADA6-BF04D17A563F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FDCA322B-4F9F-4D00-8168-9949E5CC586E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lessThan" id="{47D53560-E58F-4243-9F9B-04BCC362A9A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</xm:sqref>
        </x14:conditionalFormatting>
        <x14:conditionalFormatting xmlns:xm="http://schemas.microsoft.com/office/excel/2006/main">
          <x14:cfRule type="cellIs" priority="16" operator="between" id="{56BBB7CC-4480-49B5-A0ED-410363FF4416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lessThan" id="{A4D67CCB-D6B3-4F62-BDC8-3272973A65F0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operator="greaterThan" id="{ED4C0853-00BB-4864-8025-397E0D25E54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958759AB-895C-43AC-A7CA-E272D8D4B23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0" operator="lessThan" id="{8A574863-345B-4BCF-AEBB-AAF6B67240E0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B11:D11</xm:sqref>
        </x14:conditionalFormatting>
        <x14:conditionalFormatting xmlns:xm="http://schemas.microsoft.com/office/excel/2006/main">
          <x14:cfRule type="cellIs" priority="11" operator="between" id="{C8473C40-C4DF-4FDF-8A56-94D366D385DB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lessThan" id="{2791451C-8A9C-42F8-B49D-32232FF6209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" operator="greaterThan" id="{0D3BB9DD-918E-41CD-BAA9-D2C1D3451979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FD1C86EC-63F7-4F92-BB9B-FEE514635B1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" operator="lessThan" id="{A4083D8D-D130-4AFA-AE65-B247F2FC721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B13:D13</xm:sqref>
        </x14:conditionalFormatting>
        <x14:conditionalFormatting xmlns:xm="http://schemas.microsoft.com/office/excel/2006/main">
          <x14:cfRule type="cellIs" priority="6" operator="between" id="{80697373-7C9D-43EE-A7EF-60FD9EBCC758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lessThan" id="{0230309F-E4D4-4AF8-B66A-9F0D69F1EEC4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811FB2A4-A878-4E8D-9020-0E42EDF66A77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greaterThan" id="{820681A5-6534-411E-9498-0575B066C4E2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lessThan" id="{DCC43E39-3DA5-4840-B3A6-03E738F36F3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B15:D15</xm:sqref>
        </x14:conditionalFormatting>
        <x14:conditionalFormatting xmlns:xm="http://schemas.microsoft.com/office/excel/2006/main">
          <x14:cfRule type="cellIs" priority="1" operator="between" id="{8B4C84EA-CFC4-42CB-B470-9286A739CEAA}">
            <xm:f>Data!$B$2-1</xm:f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lessThan" id="{E50076C8-957C-41B0-9AFA-9520087E65A7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03FCF08D-1B82-48DA-B38E-614CB219F2D5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1DE2C9AE-3791-4F39-95E0-35CC5EF83EFE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5" operator="lessThan" id="{264D92C8-05F4-4457-8B55-D5CE2ACC2A83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="Cell cannot be changed" xr:uid="{0A06DB37-F5D4-411E-B043-2E87CE0B47B3}">
          <x14:formula1>
            <xm:f>Data!A28</xm:f>
          </x14:formula1>
          <xm:sqref>C44</xm:sqref>
        </x14:dataValidation>
        <x14:dataValidation type="custom" allowBlank="1" showInputMessage="1" showErrorMessage="1" error="Cell cannot be changed" xr:uid="{87DF0C8A-D6D1-41EC-9E60-2B9CF4A68F70}">
          <x14:formula1>
            <xm:f>Data!A32</xm:f>
          </x14:formula1>
          <xm:sqref>C45</xm:sqref>
        </x14:dataValidation>
        <x14:dataValidation type="custom" allowBlank="1" showInputMessage="1" showErrorMessage="1" error="Cell cannot be changed" xr:uid="{A4D04D64-6A44-4C7A-8328-2787C2B17E7C}">
          <x14:formula1>
            <xm:f>Data!A23</xm:f>
          </x14:formula1>
          <xm:sqref>C37:C38</xm:sqref>
        </x14:dataValidation>
        <x14:dataValidation type="custom" allowBlank="1" showInputMessage="1" showErrorMessage="1" error="Value Cannot be changed" xr:uid="{293CC67D-8FE1-4C96-8225-9A0A66BDBA96}">
          <x14:formula1>
            <xm:f>Data!A44</xm:f>
          </x14:formula1>
          <xm:sqref>C49</xm:sqref>
        </x14:dataValidation>
        <x14:dataValidation type="custom" allowBlank="1" showInputMessage="1" showErrorMessage="1" error="Value cannot be changed" xr:uid="{E53C341D-FD3F-443D-BAF2-AD949177A3BB}">
          <x14:formula1>
            <xm:f>Data!B49</xm:f>
          </x14:formula1>
          <xm:sqref>C54</xm:sqref>
        </x14:dataValidation>
        <x14:dataValidation type="custom" allowBlank="1" showInputMessage="1" showErrorMessage="1" error="Value cannot be changed." xr:uid="{5DCE759A-8354-4955-BDBA-65E01B857DC5}">
          <x14:formula1>
            <xm:f>Data!B56</xm:f>
          </x14:formula1>
          <xm:sqref>C69:C70</xm:sqref>
        </x14:dataValidation>
        <x14:dataValidation type="custom" allowBlank="1" showInputMessage="1" showErrorMessage="1" xr:uid="{85E14257-D161-4F87-8C5A-8A8451B72454}">
          <x14:formula1>
            <xm:f>Data!B52</xm:f>
          </x14:formula1>
          <xm:sqref>E61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14C2-2CC2-465E-A1D4-A42848F58353}">
  <dimension ref="A1:E57"/>
  <sheetViews>
    <sheetView topLeftCell="A16" workbookViewId="0">
      <selection activeCell="B52" sqref="B52"/>
    </sheetView>
  </sheetViews>
  <sheetFormatPr defaultRowHeight="15" x14ac:dyDescent="0.25"/>
  <cols>
    <col min="1" max="1" width="11.5703125" customWidth="1"/>
    <col min="2" max="2" width="14.28515625" customWidth="1"/>
    <col min="3" max="3" width="14.42578125" customWidth="1"/>
  </cols>
  <sheetData>
    <row r="1" spans="1:5" ht="15.75" x14ac:dyDescent="0.25">
      <c r="B1" s="8" t="s">
        <v>0</v>
      </c>
      <c r="C1" s="9" t="s">
        <v>3</v>
      </c>
    </row>
    <row r="2" spans="1:5" x14ac:dyDescent="0.25">
      <c r="A2" s="8">
        <v>1</v>
      </c>
      <c r="B2">
        <f>100*Calculator!C3</f>
        <v>100</v>
      </c>
      <c r="C2" s="4">
        <f>(Calculator!E7-Data!B2)/B2</f>
        <v>-4.9333333333333937E-3</v>
      </c>
    </row>
    <row r="3" spans="1:5" x14ac:dyDescent="0.25">
      <c r="A3" s="8">
        <v>2</v>
      </c>
      <c r="B3">
        <f>50*Calculator!C3</f>
        <v>50</v>
      </c>
      <c r="C3" s="4">
        <f>(Calculator!E8-Data!B3)/B3</f>
        <v>-1.4666666666666118E-3</v>
      </c>
    </row>
    <row r="4" spans="1:5" x14ac:dyDescent="0.25">
      <c r="A4" s="8">
        <v>3</v>
      </c>
      <c r="B4">
        <f>100*Calculator!C3</f>
        <v>100</v>
      </c>
      <c r="C4" s="4">
        <f>(Calculator!E9-Data!B4)/B4</f>
        <v>-9.7000000000001304E-3</v>
      </c>
    </row>
    <row r="5" spans="1:5" x14ac:dyDescent="0.25">
      <c r="A5" s="8">
        <v>4</v>
      </c>
      <c r="B5">
        <f>50*Calculator!C3</f>
        <v>50</v>
      </c>
      <c r="C5" s="4">
        <f>(Calculator!E10-Data!B5)/B5</f>
        <v>-1.2666666666666658E-2</v>
      </c>
    </row>
    <row r="6" spans="1:5" x14ac:dyDescent="0.25">
      <c r="A6" s="8">
        <v>5</v>
      </c>
      <c r="B6">
        <f>100*Calculator!C3</f>
        <v>100</v>
      </c>
      <c r="C6" s="4">
        <f>(Calculator!E11-Data!B6)/B6</f>
        <v>-4.8333333333333431E-3</v>
      </c>
    </row>
    <row r="7" spans="1:5" x14ac:dyDescent="0.25">
      <c r="A7" s="8">
        <v>6</v>
      </c>
      <c r="B7">
        <f>50*Calculator!C3</f>
        <v>50</v>
      </c>
      <c r="C7" s="4">
        <f>(Calculator!E12-Data!B7)/B7</f>
        <v>-1.2666666666666514E-3</v>
      </c>
    </row>
    <row r="8" spans="1:5" x14ac:dyDescent="0.25">
      <c r="A8" s="8">
        <v>7</v>
      </c>
      <c r="B8">
        <f>100*Calculator!C3</f>
        <v>100</v>
      </c>
      <c r="C8" s="4">
        <f>(Calculator!E13-Data!B8)/B8</f>
        <v>-1.0633333333333326E-2</v>
      </c>
    </row>
    <row r="9" spans="1:5" x14ac:dyDescent="0.25">
      <c r="A9" s="8">
        <v>8</v>
      </c>
      <c r="B9">
        <f>50*Calculator!C3</f>
        <v>50</v>
      </c>
      <c r="C9" s="4">
        <f>(Calculator!E14-Data!B9)/B9</f>
        <v>-1.4133333333333411E-2</v>
      </c>
    </row>
    <row r="10" spans="1:5" x14ac:dyDescent="0.25">
      <c r="C10" s="4"/>
      <c r="E10" s="6"/>
    </row>
    <row r="11" spans="1:5" x14ac:dyDescent="0.25">
      <c r="C11" s="4"/>
      <c r="E11" s="6"/>
    </row>
    <row r="12" spans="1:5" x14ac:dyDescent="0.25">
      <c r="B12" s="65" t="s">
        <v>1</v>
      </c>
      <c r="C12" s="66" t="s">
        <v>2</v>
      </c>
      <c r="D12" s="65" t="s">
        <v>56</v>
      </c>
      <c r="E12" s="27" t="s">
        <v>57</v>
      </c>
    </row>
    <row r="13" spans="1:5" x14ac:dyDescent="0.25">
      <c r="A13" t="s">
        <v>28</v>
      </c>
      <c r="B13" s="7">
        <f>AVERAGE(C2:C5)</f>
        <v>-7.1916666666666986E-3</v>
      </c>
      <c r="C13" s="7">
        <f>AVERAGE(C6:C9)</f>
        <v>-7.7166666666666833E-3</v>
      </c>
      <c r="D13" s="7">
        <f>AVERAGE(C2:C3,C6:C7)</f>
        <v>-3.1250000000000002E-3</v>
      </c>
      <c r="E13" s="7">
        <f>AVERAGE(C4:C5,C8:C9)</f>
        <v>-1.1783333333333382E-2</v>
      </c>
    </row>
    <row r="14" spans="1:5" x14ac:dyDescent="0.25">
      <c r="C14" s="4"/>
      <c r="E14" s="6"/>
    </row>
    <row r="15" spans="1:5" x14ac:dyDescent="0.25">
      <c r="C15" s="4"/>
      <c r="E15" s="6"/>
    </row>
    <row r="17" spans="1:3" x14ac:dyDescent="0.25">
      <c r="A17" t="s">
        <v>6</v>
      </c>
      <c r="B17" s="3">
        <f>70.7106*(1+B13)*Calculator!C3</f>
        <v>70.20207293499999</v>
      </c>
      <c r="C17" s="17" t="str">
        <f>TRUNC(Data!B17)&amp;"."&amp;ROUND(100*(Data!B17-TRUNC(Data!B17)),0)</f>
        <v>70.20</v>
      </c>
    </row>
    <row r="18" spans="1:3" x14ac:dyDescent="0.25">
      <c r="A18" t="s">
        <v>7</v>
      </c>
      <c r="B18" s="3">
        <f>SQRT(((Calculator!E16^2)+(Calculator!E15^2)-2*(B17^2))/2)</f>
        <v>70.570927166819175</v>
      </c>
      <c r="C18" s="17" t="str">
        <f>TRUNC(Data!B18)&amp;"."&amp;ROUND(100*(Data!B18-TRUNC(Data!B18)),0)</f>
        <v>70.57</v>
      </c>
    </row>
    <row r="19" spans="1:3" x14ac:dyDescent="0.25">
      <c r="A19" t="s">
        <v>11</v>
      </c>
      <c r="B19" s="3">
        <f>DEGREES(ACOS(((Calculator!E15^2)-(B17^2)-(B18^2))/(2*B17*B18)))</f>
        <v>89.760165414023774</v>
      </c>
      <c r="C19" s="17" t="str">
        <f>TRUNC(Data!B19)&amp;"."&amp;ROUND(100*(Data!B19-TRUNC(Data!B19)),0)</f>
        <v>89.76</v>
      </c>
    </row>
    <row r="20" spans="1:3" x14ac:dyDescent="0.25">
      <c r="A20" t="s">
        <v>5</v>
      </c>
      <c r="B20" s="3">
        <f>90-B19</f>
        <v>0.23983458597622587</v>
      </c>
      <c r="C20" s="17" t="str">
        <f>TRUNC(Data!B20)&amp;"."&amp;ROUND(100*(Data!B20-TRUNC(Data!B20)),0)</f>
        <v>0.24</v>
      </c>
    </row>
    <row r="22" spans="1:3" x14ac:dyDescent="0.25">
      <c r="A22" s="8" t="s">
        <v>8</v>
      </c>
    </row>
    <row r="23" spans="1:3" x14ac:dyDescent="0.25">
      <c r="A23" t="str">
        <f>"SET_SKEW XY="&amp;ROUND(Calculator!E16,2)&amp;","&amp;ROUND(Calculator!E15,2)&amp;","&amp;ROUND(B17,2)</f>
        <v>SET_SKEW XY=99.33,99.75,70.2</v>
      </c>
    </row>
    <row r="24" spans="1:3" x14ac:dyDescent="0.25">
      <c r="A24" t="s">
        <v>10</v>
      </c>
    </row>
    <row r="25" spans="1:3" x14ac:dyDescent="0.25">
      <c r="A25" t="s">
        <v>9</v>
      </c>
    </row>
    <row r="27" spans="1:3" x14ac:dyDescent="0.25">
      <c r="A27" s="8" t="s">
        <v>16</v>
      </c>
    </row>
    <row r="28" spans="1:3" x14ac:dyDescent="0.25">
      <c r="A28" t="s">
        <v>18</v>
      </c>
    </row>
    <row r="29" spans="1:3" x14ac:dyDescent="0.25">
      <c r="A29" t="str">
        <f>" define XY_DIAG_AC " &amp; Calculator!E16</f>
        <v xml:space="preserve"> define XY_DIAG_AC 99.3333333333333</v>
      </c>
    </row>
    <row r="30" spans="1:3" x14ac:dyDescent="0.25">
      <c r="A30" t="str">
        <f>" define XY_DIAG_BD " &amp; Calculator!E15</f>
        <v xml:space="preserve"> define XY_DIAG_BD 99.75</v>
      </c>
    </row>
    <row r="31" spans="1:3" x14ac:dyDescent="0.25">
      <c r="A31" t="str">
        <f>" define XY_SIDE_AD " &amp;B17</f>
        <v xml:space="preserve"> define XY_SIDE_AD 70.202072935</v>
      </c>
    </row>
    <row r="32" spans="1:3" x14ac:dyDescent="0.25">
      <c r="A32" t="str">
        <f>IFERROR(" define XY_SKEW_FACTOR " &amp; ROUND(B37,3),"ERROR")</f>
        <v xml:space="preserve"> define XY_SKEW_FACTOR 0.002</v>
      </c>
    </row>
    <row r="34" spans="1:4" x14ac:dyDescent="0.25">
      <c r="A34" t="s">
        <v>20</v>
      </c>
      <c r="B34">
        <f>Calculator!E16</f>
        <v>99.333333333333329</v>
      </c>
      <c r="C34" s="17" t="str">
        <f>TRUNC(Data!B34)&amp;"."&amp;ROUND(100*(Data!B34-TRUNC(Data!B34)),0)</f>
        <v>99.33</v>
      </c>
    </row>
    <row r="35" spans="1:4" x14ac:dyDescent="0.25">
      <c r="A35" t="s">
        <v>21</v>
      </c>
      <c r="B35" s="3">
        <f>70.7106*(1+C13)*Calculator!C3</f>
        <v>70.164949870000001</v>
      </c>
      <c r="C35" s="17" t="str">
        <f>TRUNC(Data!B35)&amp;"."&amp;ROUND(100*(Data!B35-TRUNC(Data!B35)),0)</f>
        <v>70.16</v>
      </c>
    </row>
    <row r="36" spans="1:4" x14ac:dyDescent="0.25">
      <c r="A36" t="s">
        <v>22</v>
      </c>
      <c r="B36" s="3">
        <f>B17</f>
        <v>70.20207293499999</v>
      </c>
      <c r="C36" s="17" t="str">
        <f>TRUNC(Data!B36)&amp;"."&amp;ROUND(100*(Data!B36-TRUNC(Data!B36)),0)</f>
        <v>70.20</v>
      </c>
    </row>
    <row r="37" spans="1:4" x14ac:dyDescent="0.25">
      <c r="A37" t="s">
        <v>19</v>
      </c>
      <c r="B37" s="3">
        <f>IFERROR(TAN(PI()/2-ACOS(((B34^2)-(B35^2)-(B36^2))/(2*B35*B36))),"ERROR")</f>
        <v>1.5896032049604594E-3</v>
      </c>
      <c r="C37" s="17" t="str">
        <f>IFERROR(TRUNC(Data!B37)&amp;"."&amp;ROUND(100*(Data!B37-TRUNC(Data!B37)),0),"ERROR")</f>
        <v>0.0</v>
      </c>
    </row>
    <row r="41" spans="1:4" x14ac:dyDescent="0.25">
      <c r="A41" s="8" t="s">
        <v>17</v>
      </c>
    </row>
    <row r="42" spans="1:4" x14ac:dyDescent="0.25">
      <c r="A42" t="s">
        <v>30</v>
      </c>
      <c r="B42" t="s">
        <v>29</v>
      </c>
      <c r="D42" t="s">
        <v>31</v>
      </c>
    </row>
    <row r="43" spans="1:4" x14ac:dyDescent="0.25">
      <c r="A43" t="s">
        <v>32</v>
      </c>
      <c r="B43" s="15">
        <f>100*TAN(RADIANS(90-B19))</f>
        <v>0.4185927633779794</v>
      </c>
    </row>
    <row r="44" spans="1:4" x14ac:dyDescent="0.25">
      <c r="A44" t="str">
        <f>"M556 S100 X"&amp; ROUND(B43,3)</f>
        <v>M556 S100 X0.419</v>
      </c>
    </row>
    <row r="47" spans="1:4" x14ac:dyDescent="0.25">
      <c r="A47" s="8" t="s">
        <v>35</v>
      </c>
    </row>
    <row r="48" spans="1:4" x14ac:dyDescent="0.25">
      <c r="A48" t="s">
        <v>36</v>
      </c>
      <c r="B48" s="16">
        <f>ROUND((1+AVERAGE(B13,C13))*100,2)</f>
        <v>99.25</v>
      </c>
    </row>
    <row r="49" spans="1:2" x14ac:dyDescent="0.25">
      <c r="B49" s="17" t="str">
        <f>TRUNC(Data!B48)&amp;"."&amp;ROUND(100*(Data!B48-TRUNC(Data!B48)),0)</f>
        <v>99.25</v>
      </c>
    </row>
    <row r="51" spans="1:2" x14ac:dyDescent="0.25">
      <c r="A51" s="8" t="s">
        <v>44</v>
      </c>
    </row>
    <row r="52" spans="1:2" x14ac:dyDescent="0.25">
      <c r="A52" t="s">
        <v>1</v>
      </c>
      <c r="B52" s="3" t="e">
        <f>Calculator!C58*(1-Data!B13)</f>
        <v>#VALUE!</v>
      </c>
    </row>
    <row r="53" spans="1:2" x14ac:dyDescent="0.25">
      <c r="A53" t="s">
        <v>2</v>
      </c>
      <c r="B53" s="3">
        <f>Calculator!C59*(1-Data!C13)</f>
        <v>100.77166666666666</v>
      </c>
    </row>
    <row r="55" spans="1:2" x14ac:dyDescent="0.25">
      <c r="A55" s="8" t="s">
        <v>63</v>
      </c>
    </row>
    <row r="56" spans="1:2" x14ac:dyDescent="0.25">
      <c r="A56" t="s">
        <v>1</v>
      </c>
      <c r="B56" s="16">
        <f>(1+B13)*Calculator!C66</f>
        <v>99.280833333333334</v>
      </c>
    </row>
    <row r="57" spans="1:2" x14ac:dyDescent="0.25">
      <c r="A57" t="s">
        <v>2</v>
      </c>
      <c r="B57" s="16">
        <f>(1+C13)*Calculator!C67</f>
        <v>99.228333333333325</v>
      </c>
    </row>
  </sheetData>
  <sheetProtection algorithmName="SHA-512" hashValue="WMbN+We8Emav9BAskb1EcM0ZE2i7HL3zDY8BHRNiEJesrDi3X14RLv9KvAGCLW5Hc9IeWZkH5C7PHkQjKUaFjw==" saltValue="mEpZc9aOog9s1RI1h4/geA==" spinCount="100000" sheet="1" selectLockedCells="1" selectUn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Meadows</dc:creator>
  <cp:lastModifiedBy>Adam Meadows</cp:lastModifiedBy>
  <dcterms:created xsi:type="dcterms:W3CDTF">2021-12-10T19:35:57Z</dcterms:created>
  <dcterms:modified xsi:type="dcterms:W3CDTF">2022-04-13T15:24:09Z</dcterms:modified>
</cp:coreProperties>
</file>