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stle.sharepoint.com/teams/RDSGFC/Shared Documents/2025/2025 OPEX/Budget/LE Template/"/>
    </mc:Choice>
  </mc:AlternateContent>
  <xr:revisionPtr revIDLastSave="806" documentId="8_{4034BF24-0202-4EEF-978F-B99D0C1EB85E}" xr6:coauthVersionLast="47" xr6:coauthVersionMax="47" xr10:uidLastSave="{40C98C3D-0525-43C8-BF57-3F48CA349B5C}"/>
  <bookViews>
    <workbookView xWindow="-120" yWindow="-120" windowWidth="29040" windowHeight="15840" firstSheet="1" activeTab="1" xr2:uid="{AAB0C4E8-E870-463B-8D3F-C12429D7A52B}"/>
  </bookViews>
  <sheets>
    <sheet name="Data " sheetId="2" state="hidden" r:id="rId1"/>
    <sheet name="Summary" sheetId="1" r:id="rId2"/>
    <sheet name="TTM LE1" sheetId="3" r:id="rId3"/>
    <sheet name="TTM LE2" sheetId="12" r:id="rId4"/>
    <sheet name="TTM LE3" sheetId="13" r:id="rId5"/>
    <sheet name="FTE" sheetId="5" r:id="rId6"/>
    <sheet name="Air Fare - 2024" sheetId="6" state="hidden" r:id="rId7"/>
  </sheets>
  <definedNames>
    <definedName name="_ABC2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_ABC2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_ABC2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_xlnm._FilterDatabase" localSheetId="6" hidden="1">'Air Fare - 2024'!$A$1:$J$1048572</definedName>
    <definedName name="_xlnm._FilterDatabase" localSheetId="2" hidden="1">'TTM LE1'!$B$5:$R$62</definedName>
    <definedName name="_xlnm._FilterDatabase" localSheetId="3" hidden="1">'TTM LE2'!$B$5:$R$44</definedName>
    <definedName name="_xlnm._FilterDatabase" localSheetId="4" hidden="1">'TTM LE3'!$B$5:$R$44</definedName>
    <definedName name="_Key1" localSheetId="6" hidden="1">#REF!</definedName>
    <definedName name="_Key1" localSheetId="0" hidden="1">#REF!</definedName>
    <definedName name="_Key1" hidden="1">#REF!</definedName>
    <definedName name="_Key2" localSheetId="6" hidden="1">#REF!</definedName>
    <definedName name="_Key2" localSheetId="0" hidden="1">#REF!</definedName>
    <definedName name="_Key2" hidden="1">#REF!</definedName>
    <definedName name="_Order1" hidden="1">255</definedName>
    <definedName name="_Order2" hidden="1">0</definedName>
    <definedName name="_ppt2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_ppt2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_ppt2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_Sort" localSheetId="6" hidden="1">#REF!</definedName>
    <definedName name="_Sort" localSheetId="0" hidden="1">#REF!</definedName>
    <definedName name="_Sort" hidden="1">#REF!</definedName>
    <definedName name="_xlchart.v1.0" hidden="1">Summary!$B$141</definedName>
    <definedName name="_xlchart.v1.1" hidden="1">Summary!$B$141:$C$141</definedName>
    <definedName name="_xlchart.v1.10" hidden="1">Summary!$C$141:$R$141</definedName>
    <definedName name="_xlchart.v1.11" hidden="1">Summary!$C$142:$R$142</definedName>
    <definedName name="_xlchart.v1.12" hidden="1">Summary!$C$143:$R$143</definedName>
    <definedName name="_xlchart.v1.13" hidden="1">Summary!$C$144:$R$144</definedName>
    <definedName name="_xlchart.v1.14" hidden="1">Summary!$C$145:$R$145</definedName>
    <definedName name="_xlchart.v1.15" hidden="1">Summary!$D$126:$R$140</definedName>
    <definedName name="_xlchart.v1.16" hidden="1">Summary!$D$141:$R$141</definedName>
    <definedName name="_xlchart.v1.17" hidden="1">Summary!$D$142:$R$142</definedName>
    <definedName name="_xlchart.v1.18" hidden="1">Summary!$D$143:$R$143</definedName>
    <definedName name="_xlchart.v1.19" hidden="1">Summary!$D$144:$R$144</definedName>
    <definedName name="_xlchart.v1.2" hidden="1">Summary!$B$142</definedName>
    <definedName name="_xlchart.v1.20" hidden="1">Summary!$R$126:$R$140</definedName>
    <definedName name="_xlchart.v1.21" hidden="1">Summary!$R$141</definedName>
    <definedName name="_xlchart.v1.22" hidden="1">Summary!$R$142</definedName>
    <definedName name="_xlchart.v1.23" hidden="1">Summary!$R$143</definedName>
    <definedName name="_xlchart.v1.24" hidden="1">Summary!$R$144</definedName>
    <definedName name="_xlchart.v1.3" hidden="1">Summary!$B$142:$C$142</definedName>
    <definedName name="_xlchart.v1.4" hidden="1">Summary!$B$143</definedName>
    <definedName name="_xlchart.v1.5" hidden="1">Summary!$B$143:$C$143</definedName>
    <definedName name="_xlchart.v1.6" hidden="1">Summary!$B$144</definedName>
    <definedName name="_xlchart.v1.7" hidden="1">Summary!$B$144:$C$144</definedName>
    <definedName name="_xlchart.v1.8" hidden="1">Summary!$B$145</definedName>
    <definedName name="_xlchart.v1.9" hidden="1">Summary!$C$126:$R$140</definedName>
    <definedName name="_XX3900" localSheetId="6">#REF!</definedName>
    <definedName name="_XX3900" localSheetId="0">#REF!</definedName>
    <definedName name="_XX3900">#REF!</definedName>
    <definedName name="_XX3905" localSheetId="6">#REF!</definedName>
    <definedName name="_XX3905" localSheetId="0">#REF!</definedName>
    <definedName name="_XX3905">#REF!</definedName>
    <definedName name="_XX3935" localSheetId="6">#REF!</definedName>
    <definedName name="_XX3935" localSheetId="0">#REF!</definedName>
    <definedName name="_XX3935">#REF!</definedName>
    <definedName name="_XX3940" localSheetId="6">#REF!</definedName>
    <definedName name="_XX3940" localSheetId="0">#REF!</definedName>
    <definedName name="_XX3940">#REF!</definedName>
    <definedName name="_XX3950" localSheetId="6">#REF!</definedName>
    <definedName name="_XX3950" localSheetId="0">#REF!</definedName>
    <definedName name="_XX3950">#REF!</definedName>
    <definedName name="_XX3955" localSheetId="6">#REF!</definedName>
    <definedName name="_XX3955" localSheetId="0">#REF!</definedName>
    <definedName name="_XX3955">#REF!</definedName>
    <definedName name="aaa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aa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aa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BC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BC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BC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BCD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BCD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BCD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ctionPlanAnnex5" localSheetId="6">#REF!</definedName>
    <definedName name="ActionPlanAnnex5" localSheetId="0">#REF!</definedName>
    <definedName name="ActionPlanAnnex5">#REF!</definedName>
    <definedName name="ACTIONS" localSheetId="6">#REF!</definedName>
    <definedName name="ACTIONS" localSheetId="0">#REF!</definedName>
    <definedName name="ACTIONS">#REF!</definedName>
    <definedName name="allied" localSheetId="6" hidden="1">{"Lait",#N/A,FALSE,"01";"Ninf",#N/A,FALSE,"02";"Csol",#N/A,FALSE,"03";"Aboi",#N/A,FALSE,"04";"choco",#N/A,FALSE,"05";"culin",#N/A,FALSE,"06";"surgelé",#N/A,FALSE,"07";"glace",#N/A,FALSE,"08";"reflait",#N/A,FALSE,"09";"boisliqu",#N/A,FALSE,"10";"rest",#N/A,FALSE,"11";"Oreal",#N/A,FALSE,"12";"pet",#N/A,FALSE,"14";"pharma",#N/A,FALSE,"13";"nutad",#N/A,FALSE,"15";"caftorr",#N/A,FALSE,"17";"refcul",#N/A,FALSE,"18";"annexe",#N/A,FALSE,"19"}</definedName>
    <definedName name="allied" localSheetId="0" hidden="1">{"Lait",#N/A,FALSE,"01";"Ninf",#N/A,FALSE,"02";"Csol",#N/A,FALSE,"03";"Aboi",#N/A,FALSE,"04";"choco",#N/A,FALSE,"05";"culin",#N/A,FALSE,"06";"surgelé",#N/A,FALSE,"07";"glace",#N/A,FALSE,"08";"reflait",#N/A,FALSE,"09";"boisliqu",#N/A,FALSE,"10";"rest",#N/A,FALSE,"11";"Oreal",#N/A,FALSE,"12";"pet",#N/A,FALSE,"14";"pharma",#N/A,FALSE,"13";"nutad",#N/A,FALSE,"15";"caftorr",#N/A,FALSE,"17";"refcul",#N/A,FALSE,"18";"annexe",#N/A,FALSE,"19"}</definedName>
    <definedName name="allied" hidden="1">{"Lait",#N/A,FALSE,"01";"Ninf",#N/A,FALSE,"02";"Csol",#N/A,FALSE,"03";"Aboi",#N/A,FALSE,"04";"choco",#N/A,FALSE,"05";"culin",#N/A,FALSE,"06";"surgelé",#N/A,FALSE,"07";"glace",#N/A,FALSE,"08";"reflait",#N/A,FALSE,"09";"boisliqu",#N/A,FALSE,"10";"rest",#N/A,FALSE,"11";"Oreal",#N/A,FALSE,"12";"pet",#N/A,FALSE,"14";"pharma",#N/A,FALSE,"13";"nutad",#N/A,FALSE,"15";"caftorr",#N/A,FALSE,"17";"refcul",#N/A,FALSE,"18";"annexe",#N/A,FALSE,"19"}</definedName>
    <definedName name="annex10" localSheetId="6">#REF!</definedName>
    <definedName name="annex10" localSheetId="0">#REF!</definedName>
    <definedName name="annex10">#REF!</definedName>
    <definedName name="annex20" localSheetId="6">#REF!</definedName>
    <definedName name="annex20" localSheetId="0">#REF!</definedName>
    <definedName name="annex20">#REF!</definedName>
    <definedName name="anscount" hidden="1">2</definedName>
    <definedName name="APG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PG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PG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rea1" localSheetId="6">#REF!</definedName>
    <definedName name="Area1" localSheetId="0">#REF!</definedName>
    <definedName name="Area1">#REF!</definedName>
    <definedName name="as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s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s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SAsSDAs" localSheetId="6">#REF!</definedName>
    <definedName name="aSAsSDAs" localSheetId="0">#REF!</definedName>
    <definedName name="aSAsSDAs">#REF!</definedName>
    <definedName name="Assumptiona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ssumptiona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ssumptiona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attendance" localSheetId="6">#REF!</definedName>
    <definedName name="attendance" localSheetId="0">#REF!</definedName>
    <definedName name="attendance">#REF!</definedName>
    <definedName name="B" localSheetId="6">#REF!</definedName>
    <definedName name="B" localSheetId="0">#REF!</definedName>
    <definedName name="B">#REF!</definedName>
    <definedName name="BASE25" localSheetId="6">#REF!</definedName>
    <definedName name="BASE25" localSheetId="0">#REF!</definedName>
    <definedName name="BASE25">#REF!</definedName>
    <definedName name="BASE40" localSheetId="6">#REF!</definedName>
    <definedName name="BASE40" localSheetId="0">#REF!</definedName>
    <definedName name="BASE40">#REF!</definedName>
    <definedName name="bd2extrevap" localSheetId="6">#REF!</definedName>
    <definedName name="bd2extrevap" localSheetId="0">#REF!</definedName>
    <definedName name="bd2extrevap">#REF!</definedName>
    <definedName name="bd3extrevap" localSheetId="6">#REF!</definedName>
    <definedName name="bd3extrevap" localSheetId="0">#REF!</definedName>
    <definedName name="bd3extrevap">#REF!</definedName>
    <definedName name="bd3fa" localSheetId="6">#REF!</definedName>
    <definedName name="bd3fa" localSheetId="0">#REF!</definedName>
    <definedName name="bd3fa">#REF!</definedName>
    <definedName name="bdextrevap" localSheetId="6">#REF!</definedName>
    <definedName name="bdextrevap" localSheetId="0">#REF!</definedName>
    <definedName name="bdextrevap">#REF!</definedName>
    <definedName name="bdsel" localSheetId="6">#REF!</definedName>
    <definedName name="bdsel" localSheetId="0">#REF!</definedName>
    <definedName name="bdsel">#REF!</definedName>
    <definedName name="COEFCONDITION" localSheetId="6">#REF!</definedName>
    <definedName name="COEFCONDITION" localSheetId="0">#REF!</definedName>
    <definedName name="COEFCONDITION">#REF!</definedName>
    <definedName name="COEFCUISSON" localSheetId="6">#REF!</definedName>
    <definedName name="COEFCUISSON" localSheetId="0">#REF!</definedName>
    <definedName name="COEFCUISSON">#REF!</definedName>
    <definedName name="cpy" localSheetId="6" hidden="1">{"Area 1-5",#N/A,FALSE,"Synthesis";"Area 6-8",#N/A,FALSE,"Synthesis"}</definedName>
    <definedName name="cpy" localSheetId="0" hidden="1">{"Area 1-5",#N/A,FALSE,"Synthesis";"Area 6-8",#N/A,FALSE,"Synthesis"}</definedName>
    <definedName name="cpy" hidden="1">{"Area 1-5",#N/A,FALSE,"Synthesis";"Area 6-8",#N/A,FALSE,"Synthesis"}</definedName>
    <definedName name="d" localSheetId="6">#REF!</definedName>
    <definedName name="d" localSheetId="0">#REF!</definedName>
    <definedName name="d">#REF!</definedName>
    <definedName name="DESIGNATION" localSheetId="6">#REF!</definedName>
    <definedName name="DESIGNATION" localSheetId="0">#REF!</definedName>
    <definedName name="DESIGNATION">#REF!</definedName>
    <definedName name="df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df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df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Dosing_types" localSheetId="6">#REF!</definedName>
    <definedName name="Dosing_types" localSheetId="0">#REF!</definedName>
    <definedName name="Dosing_types">#REF!</definedName>
    <definedName name="douala" localSheetId="6" hidden="1">{"Lait",#N/A,FALSE,"01";"Ninf",#N/A,FALSE,"02";"Csol",#N/A,FALSE,"03";"Aboi",#N/A,FALSE,"04";"choco",#N/A,FALSE,"05";"culin",#N/A,FALSE,"06";"surgelé",#N/A,FALSE,"07";"glace",#N/A,FALSE,"08";"reflait",#N/A,FALSE,"09";"boisliqu",#N/A,FALSE,"10";"rest",#N/A,FALSE,"11";"Oreal",#N/A,FALSE,"12";"pet",#N/A,FALSE,"14";"pharma",#N/A,FALSE,"13";"nutad",#N/A,FALSE,"15";"caftorr",#N/A,FALSE,"17";"refcul",#N/A,FALSE,"18";"annexe",#N/A,FALSE,"19"}</definedName>
    <definedName name="douala" localSheetId="0" hidden="1">{"Lait",#N/A,FALSE,"01";"Ninf",#N/A,FALSE,"02";"Csol",#N/A,FALSE,"03";"Aboi",#N/A,FALSE,"04";"choco",#N/A,FALSE,"05";"culin",#N/A,FALSE,"06";"surgelé",#N/A,FALSE,"07";"glace",#N/A,FALSE,"08";"reflait",#N/A,FALSE,"09";"boisliqu",#N/A,FALSE,"10";"rest",#N/A,FALSE,"11";"Oreal",#N/A,FALSE,"12";"pet",#N/A,FALSE,"14";"pharma",#N/A,FALSE,"13";"nutad",#N/A,FALSE,"15";"caftorr",#N/A,FALSE,"17";"refcul",#N/A,FALSE,"18";"annexe",#N/A,FALSE,"19"}</definedName>
    <definedName name="douala" hidden="1">{"Lait",#N/A,FALSE,"01";"Ninf",#N/A,FALSE,"02";"Csol",#N/A,FALSE,"03";"Aboi",#N/A,FALSE,"04";"choco",#N/A,FALSE,"05";"culin",#N/A,FALSE,"06";"surgelé",#N/A,FALSE,"07";"glace",#N/A,FALSE,"08";"reflait",#N/A,FALSE,"09";"boisliqu",#N/A,FALSE,"10";"rest",#N/A,FALSE,"11";"Oreal",#N/A,FALSE,"12";"pet",#N/A,FALSE,"14";"pharma",#N/A,FALSE,"13";"nutad",#N/A,FALSE,"15";"caftorr",#N/A,FALSE,"17";"refcul",#N/A,FALSE,"18";"annexe",#N/A,FALSE,"19"}</definedName>
    <definedName name="dsdsad" localSheetId="6" hidden="1">{"Area 1-5",#N/A,FALSE,"Synthesis";"Area 6-8",#N/A,FALSE,"Synthesis"}</definedName>
    <definedName name="dsdsad" localSheetId="0" hidden="1">{"Area 1-5",#N/A,FALSE,"Synthesis";"Area 6-8",#N/A,FALSE,"Synthesis"}</definedName>
    <definedName name="dsdsad" hidden="1">{"Area 1-5",#N/A,FALSE,"Synthesis";"Area 6-8",#N/A,FALSE,"Synthesis"}</definedName>
    <definedName name="dsfkhasgs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dsfkhasgs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dsfkhasgs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edsa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edsa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edsa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edujardo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edujardo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edujardo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eed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eed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eed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eferf" localSheetId="6">#REF!</definedName>
    <definedName name="eferf" localSheetId="0">#REF!</definedName>
    <definedName name="eferf">#REF!</definedName>
    <definedName name="EG" localSheetId="6">#REF!</definedName>
    <definedName name="EG" localSheetId="0">#REF!</definedName>
    <definedName name="EG">#REF!</definedName>
    <definedName name="ehehed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ehehed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ehehed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eref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eref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eref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f" localSheetId="6" hidden="1">{"Area 1-5",#N/A,FALSE,"Synthesis";"Area 6-8",#N/A,FALSE,"Synthesis"}</definedName>
    <definedName name="f" localSheetId="0" hidden="1">{"Area 1-5",#N/A,FALSE,"Synthesis";"Area 6-8",#N/A,FALSE,"Synthesis"}</definedName>
    <definedName name="f" hidden="1">{"Area 1-5",#N/A,FALSE,"Synthesis";"Area 6-8",#N/A,FALSE,"Synthesis"}</definedName>
    <definedName name="ferf" localSheetId="6">#REF!</definedName>
    <definedName name="ferf" localSheetId="0">#REF!</definedName>
    <definedName name="ferf">#REF!</definedName>
    <definedName name="ff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ff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ff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ffffgfgfggdgdfg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ffffgfgfggdgdfg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ffffgfgfggdgdfg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First_Row">1</definedName>
    <definedName name="frefrewfref" localSheetId="6">#REF!</definedName>
    <definedName name="frefrewfref" localSheetId="0">#REF!</definedName>
    <definedName name="frefrewfref">#REF!</definedName>
    <definedName name="Gegevensverzameling2" localSheetId="6" hidden="1">{"Area 1-5",#N/A,FALSE,"Synthesis";"Area 6-8",#N/A,FALSE,"Synthesis"}</definedName>
    <definedName name="Gegevensverzameling2" localSheetId="0" hidden="1">{"Area 1-5",#N/A,FALSE,"Synthesis";"Area 6-8",#N/A,FALSE,"Synthesis"}</definedName>
    <definedName name="Gegevensverzameling2" hidden="1">{"Area 1-5",#N/A,FALSE,"Synthesis";"Area 6-8",#N/A,FALSE,"Synthesis"}</definedName>
    <definedName name="gereed" localSheetId="6">#REF!</definedName>
    <definedName name="gereed" localSheetId="0">#REF!</definedName>
    <definedName name="gereed">#REF!</definedName>
    <definedName name="gggggggggg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gggggggggg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gggggggggg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gjjjjjjjhjhhjg" localSheetId="6" hidden="1">{"Area 1-5",#N/A,FALSE,"Synthesis";"Area 6-8",#N/A,FALSE,"Synthesis"}</definedName>
    <definedName name="gjjjjjjjhjhhjg" localSheetId="0" hidden="1">{"Area 1-5",#N/A,FALSE,"Synthesis";"Area 6-8",#N/A,FALSE,"Synthesis"}</definedName>
    <definedName name="gjjjjjjjhjhhjg" hidden="1">{"Area 1-5",#N/A,FALSE,"Synthesis";"Area 6-8",#N/A,FALSE,"Synthesis"}</definedName>
    <definedName name="glo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glo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glo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Group_1" localSheetId="6">#REF!</definedName>
    <definedName name="Group_1" localSheetId="0">#REF!</definedName>
    <definedName name="Group_1">#REF!</definedName>
    <definedName name="hallo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hallo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hallo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Head">"Y"</definedName>
    <definedName name="HTML_CodePage" hidden="1">1252</definedName>
    <definedName name="HTML_Control" localSheetId="6" hidden="1">{"'RR'!$A$2:$E$81"}</definedName>
    <definedName name="HTML_Control" localSheetId="0" hidden="1">{"'RR'!$A$2:$E$81"}</definedName>
    <definedName name="HTML_Control" hidden="1">{"'RR'!$A$2:$E$81"}</definedName>
    <definedName name="HTML_Description" hidden="1">""</definedName>
    <definedName name="HTML_Email" hidden="1">""</definedName>
    <definedName name="HTML_Header" hidden="1">"RR"</definedName>
    <definedName name="HTML_LastUpdate" hidden="1">"11/10/99"</definedName>
    <definedName name="HTML_LineAfter" hidden="1">FALSE</definedName>
    <definedName name="HTML_LineBefore" hidden="1">FALSE</definedName>
    <definedName name="HTML_Name" hidden="1">"Departamento de Informática"</definedName>
    <definedName name="HTML_OBDlg2" hidden="1">TRUE</definedName>
    <definedName name="HTML_OBDlg4" hidden="1">TRUE</definedName>
    <definedName name="HTML_OS" hidden="1">0</definedName>
    <definedName name="HTML_PathFile" hidden="1">"C:\Intranet\Todos os Indicadores\MeuHTML.htm"</definedName>
    <definedName name="HTML_Title" hidden="1">"Regional 4 SET99"</definedName>
    <definedName name="info" localSheetId="6">#REF!</definedName>
    <definedName name="info" localSheetId="0">#REF!</definedName>
    <definedName name="info">#REF!</definedName>
    <definedName name="jh" localSheetId="6" hidden="1">{"Area 1-5",#N/A,FALSE,"Synthesis";"Area 6-8",#N/A,FALSE,"Synthesis"}</definedName>
    <definedName name="jh" localSheetId="0" hidden="1">{"Area 1-5",#N/A,FALSE,"Synthesis";"Area 6-8",#N/A,FALSE,"Synthesis"}</definedName>
    <definedName name="jh" hidden="1">{"Area 1-5",#N/A,FALSE,"Synthesis";"Area 6-8",#N/A,FALSE,"Synthesis"}</definedName>
    <definedName name="k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k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k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klaar" localSheetId="6">#REF!</definedName>
    <definedName name="klaar" localSheetId="0">#REF!</definedName>
    <definedName name="klaar">#REF!</definedName>
    <definedName name="KPIdata0" localSheetId="6">#REF!</definedName>
    <definedName name="KPIdata0" localSheetId="0">#REF!</definedName>
    <definedName name="KPIdata0">#REF!</definedName>
    <definedName name="KPIdata1" localSheetId="6">#REF!</definedName>
    <definedName name="KPIdata1" localSheetId="0">#REF!</definedName>
    <definedName name="KPIdata1">#REF!</definedName>
    <definedName name="KPIformulas" localSheetId="6">#REF!</definedName>
    <definedName name="KPIformulas" localSheetId="0">#REF!</definedName>
    <definedName name="KPIformulas">#REF!</definedName>
    <definedName name="LABEL" localSheetId="6">#REF!</definedName>
    <definedName name="LABEL" localSheetId="0">#REF!</definedName>
    <definedName name="LABEL">#REF!</definedName>
    <definedName name="LabRate" localSheetId="6">#REF!</definedName>
    <definedName name="LabRate" localSheetId="0">#REF!</definedName>
    <definedName name="LabRate">#REF!</definedName>
    <definedName name="Last_Col">"J"</definedName>
    <definedName name="LastCol" localSheetId="0">COUNTA(#REF!)+1</definedName>
    <definedName name="LastCol">COUNTA(#REF!)+1</definedName>
    <definedName name="LIMCOLONNE1" localSheetId="6">#REF!</definedName>
    <definedName name="LIMCOLONNE1" localSheetId="0">#REF!</definedName>
    <definedName name="LIMCOLONNE1">#REF!</definedName>
    <definedName name="LIMLIGNE1" localSheetId="6">#REF!</definedName>
    <definedName name="LIMLIGNE1" localSheetId="0">#REF!</definedName>
    <definedName name="LIMLIGNE1">#REF!</definedName>
    <definedName name="Methodology" localSheetId="6">#REF!</definedName>
    <definedName name="Methodology" localSheetId="0">#REF!</definedName>
    <definedName name="Methodology">#REF!</definedName>
    <definedName name="MODCONDIT" localSheetId="6">#REF!</definedName>
    <definedName name="MODCONDIT" localSheetId="0">#REF!</definedName>
    <definedName name="MODCONDIT">#REF!</definedName>
    <definedName name="MODCUISSON" localSheetId="6">#REF!</definedName>
    <definedName name="MODCUISSON" localSheetId="0">#REF!</definedName>
    <definedName name="MODCUISSON">#REF!</definedName>
    <definedName name="MODSAUMUR" localSheetId="6">#REF!</definedName>
    <definedName name="MODSAUMUR" localSheetId="0">#REF!</definedName>
    <definedName name="MODSAUMUR">#REF!</definedName>
    <definedName name="nes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nes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nes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new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new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new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nilo" localSheetId="6" hidden="1">{"Lait",#N/A,FALSE,"01";"Ninf",#N/A,FALSE,"02";"Csol",#N/A,FALSE,"03";"Aboi",#N/A,FALSE,"04";"choco",#N/A,FALSE,"05";"culin",#N/A,FALSE,"06";"surgelé",#N/A,FALSE,"07";"glace",#N/A,FALSE,"08";"reflait",#N/A,FALSE,"09";"boisliqu",#N/A,FALSE,"10";"rest",#N/A,FALSE,"11";"Oreal",#N/A,FALSE,"12";"pet",#N/A,FALSE,"14";"pharma",#N/A,FALSE,"13";"nutad",#N/A,FALSE,"15";"caftorr",#N/A,FALSE,"17";"refcul",#N/A,FALSE,"18";"annexe",#N/A,FALSE,"19"}</definedName>
    <definedName name="nilo" localSheetId="0" hidden="1">{"Lait",#N/A,FALSE,"01";"Ninf",#N/A,FALSE,"02";"Csol",#N/A,FALSE,"03";"Aboi",#N/A,FALSE,"04";"choco",#N/A,FALSE,"05";"culin",#N/A,FALSE,"06";"surgelé",#N/A,FALSE,"07";"glace",#N/A,FALSE,"08";"reflait",#N/A,FALSE,"09";"boisliqu",#N/A,FALSE,"10";"rest",#N/A,FALSE,"11";"Oreal",#N/A,FALSE,"12";"pet",#N/A,FALSE,"14";"pharma",#N/A,FALSE,"13";"nutad",#N/A,FALSE,"15";"caftorr",#N/A,FALSE,"17";"refcul",#N/A,FALSE,"18";"annexe",#N/A,FALSE,"19"}</definedName>
    <definedName name="nilo" hidden="1">{"Lait",#N/A,FALSE,"01";"Ninf",#N/A,FALSE,"02";"Csol",#N/A,FALSE,"03";"Aboi",#N/A,FALSE,"04";"choco",#N/A,FALSE,"05";"culin",#N/A,FALSE,"06";"surgelé",#N/A,FALSE,"07";"glace",#N/A,FALSE,"08";"reflait",#N/A,FALSE,"09";"boisliqu",#N/A,FALSE,"10";"rest",#N/A,FALSE,"11";"Oreal",#N/A,FALSE,"12";"pet",#N/A,FALSE,"14";"pharma",#N/A,FALSE,"13";"nutad",#N/A,FALSE,"15";"caftorr",#N/A,FALSE,"17";"refcul",#N/A,FALSE,"18";"annexe",#N/A,FALSE,"19"}</definedName>
    <definedName name="noovovo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noovovo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noovovo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novo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novo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novo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NUEVA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NUEVA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NUEVA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NUMMOIS" localSheetId="6">#REF!</definedName>
    <definedName name="NUMMOIS" localSheetId="0">#REF!</definedName>
    <definedName name="NUMMOIS">#REF!</definedName>
    <definedName name="NvsASD">"V2001-12-31"</definedName>
    <definedName name="NvsAutoDrillOk">"VN"</definedName>
    <definedName name="NvsElapsedTime">0.00128807870351011</definedName>
    <definedName name="NvsEndTime">36969.4292877315</definedName>
    <definedName name="NvsInstSpec">"%,FBU_FILIAL,TENTIDADES,NTMA"</definedName>
    <definedName name="NvsLayoutType">"M3"</definedName>
    <definedName name="NvsPanelEffdt">"V1990-01-01"</definedName>
    <definedName name="NvsPanelSetid">"VMODEL"</definedName>
    <definedName name="NvsReqBU">"VTEL"</definedName>
    <definedName name="NvsReqBUOnly">"VN"</definedName>
    <definedName name="NvsTransLed">"VN"</definedName>
    <definedName name="NvsTreeASD">"V2050-01-01"</definedName>
    <definedName name="NvsValTbl.BUSINESS_UNIT">"BUS_UNIT_TBL_GL"</definedName>
    <definedName name="OPEX" localSheetId="6">#REF!</definedName>
    <definedName name="OPEX" localSheetId="0">#REF!</definedName>
    <definedName name="OPEX">#REF!</definedName>
    <definedName name="opvolging" localSheetId="6">#REF!</definedName>
    <definedName name="opvolging" localSheetId="0">#REF!</definedName>
    <definedName name="opvolging">#REF!</definedName>
    <definedName name="oss" localSheetId="6">#REF!</definedName>
    <definedName name="oss" localSheetId="0">#REF!</definedName>
    <definedName name="oss">#REF!</definedName>
    <definedName name="p" localSheetId="6">#REF!</definedName>
    <definedName name="p" localSheetId="0">#REF!</definedName>
    <definedName name="p">#REF!</definedName>
    <definedName name="PERIODE" localSheetId="6">#REF!</definedName>
    <definedName name="PERIODE" localSheetId="0">#REF!</definedName>
    <definedName name="PERIODE">#REF!</definedName>
    <definedName name="plpl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plpl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plpl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ppt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ppt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ppt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PRIMA" localSheetId="6">#REF!</definedName>
    <definedName name="PRIMA" localSheetId="0">#REF!</definedName>
    <definedName name="PRIMA">#REF!</definedName>
    <definedName name="PrintArea_SET" localSheetId="6">OFFSET(#REF!,,,MATCH(REPT("z",255),#REF!),LastCol)</definedName>
    <definedName name="PrintArea_SET" localSheetId="0">OFFSET(#REF!,,,MATCH(REPT("z",255),#REF!),'Data '!LastCol)</definedName>
    <definedName name="PrintArea_SET">OFFSET(#REF!,,,MATCH(REPT("z",255),#REF!),LastCol)</definedName>
    <definedName name="Prio" localSheetId="6">#REF!</definedName>
    <definedName name="Prio" localSheetId="0">#REF!</definedName>
    <definedName name="Prio">#REF!</definedName>
    <definedName name="prioanal" localSheetId="6" hidden="1">{"Area 1-5",#N/A,FALSE,"Synthesis";"Area 6-8",#N/A,FALSE,"Synthesis"}</definedName>
    <definedName name="prioanal" localSheetId="0" hidden="1">{"Area 1-5",#N/A,FALSE,"Synthesis";"Area 6-8",#N/A,FALSE,"Synthesis"}</definedName>
    <definedName name="prioanal" hidden="1">{"Area 1-5",#N/A,FALSE,"Synthesis";"Area 6-8",#N/A,FALSE,"Synthesis"}</definedName>
    <definedName name="project" localSheetId="6">#REF!</definedName>
    <definedName name="project" localSheetId="0">#REF!</definedName>
    <definedName name="project">#REF!</definedName>
    <definedName name="projekt" localSheetId="6">#REF!</definedName>
    <definedName name="projekt" localSheetId="0">#REF!</definedName>
    <definedName name="projekt">#REF!</definedName>
    <definedName name="projektname" localSheetId="6">#REF!</definedName>
    <definedName name="projektname" localSheetId="0">#REF!</definedName>
    <definedName name="projektname">#REF!</definedName>
    <definedName name="q" localSheetId="6" hidden="1">{"Lait",#N/A,FALSE,"01";"Ninf",#N/A,FALSE,"02";"Csol",#N/A,FALSE,"03";"Aboi",#N/A,FALSE,"04";"choco",#N/A,FALSE,"05";"culin",#N/A,FALSE,"06";"surgelé",#N/A,FALSE,"07";"glace",#N/A,FALSE,"08";"reflait",#N/A,FALSE,"09";"boisliqu",#N/A,FALSE,"10";"rest",#N/A,FALSE,"11";"Oreal",#N/A,FALSE,"12";"pet",#N/A,FALSE,"14";"pharma",#N/A,FALSE,"13";"nutad",#N/A,FALSE,"15";"caftorr",#N/A,FALSE,"17";"refcul",#N/A,FALSE,"18";"annexe",#N/A,FALSE,"19"}</definedName>
    <definedName name="q" localSheetId="0" hidden="1">{"Lait",#N/A,FALSE,"01";"Ninf",#N/A,FALSE,"02";"Csol",#N/A,FALSE,"03";"Aboi",#N/A,FALSE,"04";"choco",#N/A,FALSE,"05";"culin",#N/A,FALSE,"06";"surgelé",#N/A,FALSE,"07";"glace",#N/A,FALSE,"08";"reflait",#N/A,FALSE,"09";"boisliqu",#N/A,FALSE,"10";"rest",#N/A,FALSE,"11";"Oreal",#N/A,FALSE,"12";"pet",#N/A,FALSE,"14";"pharma",#N/A,FALSE,"13";"nutad",#N/A,FALSE,"15";"caftorr",#N/A,FALSE,"17";"refcul",#N/A,FALSE,"18";"annexe",#N/A,FALSE,"19"}</definedName>
    <definedName name="q" hidden="1">{"Lait",#N/A,FALSE,"01";"Ninf",#N/A,FALSE,"02";"Csol",#N/A,FALSE,"03";"Aboi",#N/A,FALSE,"04";"choco",#N/A,FALSE,"05";"culin",#N/A,FALSE,"06";"surgelé",#N/A,FALSE,"07";"glace",#N/A,FALSE,"08";"reflait",#N/A,FALSE,"09";"boisliqu",#N/A,FALSE,"10";"rest",#N/A,FALSE,"11";"Oreal",#N/A,FALSE,"12";"pet",#N/A,FALSE,"14";"pharma",#N/A,FALSE,"13";"nutad",#N/A,FALSE,"15";"caftorr",#N/A,FALSE,"17";"refcul",#N/A,FALSE,"18";"annexe",#N/A,FALSE,"19"}</definedName>
    <definedName name="qqq" localSheetId="6">#REF!</definedName>
    <definedName name="qqq" localSheetId="0">#REF!</definedName>
    <definedName name="qqq">#REF!</definedName>
    <definedName name="QTSAUMUR" localSheetId="6">#REF!</definedName>
    <definedName name="QTSAUMUR" localSheetId="0">#REF!</definedName>
    <definedName name="QTSAUMUR">#REF!</definedName>
    <definedName name="QTSEL" localSheetId="6">#REF!</definedName>
    <definedName name="QTSEL" localSheetId="0">#REF!</definedName>
    <definedName name="QTSEL">#REF!</definedName>
    <definedName name="qw" localSheetId="6">#REF!</definedName>
    <definedName name="qw" localSheetId="0">#REF!</definedName>
    <definedName name="qw">#REF!</definedName>
    <definedName name="qwqw" localSheetId="6">#REF!</definedName>
    <definedName name="qwqw" localSheetId="0">#REF!</definedName>
    <definedName name="qwqw">#REF!</definedName>
    <definedName name="REVALO" localSheetId="6">#REF!</definedName>
    <definedName name="REVALO" localSheetId="0">#REF!</definedName>
    <definedName name="REVALO">#REF!</definedName>
    <definedName name="SAPBEXrevision" hidden="1">1</definedName>
    <definedName name="SAPBEXsysID" hidden="1">"EA4"</definedName>
    <definedName name="SAPBEXwbID" hidden="1">"3RWP91KANGATV4PX55OU6AI75"</definedName>
    <definedName name="Sheet2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Sheet2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Sheet2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SIR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SIR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SIR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sp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sp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sp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T_expenses" localSheetId="6">#REF!</definedName>
    <definedName name="T_expenses" localSheetId="0">#REF!</definedName>
    <definedName name="T_expenses">#REF!</definedName>
    <definedName name="TeamAt" localSheetId="6">#REF!</definedName>
    <definedName name="TeamAt" localSheetId="0">#REF!</definedName>
    <definedName name="TeamAt">#REF!</definedName>
    <definedName name="teamname" localSheetId="6">#REF!</definedName>
    <definedName name="teamname" localSheetId="0">#REF!</definedName>
    <definedName name="teamname">#REF!</definedName>
    <definedName name="test" localSheetId="6">#REF!</definedName>
    <definedName name="test" localSheetId="0">#REF!</definedName>
    <definedName name="test">#REF!</definedName>
    <definedName name="TESTHKEY" localSheetId="6">#REF!</definedName>
    <definedName name="TESTHKEY" localSheetId="0">#REF!</definedName>
    <definedName name="TESTHKEY">#REF!</definedName>
    <definedName name="testing" localSheetId="6">#REF!</definedName>
    <definedName name="testing" localSheetId="0">#REF!</definedName>
    <definedName name="testing">#REF!</definedName>
    <definedName name="TESTVKEY" localSheetId="6">#REF!</definedName>
    <definedName name="TESTVKEY" localSheetId="0">#REF!</definedName>
    <definedName name="TESTVKEY">#REF!</definedName>
    <definedName name="Tinshop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Tinshop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Tinshop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TITRE" localSheetId="6">#REF!</definedName>
    <definedName name="TITRE" localSheetId="0">#REF!</definedName>
    <definedName name="TITRE">#REF!</definedName>
    <definedName name="Total_Lab_Impact" localSheetId="6">#REF!</definedName>
    <definedName name="Total_Lab_Impact" localSheetId="0">#REF!</definedName>
    <definedName name="Total_Lab_Impact">#REF!</definedName>
    <definedName name="update" localSheetId="6">#REF!</definedName>
    <definedName name="update" localSheetId="0">#REF!</definedName>
    <definedName name="update">#REF!</definedName>
    <definedName name="UpdateDate" localSheetId="6">#REF!</definedName>
    <definedName name="UpdateDate" localSheetId="0">#REF!</definedName>
    <definedName name="UpdateDate">#REF!</definedName>
    <definedName name="v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v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v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valuevx">42.314159</definedName>
    <definedName name="vites" localSheetId="6">#REF!</definedName>
    <definedName name="vites" localSheetId="0">#REF!</definedName>
    <definedName name="vites">#REF!</definedName>
    <definedName name="VITKSX" localSheetId="6">#REF!</definedName>
    <definedName name="VITKSX" localSheetId="0">#REF!</definedName>
    <definedName name="VITKSX">#REF!</definedName>
    <definedName name="VITPOL" localSheetId="6">#REF!</definedName>
    <definedName name="VITPOL" localSheetId="0">#REF!</definedName>
    <definedName name="VITPOL">#REF!</definedName>
    <definedName name="vordering" localSheetId="6">#REF!</definedName>
    <definedName name="vordering" localSheetId="0">#REF!</definedName>
    <definedName name="vordering">#REF!</definedName>
    <definedName name="w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w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w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wanneer" localSheetId="6">#REF!</definedName>
    <definedName name="wanneer" localSheetId="0">#REF!</definedName>
    <definedName name="wanneer">#REF!</definedName>
    <definedName name="wat" localSheetId="6">#REF!</definedName>
    <definedName name="wat" localSheetId="0">#REF!</definedName>
    <definedName name="wat">#REF!</definedName>
    <definedName name="wed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wed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wed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wie" localSheetId="6">#REF!</definedName>
    <definedName name="wie" localSheetId="0">#REF!</definedName>
    <definedName name="wie">#REF!</definedName>
    <definedName name="wrn.Classif." localSheetId="6" hidden="1">{"Lait",#N/A,FALSE,"01";"Ninf",#N/A,FALSE,"02";"Csol",#N/A,FALSE,"03";"Aboi",#N/A,FALSE,"04";"choco",#N/A,FALSE,"05";"culin",#N/A,FALSE,"06";"surgelé",#N/A,FALSE,"07";"glace",#N/A,FALSE,"08";"reflait",#N/A,FALSE,"09";"boisliqu",#N/A,FALSE,"10";"rest",#N/A,FALSE,"11";"Oreal",#N/A,FALSE,"12";"pet",#N/A,FALSE,"14";"pharma",#N/A,FALSE,"13";"nutad",#N/A,FALSE,"15";"caftorr",#N/A,FALSE,"17";"refcul",#N/A,FALSE,"18";"annexe",#N/A,FALSE,"19"}</definedName>
    <definedName name="wrn.Classif." localSheetId="0" hidden="1">{"Lait",#N/A,FALSE,"01";"Ninf",#N/A,FALSE,"02";"Csol",#N/A,FALSE,"03";"Aboi",#N/A,FALSE,"04";"choco",#N/A,FALSE,"05";"culin",#N/A,FALSE,"06";"surgelé",#N/A,FALSE,"07";"glace",#N/A,FALSE,"08";"reflait",#N/A,FALSE,"09";"boisliqu",#N/A,FALSE,"10";"rest",#N/A,FALSE,"11";"Oreal",#N/A,FALSE,"12";"pet",#N/A,FALSE,"14";"pharma",#N/A,FALSE,"13";"nutad",#N/A,FALSE,"15";"caftorr",#N/A,FALSE,"17";"refcul",#N/A,FALSE,"18";"annexe",#N/A,FALSE,"19"}</definedName>
    <definedName name="wrn.Classif." hidden="1">{"Lait",#N/A,FALSE,"01";"Ninf",#N/A,FALSE,"02";"Csol",#N/A,FALSE,"03";"Aboi",#N/A,FALSE,"04";"choco",#N/A,FALSE,"05";"culin",#N/A,FALSE,"06";"surgelé",#N/A,FALSE,"07";"glace",#N/A,FALSE,"08";"reflait",#N/A,FALSE,"09";"boisliqu",#N/A,FALSE,"10";"rest",#N/A,FALSE,"11";"Oreal",#N/A,FALSE,"12";"pet",#N/A,FALSE,"14";"pharma",#N/A,FALSE,"13";"nutad",#N/A,FALSE,"15";"caftorr",#N/A,FALSE,"17";"refcul",#N/A,FALSE,"18";"annexe",#N/A,FALSE,"19"}</definedName>
    <definedName name="wrn.novgl.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wrn.novgl.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wrn.novgl.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wrn.Synthesis." localSheetId="6" hidden="1">{"Area 1-5",#N/A,FALSE,"Synthesis";"Area 6-8",#N/A,FALSE,"Synthesis"}</definedName>
    <definedName name="wrn.Synthesis." localSheetId="0" hidden="1">{"Area 1-5",#N/A,FALSE,"Synthesis";"Area 6-8",#N/A,FALSE,"Synthesis"}</definedName>
    <definedName name="wrn.Synthesis." hidden="1">{"Area 1-5",#N/A,FALSE,"Synthesis";"Area 6-8",#N/A,FALSE,"Synthesis"}</definedName>
    <definedName name="wwer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wwer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wwer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www" localSheetId="6">#REF!</definedName>
    <definedName name="www" localSheetId="0">#REF!</definedName>
    <definedName name="www">#REF!</definedName>
    <definedName name="wwww" localSheetId="6">#REF!</definedName>
    <definedName name="wwww" localSheetId="0">#REF!</definedName>
    <definedName name="wwww">#REF!</definedName>
    <definedName name="XX3958C" localSheetId="6">#REF!</definedName>
    <definedName name="XX3958C" localSheetId="0">#REF!</definedName>
    <definedName name="XX3958C">#REF!</definedName>
    <definedName name="year" localSheetId="6">#REF!</definedName>
    <definedName name="year" localSheetId="0">#REF!</definedName>
    <definedName name="year">#REF!</definedName>
    <definedName name="yop" localSheetId="6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yop" localSheetId="0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yop" hidden="1">{"glinput",#N/A,FALSE,"NOVGL";"page2",#N/A,FALSE,"NOVGL";"veveypl",#N/A,FALSE,"NOVGL";"compl",#N/A,FALSE,"NOVGL";"asset",#N/A,FALSE,"NOVGL";"liab",#N/A,FALSE,"NOVGL";"assetgl",#N/A,FALSE,"NOVGL";"liabgl",#N/A,FALSE,"NOVGL";"balast",#N/A,FALSE,"NOVGL";"ballib",#N/A,FALSE,"NOVGL"}</definedName>
    <definedName name="ziextrevap" localSheetId="6">#REF!</definedName>
    <definedName name="ziextrevap" localSheetId="0">#REF!</definedName>
    <definedName name="ziextrevap">#REF!</definedName>
    <definedName name="zitblx" localSheetId="6">#REF!</definedName>
    <definedName name="zitblx" localSheetId="0">#REF!</definedName>
    <definedName name="zitbl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117" i="1" l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M19" i="13"/>
  <c r="O20" i="13"/>
  <c r="M20" i="13"/>
  <c r="O38" i="13"/>
  <c r="M6" i="13"/>
  <c r="L54" i="13"/>
  <c r="J54" i="13"/>
  <c r="H54" i="13"/>
  <c r="E54" i="13"/>
  <c r="D54" i="13"/>
  <c r="O52" i="13"/>
  <c r="N52" i="13"/>
  <c r="M52" i="13"/>
  <c r="L52" i="13"/>
  <c r="K52" i="13"/>
  <c r="J52" i="13"/>
  <c r="I52" i="13"/>
  <c r="H52" i="13"/>
  <c r="G52" i="13"/>
  <c r="F52" i="13"/>
  <c r="E52" i="13"/>
  <c r="D52" i="13"/>
  <c r="O51" i="13"/>
  <c r="N51" i="13"/>
  <c r="M51" i="13"/>
  <c r="K51" i="13"/>
  <c r="I51" i="13"/>
  <c r="H51" i="13"/>
  <c r="G51" i="13"/>
  <c r="F51" i="13"/>
  <c r="E51" i="13"/>
  <c r="D51" i="13"/>
  <c r="O50" i="13"/>
  <c r="N50" i="13"/>
  <c r="M50" i="13"/>
  <c r="L50" i="13"/>
  <c r="K50" i="13"/>
  <c r="J50" i="13"/>
  <c r="I50" i="13"/>
  <c r="H50" i="13"/>
  <c r="G50" i="13"/>
  <c r="F50" i="13"/>
  <c r="E50" i="13"/>
  <c r="D50" i="13"/>
  <c r="O49" i="13"/>
  <c r="M49" i="13"/>
  <c r="L49" i="13"/>
  <c r="K49" i="13"/>
  <c r="H49" i="13"/>
  <c r="G49" i="13"/>
  <c r="F49" i="13"/>
  <c r="E49" i="13"/>
  <c r="O48" i="13"/>
  <c r="M48" i="13"/>
  <c r="K48" i="13"/>
  <c r="H48" i="13"/>
  <c r="G48" i="13"/>
  <c r="F48" i="13"/>
  <c r="E48" i="13"/>
  <c r="P45" i="13"/>
  <c r="O44" i="13"/>
  <c r="N44" i="13"/>
  <c r="M44" i="13"/>
  <c r="O43" i="13"/>
  <c r="N43" i="13"/>
  <c r="M43" i="13"/>
  <c r="O42" i="13"/>
  <c r="N42" i="13"/>
  <c r="M42" i="13"/>
  <c r="O41" i="13"/>
  <c r="N41" i="13"/>
  <c r="M41" i="13"/>
  <c r="O40" i="13"/>
  <c r="N40" i="13"/>
  <c r="M40" i="13"/>
  <c r="O39" i="13"/>
  <c r="N39" i="13"/>
  <c r="M39" i="13"/>
  <c r="N38" i="13"/>
  <c r="L48" i="13" s="1"/>
  <c r="O37" i="13"/>
  <c r="N37" i="13"/>
  <c r="M37" i="13"/>
  <c r="O36" i="13"/>
  <c r="N36" i="13"/>
  <c r="M36" i="13"/>
  <c r="O35" i="13"/>
  <c r="N35" i="13"/>
  <c r="M35" i="13"/>
  <c r="O34" i="13"/>
  <c r="N34" i="13"/>
  <c r="M34" i="13"/>
  <c r="O33" i="13"/>
  <c r="N33" i="13"/>
  <c r="M33" i="13"/>
  <c r="O32" i="13"/>
  <c r="N32" i="13"/>
  <c r="M32" i="13"/>
  <c r="O31" i="13"/>
  <c r="N31" i="13"/>
  <c r="M31" i="13"/>
  <c r="O30" i="13"/>
  <c r="N30" i="13"/>
  <c r="M30" i="13"/>
  <c r="O29" i="13"/>
  <c r="N29" i="13"/>
  <c r="M29" i="13"/>
  <c r="O28" i="13"/>
  <c r="N28" i="13"/>
  <c r="M28" i="13"/>
  <c r="O27" i="13"/>
  <c r="N27" i="13"/>
  <c r="M27" i="13"/>
  <c r="O26" i="13"/>
  <c r="N26" i="13"/>
  <c r="M26" i="13"/>
  <c r="O25" i="13"/>
  <c r="N25" i="13"/>
  <c r="M25" i="13"/>
  <c r="O24" i="13"/>
  <c r="N24" i="13"/>
  <c r="M24" i="13"/>
  <c r="O23" i="13"/>
  <c r="N23" i="13"/>
  <c r="M23" i="13"/>
  <c r="O22" i="13"/>
  <c r="N22" i="13"/>
  <c r="M22" i="13"/>
  <c r="O21" i="13"/>
  <c r="N21" i="13"/>
  <c r="M21" i="13"/>
  <c r="Q20" i="13"/>
  <c r="L51" i="13" s="1"/>
  <c r="O19" i="13"/>
  <c r="N49" i="13" s="1"/>
  <c r="N19" i="13"/>
  <c r="O18" i="13"/>
  <c r="N18" i="13"/>
  <c r="M18" i="13"/>
  <c r="O17" i="13"/>
  <c r="N17" i="13"/>
  <c r="M17" i="13"/>
  <c r="O16" i="13"/>
  <c r="N16" i="13"/>
  <c r="O15" i="13"/>
  <c r="N15" i="13"/>
  <c r="Q14" i="13"/>
  <c r="Q13" i="13"/>
  <c r="N13" i="13"/>
  <c r="N12" i="13"/>
  <c r="Q12" i="13" s="1"/>
  <c r="N11" i="13"/>
  <c r="Q11" i="13" s="1"/>
  <c r="Q10" i="13"/>
  <c r="Q9" i="13"/>
  <c r="Q8" i="13"/>
  <c r="O7" i="13"/>
  <c r="D49" i="13" s="1"/>
  <c r="O6" i="13"/>
  <c r="N6" i="13"/>
  <c r="C2" i="13"/>
  <c r="Q44" i="13" l="1"/>
  <c r="Q28" i="13"/>
  <c r="K53" i="13" s="1"/>
  <c r="Q22" i="13"/>
  <c r="E53" i="13" s="1"/>
  <c r="Q38" i="13"/>
  <c r="J49" i="13"/>
  <c r="Q16" i="13"/>
  <c r="N48" i="13"/>
  <c r="Q25" i="13"/>
  <c r="H53" i="13" s="1"/>
  <c r="H55" i="13" s="1"/>
  <c r="Q33" i="13"/>
  <c r="F54" i="13" s="1"/>
  <c r="Q23" i="13"/>
  <c r="F53" i="13" s="1"/>
  <c r="Q26" i="13"/>
  <c r="I53" i="13" s="1"/>
  <c r="Q34" i="13"/>
  <c r="G54" i="13" s="1"/>
  <c r="Q42" i="13"/>
  <c r="Q36" i="13"/>
  <c r="K54" i="13" s="1"/>
  <c r="Q37" i="13"/>
  <c r="M54" i="13" s="1"/>
  <c r="J48" i="13"/>
  <c r="Q27" i="13"/>
  <c r="J53" i="13" s="1"/>
  <c r="Q40" i="13"/>
  <c r="Q43" i="13"/>
  <c r="Q30" i="13"/>
  <c r="M53" i="13" s="1"/>
  <c r="Q35" i="13"/>
  <c r="M45" i="13"/>
  <c r="Q31" i="13"/>
  <c r="N53" i="13" s="1"/>
  <c r="I48" i="13"/>
  <c r="N45" i="13"/>
  <c r="O45" i="13"/>
  <c r="I49" i="13"/>
  <c r="Q21" i="13"/>
  <c r="D53" i="13" s="1"/>
  <c r="Q29" i="13"/>
  <c r="L53" i="13" s="1"/>
  <c r="L55" i="13" s="1"/>
  <c r="Q41" i="13"/>
  <c r="Q18" i="13"/>
  <c r="Q24" i="13"/>
  <c r="G53" i="13" s="1"/>
  <c r="Q32" i="13"/>
  <c r="O53" i="13" s="1"/>
  <c r="Q39" i="13"/>
  <c r="J51" i="13"/>
  <c r="P50" i="13"/>
  <c r="P52" i="13"/>
  <c r="E55" i="13"/>
  <c r="Q17" i="13"/>
  <c r="Q19" i="13"/>
  <c r="D48" i="13"/>
  <c r="Q15" i="13"/>
  <c r="Q6" i="13"/>
  <c r="Q7" i="13"/>
  <c r="K55" i="13" l="1"/>
  <c r="N54" i="13"/>
  <c r="N55" i="13" s="1"/>
  <c r="P49" i="13"/>
  <c r="F55" i="13"/>
  <c r="J55" i="13"/>
  <c r="I54" i="13"/>
  <c r="O54" i="13"/>
  <c r="O55" i="13" s="1"/>
  <c r="M55" i="13"/>
  <c r="P53" i="13"/>
  <c r="G55" i="13"/>
  <c r="P51" i="13"/>
  <c r="P48" i="13"/>
  <c r="D55" i="13"/>
  <c r="Q45" i="13"/>
  <c r="P54" i="13" l="1"/>
  <c r="I55" i="13"/>
  <c r="P55" i="13" l="1"/>
  <c r="AG117" i="1" l="1"/>
  <c r="AF117" i="1"/>
  <c r="AE117" i="1"/>
  <c r="AD117" i="1"/>
  <c r="AC117" i="1"/>
  <c r="AB117" i="1"/>
  <c r="AA117" i="1"/>
  <c r="Z117" i="1"/>
  <c r="Y117" i="1"/>
  <c r="X117" i="1"/>
  <c r="W117" i="1"/>
  <c r="V117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O56" i="3"/>
  <c r="N56" i="3"/>
  <c r="M56" i="3"/>
  <c r="Q56" i="3" s="1"/>
  <c r="O55" i="3"/>
  <c r="N55" i="3"/>
  <c r="M55" i="3"/>
  <c r="Q55" i="3" s="1"/>
  <c r="O54" i="3"/>
  <c r="N54" i="3"/>
  <c r="M54" i="3"/>
  <c r="Q54" i="3" s="1"/>
  <c r="O53" i="3"/>
  <c r="N53" i="3"/>
  <c r="M53" i="3"/>
  <c r="Q53" i="3" s="1"/>
  <c r="O52" i="3"/>
  <c r="N52" i="3"/>
  <c r="M52" i="3"/>
  <c r="Q52" i="3" s="1"/>
  <c r="O51" i="3"/>
  <c r="N51" i="3"/>
  <c r="M51" i="3"/>
  <c r="Q51" i="3" s="1"/>
  <c r="O50" i="3"/>
  <c r="N50" i="3"/>
  <c r="M50" i="3"/>
  <c r="Q50" i="3" s="1"/>
  <c r="O49" i="3"/>
  <c r="N49" i="3"/>
  <c r="M49" i="3"/>
  <c r="Q49" i="3" s="1"/>
  <c r="O48" i="3"/>
  <c r="N48" i="3"/>
  <c r="M48" i="3"/>
  <c r="Q48" i="3" s="1"/>
  <c r="O47" i="3"/>
  <c r="N47" i="3"/>
  <c r="M47" i="3"/>
  <c r="Q47" i="3" s="1"/>
  <c r="O46" i="3"/>
  <c r="N46" i="3"/>
  <c r="M46" i="3"/>
  <c r="Q46" i="3" s="1"/>
  <c r="O45" i="3"/>
  <c r="N45" i="3"/>
  <c r="M45" i="3"/>
  <c r="Q45" i="3" s="1"/>
  <c r="O44" i="3"/>
  <c r="N44" i="3"/>
  <c r="M44" i="3"/>
  <c r="Q44" i="3" s="1"/>
  <c r="O43" i="3"/>
  <c r="N43" i="3"/>
  <c r="M43" i="3"/>
  <c r="Q43" i="3" s="1"/>
  <c r="O42" i="3"/>
  <c r="N42" i="3"/>
  <c r="M42" i="3"/>
  <c r="Q42" i="3" s="1"/>
  <c r="O41" i="3"/>
  <c r="N41" i="3"/>
  <c r="M41" i="3"/>
  <c r="Q41" i="3" s="1"/>
  <c r="O40" i="3"/>
  <c r="N40" i="3"/>
  <c r="M40" i="3"/>
  <c r="Q40" i="3" s="1"/>
  <c r="O39" i="3"/>
  <c r="N39" i="3"/>
  <c r="M39" i="3"/>
  <c r="Q39" i="3" s="1"/>
  <c r="O38" i="3"/>
  <c r="N38" i="3"/>
  <c r="M38" i="3"/>
  <c r="Q38" i="3" s="1"/>
  <c r="O37" i="3"/>
  <c r="N37" i="3"/>
  <c r="M37" i="3"/>
  <c r="Q37" i="3" s="1"/>
  <c r="O36" i="3"/>
  <c r="N36" i="3"/>
  <c r="M36" i="3"/>
  <c r="Q36" i="3" s="1"/>
  <c r="O35" i="3"/>
  <c r="N35" i="3"/>
  <c r="M35" i="3"/>
  <c r="Q35" i="3" s="1"/>
  <c r="O34" i="3"/>
  <c r="N34" i="3"/>
  <c r="M34" i="3"/>
  <c r="Q34" i="3" s="1"/>
  <c r="O33" i="3"/>
  <c r="N33" i="3"/>
  <c r="M33" i="3"/>
  <c r="Q33" i="3" s="1"/>
  <c r="O32" i="3"/>
  <c r="N32" i="3"/>
  <c r="M32" i="3"/>
  <c r="Q32" i="3" s="1"/>
  <c r="O31" i="3"/>
  <c r="N31" i="3"/>
  <c r="M31" i="3"/>
  <c r="Q31" i="3" s="1"/>
  <c r="O30" i="3"/>
  <c r="N30" i="3"/>
  <c r="M30" i="3"/>
  <c r="Q30" i="3" s="1"/>
  <c r="O29" i="3"/>
  <c r="N29" i="3"/>
  <c r="M29" i="3"/>
  <c r="Q29" i="3" s="1"/>
  <c r="O28" i="3"/>
  <c r="N28" i="3"/>
  <c r="M28" i="3"/>
  <c r="Q28" i="3" s="1"/>
  <c r="O27" i="3"/>
  <c r="N27" i="3"/>
  <c r="M27" i="3"/>
  <c r="Q27" i="3" s="1"/>
  <c r="O26" i="3"/>
  <c r="N26" i="3"/>
  <c r="M26" i="3"/>
  <c r="Q26" i="3" s="1"/>
  <c r="O25" i="3"/>
  <c r="N25" i="3"/>
  <c r="M25" i="3"/>
  <c r="Q25" i="3" s="1"/>
  <c r="O24" i="3"/>
  <c r="N24" i="3"/>
  <c r="M24" i="3"/>
  <c r="Q24" i="3" s="1"/>
  <c r="O23" i="3"/>
  <c r="N23" i="3"/>
  <c r="M23" i="3"/>
  <c r="Q23" i="3" s="1"/>
  <c r="P22" i="3"/>
  <c r="O22" i="3"/>
  <c r="N22" i="3"/>
  <c r="M22" i="3"/>
  <c r="Q22" i="3" s="1"/>
  <c r="O21" i="3"/>
  <c r="N21" i="3"/>
  <c r="M21" i="3"/>
  <c r="Q21" i="3" s="1"/>
  <c r="O20" i="3"/>
  <c r="N20" i="3"/>
  <c r="M20" i="3"/>
  <c r="Q20" i="3" s="1"/>
  <c r="O19" i="3"/>
  <c r="N19" i="3"/>
  <c r="M19" i="3"/>
  <c r="Q19" i="3" s="1"/>
  <c r="N18" i="3"/>
  <c r="Q18" i="3" s="1"/>
  <c r="Q17" i="3"/>
  <c r="N17" i="3"/>
  <c r="N16" i="3"/>
  <c r="Q16" i="3" s="1"/>
  <c r="Q15" i="3"/>
  <c r="Q14" i="3"/>
  <c r="Q13" i="3"/>
  <c r="O12" i="3"/>
  <c r="Q12" i="3" s="1"/>
  <c r="O11" i="3"/>
  <c r="N11" i="3"/>
  <c r="M11" i="3"/>
  <c r="Q11" i="3" s="1"/>
  <c r="O10" i="3"/>
  <c r="N10" i="3"/>
  <c r="M10" i="3"/>
  <c r="Q10" i="3" s="1"/>
  <c r="O9" i="3"/>
  <c r="N9" i="3"/>
  <c r="M9" i="3"/>
  <c r="Q9" i="3" s="1"/>
  <c r="O8" i="3"/>
  <c r="N8" i="3"/>
  <c r="M8" i="3"/>
  <c r="Q8" i="3" s="1"/>
  <c r="O7" i="3"/>
  <c r="N7" i="3"/>
  <c r="M7" i="3"/>
  <c r="Q7" i="3" s="1"/>
  <c r="O6" i="3"/>
  <c r="N6" i="3"/>
  <c r="M6" i="3"/>
  <c r="Q6" i="3" s="1"/>
  <c r="O54" i="12"/>
  <c r="N54" i="12"/>
  <c r="L54" i="12"/>
  <c r="J54" i="12"/>
  <c r="H54" i="12"/>
  <c r="E54" i="12"/>
  <c r="D54" i="12"/>
  <c r="O52" i="12"/>
  <c r="N52" i="12"/>
  <c r="M52" i="12"/>
  <c r="L52" i="12"/>
  <c r="K52" i="12"/>
  <c r="J52" i="12"/>
  <c r="I52" i="12"/>
  <c r="H52" i="12"/>
  <c r="G52" i="12"/>
  <c r="F52" i="12"/>
  <c r="E52" i="12"/>
  <c r="D52" i="12"/>
  <c r="O51" i="12"/>
  <c r="N51" i="12"/>
  <c r="M51" i="12"/>
  <c r="K51" i="12"/>
  <c r="J51" i="12"/>
  <c r="I51" i="12"/>
  <c r="H51" i="12"/>
  <c r="G51" i="12"/>
  <c r="F51" i="12"/>
  <c r="E51" i="12"/>
  <c r="D51" i="12"/>
  <c r="O50" i="12"/>
  <c r="N50" i="12"/>
  <c r="M50" i="12"/>
  <c r="L50" i="12"/>
  <c r="K50" i="12"/>
  <c r="J50" i="12"/>
  <c r="I50" i="12"/>
  <c r="H50" i="12"/>
  <c r="G50" i="12"/>
  <c r="F50" i="12"/>
  <c r="E50" i="12"/>
  <c r="D50" i="12"/>
  <c r="O49" i="12"/>
  <c r="M49" i="12"/>
  <c r="L49" i="12"/>
  <c r="K49" i="12"/>
  <c r="H49" i="12"/>
  <c r="G49" i="12"/>
  <c r="F49" i="12"/>
  <c r="E49" i="12"/>
  <c r="O48" i="12"/>
  <c r="M48" i="12"/>
  <c r="L48" i="12"/>
  <c r="K48" i="12"/>
  <c r="H48" i="12"/>
  <c r="G48" i="12"/>
  <c r="F48" i="12"/>
  <c r="E48" i="12"/>
  <c r="P45" i="12"/>
  <c r="O44" i="12"/>
  <c r="N44" i="12"/>
  <c r="M44" i="12"/>
  <c r="Q44" i="12" s="1"/>
  <c r="O43" i="12"/>
  <c r="N43" i="12"/>
  <c r="M43" i="12"/>
  <c r="O42" i="12"/>
  <c r="N42" i="12"/>
  <c r="M42" i="12"/>
  <c r="O41" i="12"/>
  <c r="N41" i="12"/>
  <c r="M41" i="12"/>
  <c r="O40" i="12"/>
  <c r="N40" i="12"/>
  <c r="M40" i="12"/>
  <c r="O39" i="12"/>
  <c r="N39" i="12"/>
  <c r="M39" i="12"/>
  <c r="O38" i="12"/>
  <c r="N38" i="12"/>
  <c r="M38" i="12"/>
  <c r="Q14" i="12"/>
  <c r="O37" i="12"/>
  <c r="N37" i="12"/>
  <c r="M37" i="12"/>
  <c r="O36" i="12"/>
  <c r="N36" i="12"/>
  <c r="M36" i="12"/>
  <c r="O35" i="12"/>
  <c r="N35" i="12"/>
  <c r="M35" i="12"/>
  <c r="O34" i="12"/>
  <c r="N34" i="12"/>
  <c r="M34" i="12"/>
  <c r="O33" i="12"/>
  <c r="N33" i="12"/>
  <c r="M33" i="12"/>
  <c r="O32" i="12"/>
  <c r="N32" i="12"/>
  <c r="M32" i="12"/>
  <c r="O31" i="12"/>
  <c r="N31" i="12"/>
  <c r="M31" i="12"/>
  <c r="Q31" i="12" s="1"/>
  <c r="N53" i="12" s="1"/>
  <c r="O30" i="12"/>
  <c r="N30" i="12"/>
  <c r="M30" i="12"/>
  <c r="O29" i="12"/>
  <c r="N29" i="12"/>
  <c r="M29" i="12"/>
  <c r="O28" i="12"/>
  <c r="N28" i="12"/>
  <c r="M28" i="12"/>
  <c r="O27" i="12"/>
  <c r="N27" i="12"/>
  <c r="M27" i="12"/>
  <c r="O26" i="12"/>
  <c r="N26" i="12"/>
  <c r="M26" i="12"/>
  <c r="O25" i="12"/>
  <c r="N25" i="12"/>
  <c r="M25" i="12"/>
  <c r="O24" i="12"/>
  <c r="N24" i="12"/>
  <c r="M24" i="12"/>
  <c r="O23" i="12"/>
  <c r="N23" i="12"/>
  <c r="M23" i="12"/>
  <c r="O22" i="12"/>
  <c r="N22" i="12"/>
  <c r="M22" i="12"/>
  <c r="O21" i="12"/>
  <c r="N21" i="12"/>
  <c r="M21" i="12"/>
  <c r="O20" i="12"/>
  <c r="Q13" i="12"/>
  <c r="N13" i="12"/>
  <c r="N12" i="12"/>
  <c r="Q12" i="12" s="1"/>
  <c r="N11" i="12"/>
  <c r="Q11" i="12" s="1"/>
  <c r="Q10" i="12"/>
  <c r="Q9" i="12"/>
  <c r="Q8" i="12"/>
  <c r="Q7" i="12"/>
  <c r="O7" i="12"/>
  <c r="D49" i="12" s="1"/>
  <c r="O6" i="12"/>
  <c r="N6" i="12"/>
  <c r="M6" i="12"/>
  <c r="O19" i="12"/>
  <c r="N49" i="12" s="1"/>
  <c r="N19" i="12"/>
  <c r="M19" i="12"/>
  <c r="O18" i="12"/>
  <c r="N18" i="12"/>
  <c r="M18" i="12"/>
  <c r="O17" i="12"/>
  <c r="N17" i="12"/>
  <c r="M17" i="12"/>
  <c r="O16" i="12"/>
  <c r="N16" i="12"/>
  <c r="J48" i="12" s="1"/>
  <c r="O15" i="12"/>
  <c r="N15" i="12"/>
  <c r="C2" i="12"/>
  <c r="O62" i="3"/>
  <c r="N62" i="3"/>
  <c r="M62" i="3"/>
  <c r="O61" i="3"/>
  <c r="N61" i="3"/>
  <c r="M61" i="3"/>
  <c r="Q61" i="3" s="1"/>
  <c r="O60" i="3"/>
  <c r="N60" i="3"/>
  <c r="M60" i="3"/>
  <c r="O59" i="3"/>
  <c r="N59" i="3"/>
  <c r="M59" i="3"/>
  <c r="Q59" i="3" s="1"/>
  <c r="O58" i="3"/>
  <c r="N58" i="3"/>
  <c r="M58" i="3"/>
  <c r="O57" i="3"/>
  <c r="N57" i="3"/>
  <c r="M57" i="3"/>
  <c r="C62" i="3"/>
  <c r="Q26" i="12" l="1"/>
  <c r="I53" i="12" s="1"/>
  <c r="M45" i="12"/>
  <c r="Q27" i="12"/>
  <c r="J53" i="12" s="1"/>
  <c r="Q35" i="12"/>
  <c r="I54" i="12" s="1"/>
  <c r="Q23" i="12"/>
  <c r="F53" i="12" s="1"/>
  <c r="Q41" i="12"/>
  <c r="Q42" i="12"/>
  <c r="I49" i="12"/>
  <c r="Q24" i="12"/>
  <c r="G53" i="12" s="1"/>
  <c r="Q20" i="12"/>
  <c r="L51" i="12" s="1"/>
  <c r="Q28" i="12"/>
  <c r="K53" i="12" s="1"/>
  <c r="Q33" i="12"/>
  <c r="F54" i="12" s="1"/>
  <c r="Q36" i="12"/>
  <c r="K54" i="12" s="1"/>
  <c r="Q29" i="12"/>
  <c r="L53" i="12" s="1"/>
  <c r="Q37" i="12"/>
  <c r="M54" i="12" s="1"/>
  <c r="Q39" i="12"/>
  <c r="Q32" i="12"/>
  <c r="O53" i="12" s="1"/>
  <c r="O55" i="12" s="1"/>
  <c r="Q30" i="12"/>
  <c r="M53" i="12" s="1"/>
  <c r="Q25" i="12"/>
  <c r="H53" i="12" s="1"/>
  <c r="H55" i="12" s="1"/>
  <c r="Q6" i="12"/>
  <c r="N45" i="12"/>
  <c r="Q22" i="12"/>
  <c r="E53" i="12" s="1"/>
  <c r="E55" i="12" s="1"/>
  <c r="Q38" i="12"/>
  <c r="Q43" i="12"/>
  <c r="O45" i="12"/>
  <c r="Q18" i="12"/>
  <c r="Q16" i="12"/>
  <c r="N48" i="12"/>
  <c r="N55" i="12" s="1"/>
  <c r="I48" i="12"/>
  <c r="Q21" i="12"/>
  <c r="D53" i="12" s="1"/>
  <c r="Q34" i="12"/>
  <c r="G54" i="12" s="1"/>
  <c r="Q40" i="12"/>
  <c r="P50" i="12"/>
  <c r="P52" i="12"/>
  <c r="P51" i="12"/>
  <c r="D48" i="12"/>
  <c r="Q15" i="12"/>
  <c r="Q17" i="12"/>
  <c r="Q19" i="12"/>
  <c r="J49" i="12"/>
  <c r="Q58" i="3"/>
  <c r="Q57" i="3"/>
  <c r="Q60" i="3"/>
  <c r="I55" i="12" l="1"/>
  <c r="P49" i="12"/>
  <c r="F55" i="12"/>
  <c r="L55" i="12"/>
  <c r="K55" i="12"/>
  <c r="Q45" i="12"/>
  <c r="P54" i="12"/>
  <c r="M55" i="12"/>
  <c r="P53" i="12"/>
  <c r="G55" i="12"/>
  <c r="J55" i="12"/>
  <c r="P48" i="12"/>
  <c r="D55" i="12"/>
  <c r="P55" i="12" l="1"/>
  <c r="R113" i="1" l="1"/>
  <c r="BQ141" i="1" l="1"/>
  <c r="BP141" i="1"/>
  <c r="BO141" i="1"/>
  <c r="BN141" i="1"/>
  <c r="BM141" i="1"/>
  <c r="BL141" i="1"/>
  <c r="BK141" i="1"/>
  <c r="BJ141" i="1"/>
  <c r="BI141" i="1"/>
  <c r="BH141" i="1"/>
  <c r="BG141" i="1"/>
  <c r="BF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C144" i="1"/>
  <c r="C143" i="1"/>
  <c r="C142" i="1"/>
  <c r="C14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R130" i="1"/>
  <c r="BR129" i="1"/>
  <c r="BR128" i="1"/>
  <c r="BR12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R106" i="1"/>
  <c r="BR105" i="1"/>
  <c r="BR104" i="1"/>
  <c r="BR103" i="1"/>
  <c r="BR102" i="1"/>
  <c r="BR101" i="1"/>
  <c r="BR100" i="1"/>
  <c r="BR99" i="1"/>
  <c r="BR98" i="1"/>
  <c r="BR97" i="1"/>
  <c r="BR96" i="1"/>
  <c r="BR95" i="1"/>
  <c r="BR94" i="1"/>
  <c r="BR93" i="1"/>
  <c r="BR92" i="1"/>
  <c r="BR91" i="1"/>
  <c r="BR90" i="1"/>
  <c r="BR89" i="1"/>
  <c r="BR88" i="1"/>
  <c r="BR87" i="1"/>
  <c r="BQ84" i="1"/>
  <c r="BQ143" i="1" s="1"/>
  <c r="BP84" i="1"/>
  <c r="BP143" i="1" s="1"/>
  <c r="BO84" i="1"/>
  <c r="BO143" i="1" s="1"/>
  <c r="BN84" i="1"/>
  <c r="BN143" i="1" s="1"/>
  <c r="BM84" i="1"/>
  <c r="BM143" i="1" s="1"/>
  <c r="BL84" i="1"/>
  <c r="BL143" i="1" s="1"/>
  <c r="BK84" i="1"/>
  <c r="BK143" i="1" s="1"/>
  <c r="BJ84" i="1"/>
  <c r="BJ143" i="1" s="1"/>
  <c r="BI84" i="1"/>
  <c r="BI143" i="1" s="1"/>
  <c r="BH84" i="1"/>
  <c r="BH143" i="1" s="1"/>
  <c r="BG84" i="1"/>
  <c r="BG143" i="1" s="1"/>
  <c r="BF84" i="1"/>
  <c r="BF143" i="1" s="1"/>
  <c r="BR83" i="1"/>
  <c r="BR82" i="1"/>
  <c r="BR81" i="1"/>
  <c r="BR80" i="1"/>
  <c r="BR79" i="1"/>
  <c r="BQ76" i="1"/>
  <c r="BQ142" i="1" s="1"/>
  <c r="BP76" i="1"/>
  <c r="BO76" i="1"/>
  <c r="BN76" i="1"/>
  <c r="BN142" i="1" s="1"/>
  <c r="BM76" i="1"/>
  <c r="BL76" i="1"/>
  <c r="BK76" i="1"/>
  <c r="BJ76" i="1"/>
  <c r="BI76" i="1"/>
  <c r="BI142" i="1" s="1"/>
  <c r="BH76" i="1"/>
  <c r="BG76" i="1"/>
  <c r="BF76" i="1"/>
  <c r="BF142" i="1" s="1"/>
  <c r="BR75" i="1"/>
  <c r="BR74" i="1"/>
  <c r="BR73" i="1"/>
  <c r="BR72" i="1"/>
  <c r="BR71" i="1"/>
  <c r="BR70" i="1"/>
  <c r="BR69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R65" i="1"/>
  <c r="BR64" i="1"/>
  <c r="BR63" i="1"/>
  <c r="BR62" i="1"/>
  <c r="BR61" i="1"/>
  <c r="BR60" i="1"/>
  <c r="BR59" i="1"/>
  <c r="BR58" i="1"/>
  <c r="BR57" i="1"/>
  <c r="BR56" i="1"/>
  <c r="BR55" i="1"/>
  <c r="BR54" i="1"/>
  <c r="BR53" i="1"/>
  <c r="BR52" i="1"/>
  <c r="BR51" i="1"/>
  <c r="BR50" i="1"/>
  <c r="BR49" i="1"/>
  <c r="BR48" i="1"/>
  <c r="BR47" i="1"/>
  <c r="BR46" i="1"/>
  <c r="BR45" i="1"/>
  <c r="BR44" i="1"/>
  <c r="BR43" i="1"/>
  <c r="BR42" i="1"/>
  <c r="BR41" i="1"/>
  <c r="BR40" i="1"/>
  <c r="BR39" i="1"/>
  <c r="BR38" i="1"/>
  <c r="BR37" i="1"/>
  <c r="BR36" i="1"/>
  <c r="BR35" i="1"/>
  <c r="BR34" i="1"/>
  <c r="BR33" i="1"/>
  <c r="BR32" i="1"/>
  <c r="BR31" i="1"/>
  <c r="BR30" i="1"/>
  <c r="BR29" i="1"/>
  <c r="BR28" i="1"/>
  <c r="BR27" i="1"/>
  <c r="BR26" i="1"/>
  <c r="BR25" i="1"/>
  <c r="BR24" i="1"/>
  <c r="BR23" i="1"/>
  <c r="BR22" i="1"/>
  <c r="BR21" i="1"/>
  <c r="BR20" i="1"/>
  <c r="BR19" i="1"/>
  <c r="BR18" i="1"/>
  <c r="BR17" i="1"/>
  <c r="BR16" i="1"/>
  <c r="BR15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R11" i="1"/>
  <c r="BR10" i="1"/>
  <c r="BR9" i="1"/>
  <c r="BR8" i="1"/>
  <c r="BR111" i="1" l="1"/>
  <c r="BR112" i="1"/>
  <c r="BR114" i="1"/>
  <c r="BR115" i="1"/>
  <c r="BR117" i="1"/>
  <c r="BR116" i="1"/>
  <c r="BL118" i="1"/>
  <c r="BL144" i="1" s="1"/>
  <c r="BR143" i="1"/>
  <c r="BR131" i="1"/>
  <c r="BR141" i="1"/>
  <c r="BG142" i="1"/>
  <c r="BO142" i="1"/>
  <c r="BR12" i="1"/>
  <c r="BH142" i="1"/>
  <c r="BP142" i="1"/>
  <c r="BJ142" i="1"/>
  <c r="BK142" i="1"/>
  <c r="BL142" i="1"/>
  <c r="BM142" i="1"/>
  <c r="AX141" i="1"/>
  <c r="BN118" i="1"/>
  <c r="BK118" i="1"/>
  <c r="BM118" i="1"/>
  <c r="BJ118" i="1"/>
  <c r="BR76" i="1"/>
  <c r="BF118" i="1"/>
  <c r="BG118" i="1"/>
  <c r="BO118" i="1"/>
  <c r="BH118" i="1"/>
  <c r="BP118" i="1"/>
  <c r="BI118" i="1"/>
  <c r="BQ118" i="1"/>
  <c r="BR113" i="1"/>
  <c r="BR107" i="1"/>
  <c r="BR66" i="1"/>
  <c r="BR110" i="1"/>
  <c r="BR84" i="1"/>
  <c r="BR142" i="1" l="1"/>
  <c r="BL145" i="1"/>
  <c r="BL122" i="1"/>
  <c r="BL124" i="1" s="1"/>
  <c r="BQ122" i="1"/>
  <c r="BQ124" i="1" s="1"/>
  <c r="BQ144" i="1"/>
  <c r="BQ145" i="1" s="1"/>
  <c r="BJ122" i="1"/>
  <c r="BJ124" i="1" s="1"/>
  <c r="BJ144" i="1"/>
  <c r="BJ145" i="1" s="1"/>
  <c r="BP122" i="1"/>
  <c r="BP124" i="1" s="1"/>
  <c r="BP144" i="1"/>
  <c r="BP145" i="1" s="1"/>
  <c r="BM122" i="1"/>
  <c r="BM124" i="1" s="1"/>
  <c r="BM144" i="1"/>
  <c r="BM145" i="1" s="1"/>
  <c r="BI122" i="1"/>
  <c r="BI124" i="1" s="1"/>
  <c r="BI144" i="1"/>
  <c r="BI145" i="1" s="1"/>
  <c r="BH122" i="1"/>
  <c r="BH124" i="1" s="1"/>
  <c r="BH144" i="1"/>
  <c r="BH145" i="1" s="1"/>
  <c r="BK122" i="1"/>
  <c r="BK124" i="1" s="1"/>
  <c r="BK144" i="1"/>
  <c r="BK145" i="1" s="1"/>
  <c r="BG122" i="1"/>
  <c r="BG144" i="1"/>
  <c r="BG145" i="1" s="1"/>
  <c r="BO122" i="1"/>
  <c r="BO124" i="1" s="1"/>
  <c r="BO144" i="1"/>
  <c r="BO145" i="1" s="1"/>
  <c r="BF122" i="1"/>
  <c r="BF124" i="1" s="1"/>
  <c r="BF144" i="1"/>
  <c r="BN122" i="1"/>
  <c r="BN124" i="1" s="1"/>
  <c r="BN144" i="1"/>
  <c r="BN145" i="1" s="1"/>
  <c r="BR118" i="1"/>
  <c r="BR122" i="1" l="1"/>
  <c r="BS122" i="1" s="1"/>
  <c r="BR144" i="1"/>
  <c r="BR145" i="1" s="1"/>
  <c r="BF145" i="1"/>
  <c r="BG124" i="1"/>
  <c r="BP6" i="1" l="1"/>
  <c r="BR124" i="1"/>
  <c r="AW131" i="1" l="1"/>
  <c r="AV131" i="1"/>
  <c r="AU131" i="1"/>
  <c r="AT131" i="1"/>
  <c r="AS131" i="1"/>
  <c r="AR131" i="1"/>
  <c r="AQ131" i="1"/>
  <c r="AP131" i="1"/>
  <c r="AO131" i="1"/>
  <c r="AN131" i="1"/>
  <c r="AM131" i="1"/>
  <c r="AL131" i="1"/>
  <c r="AX130" i="1"/>
  <c r="AX129" i="1"/>
  <c r="AX128" i="1"/>
  <c r="AX12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W84" i="1"/>
  <c r="AW143" i="1" s="1"/>
  <c r="AV84" i="1"/>
  <c r="AV143" i="1" s="1"/>
  <c r="AU84" i="1"/>
  <c r="AU143" i="1" s="1"/>
  <c r="AT84" i="1"/>
  <c r="AT143" i="1" s="1"/>
  <c r="AS84" i="1"/>
  <c r="AS143" i="1" s="1"/>
  <c r="AR84" i="1"/>
  <c r="AR143" i="1" s="1"/>
  <c r="AQ84" i="1"/>
  <c r="AQ143" i="1" s="1"/>
  <c r="AP84" i="1"/>
  <c r="AP143" i="1" s="1"/>
  <c r="AO84" i="1"/>
  <c r="AO143" i="1" s="1"/>
  <c r="AN84" i="1"/>
  <c r="AN143" i="1" s="1"/>
  <c r="AM84" i="1"/>
  <c r="AM143" i="1" s="1"/>
  <c r="AL84" i="1"/>
  <c r="AL143" i="1" s="1"/>
  <c r="AX83" i="1"/>
  <c r="AX82" i="1"/>
  <c r="AX81" i="1"/>
  <c r="AX80" i="1"/>
  <c r="AX79" i="1"/>
  <c r="AW76" i="1"/>
  <c r="AW142" i="1" s="1"/>
  <c r="AV76" i="1"/>
  <c r="AV142" i="1" s="1"/>
  <c r="AU76" i="1"/>
  <c r="AU142" i="1" s="1"/>
  <c r="AT76" i="1"/>
  <c r="AT142" i="1" s="1"/>
  <c r="AS76" i="1"/>
  <c r="AS142" i="1" s="1"/>
  <c r="AR76" i="1"/>
  <c r="AR142" i="1" s="1"/>
  <c r="AQ76" i="1"/>
  <c r="AQ142" i="1" s="1"/>
  <c r="AP76" i="1"/>
  <c r="AP142" i="1" s="1"/>
  <c r="AO76" i="1"/>
  <c r="AO142" i="1" s="1"/>
  <c r="AN76" i="1"/>
  <c r="AN142" i="1" s="1"/>
  <c r="AM76" i="1"/>
  <c r="AM142" i="1" s="1"/>
  <c r="AL76" i="1"/>
  <c r="AL142" i="1" s="1"/>
  <c r="AX75" i="1"/>
  <c r="AX74" i="1"/>
  <c r="AX73" i="1"/>
  <c r="AX72" i="1"/>
  <c r="AX71" i="1"/>
  <c r="AX70" i="1"/>
  <c r="AX69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X11" i="1"/>
  <c r="AX10" i="1"/>
  <c r="AX9" i="1"/>
  <c r="AX8" i="1"/>
  <c r="AX143" i="1" l="1"/>
  <c r="AX142" i="1"/>
  <c r="AX111" i="1"/>
  <c r="AX112" i="1"/>
  <c r="AX84" i="1"/>
  <c r="AX110" i="1"/>
  <c r="AX131" i="1"/>
  <c r="AX12" i="1"/>
  <c r="AX66" i="1"/>
  <c r="AX107" i="1"/>
  <c r="AX76" i="1"/>
  <c r="BC118" i="1" l="1"/>
  <c r="BC107" i="1"/>
  <c r="BC84" i="1"/>
  <c r="BC76" i="1"/>
  <c r="BC66" i="1"/>
  <c r="BC12" i="1"/>
  <c r="O72" i="3"/>
  <c r="Q117" i="1" s="1"/>
  <c r="N72" i="3"/>
  <c r="P117" i="1" s="1"/>
  <c r="L72" i="3"/>
  <c r="N117" i="1" s="1"/>
  <c r="J72" i="3"/>
  <c r="L117" i="1" s="1"/>
  <c r="H72" i="3"/>
  <c r="J117" i="1" s="1"/>
  <c r="E72" i="3"/>
  <c r="G117" i="1" s="1"/>
  <c r="D72" i="3"/>
  <c r="F117" i="1" s="1"/>
  <c r="O70" i="3"/>
  <c r="Q115" i="1" s="1"/>
  <c r="N70" i="3"/>
  <c r="P115" i="1" s="1"/>
  <c r="M70" i="3"/>
  <c r="O115" i="1" s="1"/>
  <c r="K70" i="3"/>
  <c r="M115" i="1" s="1"/>
  <c r="J70" i="3"/>
  <c r="L115" i="1" s="1"/>
  <c r="I70" i="3"/>
  <c r="K115" i="1" s="1"/>
  <c r="H70" i="3"/>
  <c r="J115" i="1" s="1"/>
  <c r="G70" i="3"/>
  <c r="I115" i="1" s="1"/>
  <c r="F70" i="3"/>
  <c r="H115" i="1" s="1"/>
  <c r="E70" i="3"/>
  <c r="G115" i="1" s="1"/>
  <c r="D70" i="3"/>
  <c r="F115" i="1" s="1"/>
  <c r="O69" i="3"/>
  <c r="Q114" i="1" s="1"/>
  <c r="N69" i="3"/>
  <c r="P114" i="1" s="1"/>
  <c r="M69" i="3"/>
  <c r="O114" i="1" s="1"/>
  <c r="K69" i="3"/>
  <c r="M114" i="1" s="1"/>
  <c r="J69" i="3"/>
  <c r="L114" i="1" s="1"/>
  <c r="I69" i="3"/>
  <c r="K114" i="1" s="1"/>
  <c r="H69" i="3"/>
  <c r="J114" i="1" s="1"/>
  <c r="G69" i="3"/>
  <c r="I114" i="1" s="1"/>
  <c r="F69" i="3"/>
  <c r="H114" i="1" s="1"/>
  <c r="E69" i="3"/>
  <c r="G114" i="1" s="1"/>
  <c r="D69" i="3"/>
  <c r="F114" i="1" s="1"/>
  <c r="BC122" i="1" l="1"/>
  <c r="BC124" i="1" s="1"/>
  <c r="C91" i="1" l="1"/>
  <c r="R91" i="1" l="1"/>
  <c r="S91" i="1" l="1"/>
  <c r="AH91" i="1" l="1"/>
  <c r="BD91" i="1" s="1" a="1"/>
  <c r="BD91" i="1" s="1"/>
  <c r="BS91" i="1" l="1"/>
  <c r="AI91" i="1"/>
  <c r="AY91" i="1"/>
  <c r="C2" i="5" l="1"/>
  <c r="C2" i="3"/>
  <c r="E68" i="3" l="1"/>
  <c r="G112" i="1" s="1"/>
  <c r="F68" i="3"/>
  <c r="H112" i="1" s="1"/>
  <c r="G68" i="3"/>
  <c r="I112" i="1" s="1"/>
  <c r="H68" i="3"/>
  <c r="J112" i="1" s="1"/>
  <c r="I68" i="3"/>
  <c r="K112" i="1" s="1"/>
  <c r="J68" i="3"/>
  <c r="L112" i="1" s="1"/>
  <c r="K68" i="3"/>
  <c r="M112" i="1" s="1"/>
  <c r="L68" i="3"/>
  <c r="N112" i="1" s="1"/>
  <c r="M68" i="3"/>
  <c r="O112" i="1" s="1"/>
  <c r="N68" i="3"/>
  <c r="P112" i="1" s="1"/>
  <c r="O68" i="3"/>
  <c r="Q112" i="1" s="1"/>
  <c r="D68" i="3"/>
  <c r="F112" i="1" s="1"/>
  <c r="E67" i="3"/>
  <c r="G111" i="1" s="1"/>
  <c r="K67" i="3"/>
  <c r="M111" i="1" s="1"/>
  <c r="M67" i="3"/>
  <c r="O111" i="1" s="1"/>
  <c r="E66" i="3"/>
  <c r="G110" i="1" s="1"/>
  <c r="K66" i="3"/>
  <c r="M110" i="1" s="1"/>
  <c r="P63" i="3"/>
  <c r="M71" i="3" l="1"/>
  <c r="O116" i="1" s="1"/>
  <c r="F72" i="3"/>
  <c r="H117" i="1" s="1"/>
  <c r="R112" i="1"/>
  <c r="O71" i="3"/>
  <c r="Q116" i="1" s="1"/>
  <c r="L71" i="3"/>
  <c r="N116" i="1" s="1"/>
  <c r="N71" i="3"/>
  <c r="P116" i="1" s="1"/>
  <c r="K71" i="3"/>
  <c r="M116" i="1" s="1"/>
  <c r="K72" i="3"/>
  <c r="M117" i="1" s="1"/>
  <c r="I71" i="3"/>
  <c r="K116" i="1" s="1"/>
  <c r="G72" i="3"/>
  <c r="I117" i="1" s="1"/>
  <c r="M72" i="3"/>
  <c r="O117" i="1" s="1"/>
  <c r="J71" i="3"/>
  <c r="L116" i="1" s="1"/>
  <c r="I72" i="3"/>
  <c r="K117" i="1" s="1"/>
  <c r="L67" i="3"/>
  <c r="N111" i="1" s="1"/>
  <c r="N67" i="3"/>
  <c r="P111" i="1" s="1"/>
  <c r="O67" i="3"/>
  <c r="Q111" i="1" s="1"/>
  <c r="H67" i="3"/>
  <c r="J111" i="1" s="1"/>
  <c r="D67" i="3"/>
  <c r="F111" i="1" s="1"/>
  <c r="G67" i="3"/>
  <c r="I111" i="1" s="1"/>
  <c r="R117" i="1" l="1"/>
  <c r="J67" i="3"/>
  <c r="L111" i="1" s="1"/>
  <c r="F67" i="3"/>
  <c r="H111" i="1" s="1"/>
  <c r="I67" i="3"/>
  <c r="K111" i="1" s="1"/>
  <c r="L66" i="3"/>
  <c r="N110" i="1" s="1"/>
  <c r="G66" i="3"/>
  <c r="I110" i="1" s="1"/>
  <c r="D66" i="3"/>
  <c r="F110" i="1" s="1"/>
  <c r="F66" i="3"/>
  <c r="H110" i="1" s="1"/>
  <c r="O66" i="3"/>
  <c r="Q110" i="1" s="1"/>
  <c r="H66" i="3"/>
  <c r="J110" i="1" s="1"/>
  <c r="P68" i="3"/>
  <c r="P72" i="3"/>
  <c r="O63" i="3"/>
  <c r="N63" i="3"/>
  <c r="L69" i="3"/>
  <c r="D71" i="3"/>
  <c r="F116" i="1" s="1"/>
  <c r="F71" i="3"/>
  <c r="H116" i="1" s="1"/>
  <c r="G71" i="3"/>
  <c r="I116" i="1" s="1"/>
  <c r="L70" i="3"/>
  <c r="N115" i="1" s="1"/>
  <c r="R115" i="1" s="1"/>
  <c r="H71" i="3"/>
  <c r="J116" i="1" s="1"/>
  <c r="Q62" i="3"/>
  <c r="E71" i="3"/>
  <c r="G116" i="1" s="1"/>
  <c r="R111" i="1" l="1"/>
  <c r="R116" i="1"/>
  <c r="P71" i="3"/>
  <c r="P69" i="3"/>
  <c r="N114" i="1"/>
  <c r="R114" i="1" s="1"/>
  <c r="P70" i="3"/>
  <c r="E73" i="3"/>
  <c r="P67" i="3"/>
  <c r="K73" i="3"/>
  <c r="F73" i="3"/>
  <c r="O73" i="3"/>
  <c r="D73" i="3"/>
  <c r="G73" i="3"/>
  <c r="L73" i="3"/>
  <c r="H73" i="3" l="1"/>
  <c r="H1048572" i="6" l="1"/>
  <c r="G1048572" i="6"/>
  <c r="F1048572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J66" i="3" l="1"/>
  <c r="C117" i="1"/>
  <c r="C116" i="1"/>
  <c r="C115" i="1"/>
  <c r="C114" i="1"/>
  <c r="C113" i="1"/>
  <c r="C112" i="1"/>
  <c r="C111" i="1"/>
  <c r="C110" i="1"/>
  <c r="C130" i="1"/>
  <c r="C84" i="1"/>
  <c r="C76" i="1"/>
  <c r="C129" i="1"/>
  <c r="C128" i="1"/>
  <c r="C127" i="1"/>
  <c r="L110" i="1" l="1"/>
  <c r="J73" i="3"/>
  <c r="M66" i="3"/>
  <c r="N66" i="3"/>
  <c r="S116" i="1"/>
  <c r="S117" i="1"/>
  <c r="S111" i="1"/>
  <c r="S112" i="1"/>
  <c r="S113" i="1"/>
  <c r="S114" i="1"/>
  <c r="S115" i="1"/>
  <c r="AA131" i="1"/>
  <c r="I66" i="3"/>
  <c r="K110" i="1" s="1"/>
  <c r="M63" i="3"/>
  <c r="Q63" i="3"/>
  <c r="O110" i="1" l="1"/>
  <c r="M73" i="3"/>
  <c r="P110" i="1"/>
  <c r="N73" i="3"/>
  <c r="AH114" i="1"/>
  <c r="AH110" i="1"/>
  <c r="AH117" i="1"/>
  <c r="BB118" i="1"/>
  <c r="AH115" i="1"/>
  <c r="AH111" i="1"/>
  <c r="AH112" i="1"/>
  <c r="AH116" i="1"/>
  <c r="W131" i="1"/>
  <c r="Z131" i="1"/>
  <c r="AE131" i="1"/>
  <c r="Y131" i="1"/>
  <c r="AG131" i="1"/>
  <c r="AB131" i="1"/>
  <c r="AC131" i="1"/>
  <c r="AF131" i="1"/>
  <c r="V131" i="1"/>
  <c r="X131" i="1"/>
  <c r="AD131" i="1"/>
  <c r="P66" i="3"/>
  <c r="P73" i="3" s="1"/>
  <c r="Q64" i="3" s="1"/>
  <c r="I73" i="3"/>
  <c r="J118" i="1"/>
  <c r="J144" i="1" s="1"/>
  <c r="D118" i="1"/>
  <c r="R130" i="1"/>
  <c r="L131" i="1"/>
  <c r="Q131" i="1"/>
  <c r="O131" i="1"/>
  <c r="K131" i="1"/>
  <c r="J131" i="1"/>
  <c r="M131" i="1"/>
  <c r="P131" i="1"/>
  <c r="I131" i="1"/>
  <c r="F131" i="1"/>
  <c r="H131" i="1"/>
  <c r="G131" i="1"/>
  <c r="N131" i="1"/>
  <c r="Q118" i="1"/>
  <c r="Q144" i="1" s="1"/>
  <c r="M118" i="1"/>
  <c r="M144" i="1" s="1"/>
  <c r="I118" i="1"/>
  <c r="I144" i="1" s="1"/>
  <c r="E118" i="1"/>
  <c r="BD111" i="1" a="1"/>
  <c r="BD111" i="1" s="1"/>
  <c r="N118" i="1"/>
  <c r="N144" i="1" s="1"/>
  <c r="BD114" i="1" a="1"/>
  <c r="BD114" i="1" s="1"/>
  <c r="F118" i="1"/>
  <c r="F144" i="1" s="1"/>
  <c r="O118" i="1"/>
  <c r="O144" i="1" s="1"/>
  <c r="P118" i="1"/>
  <c r="P144" i="1" s="1"/>
  <c r="G118" i="1"/>
  <c r="G144" i="1" s="1"/>
  <c r="BD117" i="1" a="1"/>
  <c r="BD117" i="1" s="1"/>
  <c r="H118" i="1"/>
  <c r="H144" i="1" s="1"/>
  <c r="BD116" i="1" a="1"/>
  <c r="BD116" i="1" s="1"/>
  <c r="BD112" i="1" a="1"/>
  <c r="BD112" i="1" s="1"/>
  <c r="L118" i="1"/>
  <c r="L144" i="1" s="1"/>
  <c r="R129" i="1"/>
  <c r="R128" i="1"/>
  <c r="R127" i="1"/>
  <c r="R110" i="1" l="1"/>
  <c r="S110" i="1" s="1"/>
  <c r="BS116" i="1"/>
  <c r="AY116" i="1"/>
  <c r="BS112" i="1"/>
  <c r="AY112" i="1"/>
  <c r="BS110" i="1"/>
  <c r="AY110" i="1"/>
  <c r="AY111" i="1"/>
  <c r="BS111" i="1"/>
  <c r="AY115" i="1"/>
  <c r="BS115" i="1"/>
  <c r="BD115" i="1" a="1"/>
  <c r="BD115" i="1" s="1"/>
  <c r="AY117" i="1"/>
  <c r="BS117" i="1"/>
  <c r="BS114" i="1"/>
  <c r="AY114" i="1"/>
  <c r="AI111" i="1"/>
  <c r="AI117" i="1"/>
  <c r="AI115" i="1"/>
  <c r="AI112" i="1"/>
  <c r="AI116" i="1"/>
  <c r="AI114" i="1"/>
  <c r="K118" i="1"/>
  <c r="K144" i="1" s="1"/>
  <c r="R144" i="1" s="1"/>
  <c r="R131" i="1"/>
  <c r="R118" i="1"/>
  <c r="AI110" i="1" l="1"/>
  <c r="BD110" i="1" a="1"/>
  <c r="BD110" i="1" s="1"/>
  <c r="AC118" i="1"/>
  <c r="AC144" i="1" s="1"/>
  <c r="AB118" i="1"/>
  <c r="AB144" i="1" s="1"/>
  <c r="AA118" i="1"/>
  <c r="AA144" i="1" s="1"/>
  <c r="Z118" i="1"/>
  <c r="Z144" i="1" s="1"/>
  <c r="AG118" i="1"/>
  <c r="AG144" i="1" s="1"/>
  <c r="Y118" i="1"/>
  <c r="Y144" i="1" s="1"/>
  <c r="AF118" i="1"/>
  <c r="AF144" i="1" s="1"/>
  <c r="X118" i="1"/>
  <c r="X144" i="1" s="1"/>
  <c r="AD118" i="1"/>
  <c r="AD144" i="1" s="1"/>
  <c r="AE118" i="1"/>
  <c r="AE144" i="1" s="1"/>
  <c r="W118" i="1"/>
  <c r="W144" i="1" s="1"/>
  <c r="S118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90" i="1"/>
  <c r="C89" i="1"/>
  <c r="C88" i="1"/>
  <c r="C87" i="1"/>
  <c r="C83" i="1"/>
  <c r="C82" i="1"/>
  <c r="C81" i="1"/>
  <c r="C80" i="1"/>
  <c r="C79" i="1"/>
  <c r="C75" i="1"/>
  <c r="C74" i="1"/>
  <c r="C73" i="1"/>
  <c r="C72" i="1"/>
  <c r="C71" i="1"/>
  <c r="C70" i="1"/>
  <c r="C69" i="1"/>
  <c r="C11" i="1"/>
  <c r="C10" i="1"/>
  <c r="C9" i="1"/>
  <c r="C8" i="1"/>
  <c r="AG141" i="1" l="1"/>
  <c r="AF141" i="1"/>
  <c r="AE141" i="1"/>
  <c r="AD141" i="1"/>
  <c r="AB141" i="1"/>
  <c r="AC141" i="1"/>
  <c r="V141" i="1"/>
  <c r="X141" i="1"/>
  <c r="AA141" i="1"/>
  <c r="Z141" i="1"/>
  <c r="Y141" i="1"/>
  <c r="W141" i="1"/>
  <c r="BQ137" i="1"/>
  <c r="BO137" i="1"/>
  <c r="BM137" i="1"/>
  <c r="BK137" i="1"/>
  <c r="BI136" i="1"/>
  <c r="BG136" i="1"/>
  <c r="BQ136" i="1"/>
  <c r="BO136" i="1"/>
  <c r="BM136" i="1"/>
  <c r="BK136" i="1"/>
  <c r="BH137" i="1"/>
  <c r="BF137" i="1"/>
  <c r="BP137" i="1"/>
  <c r="BN137" i="1"/>
  <c r="BL137" i="1"/>
  <c r="BJ137" i="1"/>
  <c r="BH136" i="1"/>
  <c r="BF136" i="1"/>
  <c r="BP136" i="1"/>
  <c r="BN136" i="1"/>
  <c r="BL136" i="1"/>
  <c r="BJ136" i="1"/>
  <c r="BG137" i="1"/>
  <c r="AC137" i="1"/>
  <c r="Z137" i="1"/>
  <c r="AB137" i="1"/>
  <c r="AA137" i="1"/>
  <c r="AO136" i="1"/>
  <c r="AS136" i="1"/>
  <c r="AU136" i="1"/>
  <c r="AL136" i="1"/>
  <c r="AW136" i="1"/>
  <c r="AR136" i="1"/>
  <c r="AP136" i="1"/>
  <c r="AQ136" i="1"/>
  <c r="AT136" i="1"/>
  <c r="AN136" i="1"/>
  <c r="AM136" i="1"/>
  <c r="AV136" i="1"/>
  <c r="AD137" i="1"/>
  <c r="Y137" i="1"/>
  <c r="W137" i="1"/>
  <c r="AE137" i="1"/>
  <c r="X137" i="1"/>
  <c r="AF137" i="1"/>
  <c r="AG137" i="1"/>
  <c r="AH113" i="1"/>
  <c r="V118" i="1"/>
  <c r="C134" i="1"/>
  <c r="BI135" i="1" s="1"/>
  <c r="Q137" i="1"/>
  <c r="G137" i="1"/>
  <c r="O137" i="1"/>
  <c r="I137" i="1"/>
  <c r="P137" i="1"/>
  <c r="N137" i="1"/>
  <c r="L137" i="1"/>
  <c r="J137" i="1"/>
  <c r="H137" i="1"/>
  <c r="F137" i="1"/>
  <c r="K137" i="1"/>
  <c r="M137" i="1"/>
  <c r="F141" i="1"/>
  <c r="N141" i="1"/>
  <c r="O141" i="1"/>
  <c r="I141" i="1"/>
  <c r="AH106" i="1" l="1"/>
  <c r="BB107" i="1"/>
  <c r="BB84" i="1"/>
  <c r="BS113" i="1"/>
  <c r="BS118" i="1" s="1"/>
  <c r="V137" i="1"/>
  <c r="V144" i="1"/>
  <c r="P134" i="1"/>
  <c r="P141" i="1"/>
  <c r="M134" i="1"/>
  <c r="M141" i="1"/>
  <c r="L134" i="1"/>
  <c r="L141" i="1"/>
  <c r="H134" i="1"/>
  <c r="H141" i="1"/>
  <c r="K134" i="1"/>
  <c r="K141" i="1"/>
  <c r="G134" i="1"/>
  <c r="G141" i="1"/>
  <c r="J134" i="1"/>
  <c r="J141" i="1"/>
  <c r="Q134" i="1"/>
  <c r="Q141" i="1"/>
  <c r="O134" i="1"/>
  <c r="N134" i="1"/>
  <c r="F134" i="1"/>
  <c r="I134" i="1"/>
  <c r="BN135" i="1"/>
  <c r="BK135" i="1"/>
  <c r="BP135" i="1"/>
  <c r="BM135" i="1"/>
  <c r="BF135" i="1"/>
  <c r="BO135" i="1"/>
  <c r="BH135" i="1"/>
  <c r="BQ135" i="1"/>
  <c r="BG135" i="1"/>
  <c r="AL135" i="1"/>
  <c r="BI134" i="1"/>
  <c r="BG134" i="1"/>
  <c r="BQ134" i="1"/>
  <c r="BO134" i="1"/>
  <c r="BM134" i="1"/>
  <c r="BK134" i="1"/>
  <c r="BH134" i="1"/>
  <c r="BF134" i="1"/>
  <c r="BP134" i="1"/>
  <c r="BN134" i="1"/>
  <c r="BL134" i="1"/>
  <c r="BJ134" i="1"/>
  <c r="BJ135" i="1"/>
  <c r="BL135" i="1"/>
  <c r="BB12" i="1"/>
  <c r="BR136" i="1"/>
  <c r="AI113" i="1"/>
  <c r="AT135" i="1"/>
  <c r="AR135" i="1"/>
  <c r="AO135" i="1"/>
  <c r="AS134" i="1"/>
  <c r="AQ134" i="1"/>
  <c r="AO134" i="1"/>
  <c r="AN134" i="1"/>
  <c r="AV134" i="1"/>
  <c r="AU134" i="1"/>
  <c r="AM134" i="1"/>
  <c r="AL134" i="1"/>
  <c r="AP134" i="1"/>
  <c r="AW134" i="1"/>
  <c r="AT134" i="1"/>
  <c r="AR134" i="1"/>
  <c r="AV135" i="1"/>
  <c r="AW135" i="1"/>
  <c r="AM135" i="1"/>
  <c r="AP135" i="1"/>
  <c r="AN135" i="1"/>
  <c r="AQ135" i="1"/>
  <c r="AS135" i="1"/>
  <c r="AU135" i="1"/>
  <c r="BB76" i="1"/>
  <c r="AF134" i="1"/>
  <c r="X134" i="1"/>
  <c r="Y134" i="1"/>
  <c r="AC134" i="1"/>
  <c r="Z134" i="1"/>
  <c r="AE134" i="1"/>
  <c r="W134" i="1"/>
  <c r="V134" i="1"/>
  <c r="AB134" i="1"/>
  <c r="AG134" i="1"/>
  <c r="AD134" i="1"/>
  <c r="AA134" i="1"/>
  <c r="AH118" i="1"/>
  <c r="BB66" i="1"/>
  <c r="D12" i="1"/>
  <c r="G66" i="1"/>
  <c r="D66" i="1"/>
  <c r="Q66" i="1"/>
  <c r="I66" i="1"/>
  <c r="K66" i="1"/>
  <c r="J66" i="1"/>
  <c r="H66" i="1"/>
  <c r="E66" i="1"/>
  <c r="L66" i="1"/>
  <c r="N66" i="1"/>
  <c r="P66" i="1"/>
  <c r="F66" i="1"/>
  <c r="O66" i="1"/>
  <c r="M66" i="1"/>
  <c r="D84" i="1"/>
  <c r="D76" i="1"/>
  <c r="D107" i="1"/>
  <c r="R137" i="1"/>
  <c r="R24" i="1"/>
  <c r="R26" i="1"/>
  <c r="R52" i="1"/>
  <c r="R51" i="1"/>
  <c r="R55" i="1"/>
  <c r="R56" i="1"/>
  <c r="R49" i="1"/>
  <c r="R41" i="1"/>
  <c r="R50" i="1"/>
  <c r="R54" i="1"/>
  <c r="R43" i="1"/>
  <c r="R44" i="1"/>
  <c r="R57" i="1"/>
  <c r="R25" i="1"/>
  <c r="R63" i="1"/>
  <c r="R31" i="1"/>
  <c r="R64" i="1"/>
  <c r="R32" i="1"/>
  <c r="R37" i="1"/>
  <c r="R58" i="1"/>
  <c r="R38" i="1"/>
  <c r="R53" i="1"/>
  <c r="R23" i="1"/>
  <c r="R39" i="1"/>
  <c r="R40" i="1"/>
  <c r="R33" i="1"/>
  <c r="R59" i="1"/>
  <c r="R27" i="1"/>
  <c r="R60" i="1"/>
  <c r="R28" i="1"/>
  <c r="R65" i="1"/>
  <c r="R22" i="1"/>
  <c r="R34" i="1"/>
  <c r="R47" i="1"/>
  <c r="R48" i="1"/>
  <c r="R45" i="1"/>
  <c r="R29" i="1"/>
  <c r="R35" i="1"/>
  <c r="R36" i="1"/>
  <c r="R61" i="1"/>
  <c r="R46" i="1"/>
  <c r="R30" i="1"/>
  <c r="R62" i="1"/>
  <c r="R42" i="1"/>
  <c r="Q84" i="1"/>
  <c r="Q143" i="1" s="1"/>
  <c r="L12" i="1"/>
  <c r="R15" i="1"/>
  <c r="R16" i="1"/>
  <c r="R20" i="1"/>
  <c r="R19" i="1"/>
  <c r="R18" i="1"/>
  <c r="R17" i="1"/>
  <c r="R21" i="1"/>
  <c r="P84" i="1"/>
  <c r="P143" i="1" s="1"/>
  <c r="L107" i="1"/>
  <c r="H84" i="1"/>
  <c r="H143" i="1" s="1"/>
  <c r="G84" i="1"/>
  <c r="G143" i="1" s="1"/>
  <c r="N84" i="1"/>
  <c r="N143" i="1" s="1"/>
  <c r="F84" i="1"/>
  <c r="F143" i="1" s="1"/>
  <c r="M84" i="1"/>
  <c r="M143" i="1" s="1"/>
  <c r="E84" i="1"/>
  <c r="I84" i="1"/>
  <c r="I143" i="1" s="1"/>
  <c r="L84" i="1"/>
  <c r="L143" i="1" s="1"/>
  <c r="K84" i="1"/>
  <c r="K143" i="1" s="1"/>
  <c r="O84" i="1"/>
  <c r="O143" i="1" s="1"/>
  <c r="J84" i="1"/>
  <c r="J143" i="1" s="1"/>
  <c r="F107" i="1"/>
  <c r="O107" i="1"/>
  <c r="G107" i="1"/>
  <c r="J107" i="1"/>
  <c r="Q107" i="1"/>
  <c r="E107" i="1"/>
  <c r="I107" i="1"/>
  <c r="P107" i="1"/>
  <c r="H107" i="1"/>
  <c r="K107" i="1"/>
  <c r="N107" i="1"/>
  <c r="M107" i="1"/>
  <c r="L76" i="1"/>
  <c r="N76" i="1"/>
  <c r="J76" i="1"/>
  <c r="F76" i="1"/>
  <c r="Q76" i="1"/>
  <c r="E76" i="1"/>
  <c r="G76" i="1"/>
  <c r="K76" i="1"/>
  <c r="I76" i="1"/>
  <c r="P76" i="1"/>
  <c r="M76" i="1"/>
  <c r="H76" i="1"/>
  <c r="O76" i="1"/>
  <c r="K12" i="1"/>
  <c r="N12" i="1"/>
  <c r="J12" i="1"/>
  <c r="F12" i="1"/>
  <c r="Q12" i="1"/>
  <c r="I12" i="1"/>
  <c r="P12" i="1"/>
  <c r="M12" i="1"/>
  <c r="E12" i="1"/>
  <c r="H12" i="1"/>
  <c r="O12" i="1"/>
  <c r="G12" i="1"/>
  <c r="R8" i="1"/>
  <c r="R101" i="1"/>
  <c r="R81" i="1"/>
  <c r="R104" i="1"/>
  <c r="R87" i="1"/>
  <c r="R93" i="1"/>
  <c r="R70" i="1"/>
  <c r="R103" i="1"/>
  <c r="R83" i="1"/>
  <c r="R97" i="1"/>
  <c r="R74" i="1"/>
  <c r="R102" i="1"/>
  <c r="R82" i="1"/>
  <c r="R90" i="1"/>
  <c r="R11" i="1"/>
  <c r="R96" i="1"/>
  <c r="R73" i="1"/>
  <c r="R89" i="1"/>
  <c r="R10" i="1"/>
  <c r="R106" i="1"/>
  <c r="BD106" i="1" s="1" a="1"/>
  <c r="BD106" i="1" s="1"/>
  <c r="R95" i="1"/>
  <c r="R72" i="1"/>
  <c r="R100" i="1"/>
  <c r="R80" i="1"/>
  <c r="R9" i="1"/>
  <c r="R105" i="1"/>
  <c r="R88" i="1"/>
  <c r="R94" i="1"/>
  <c r="R71" i="1"/>
  <c r="R98" i="1"/>
  <c r="R75" i="1"/>
  <c r="R99" i="1"/>
  <c r="R79" i="1"/>
  <c r="R92" i="1"/>
  <c r="R69" i="1"/>
  <c r="AY106" i="1" l="1"/>
  <c r="BS106" i="1"/>
  <c r="BP138" i="1"/>
  <c r="AQ118" i="1"/>
  <c r="AP118" i="1"/>
  <c r="AW118" i="1"/>
  <c r="AW144" i="1" s="1"/>
  <c r="AW145" i="1" s="1"/>
  <c r="AO118" i="1"/>
  <c r="AV118" i="1"/>
  <c r="AN118" i="1"/>
  <c r="AU118" i="1"/>
  <c r="AM118" i="1"/>
  <c r="AT118" i="1"/>
  <c r="AL118" i="1"/>
  <c r="AL144" i="1" s="1"/>
  <c r="AL145" i="1" s="1"/>
  <c r="AS118" i="1"/>
  <c r="AR118" i="1"/>
  <c r="AR137" i="1" s="1"/>
  <c r="R143" i="1"/>
  <c r="R141" i="1"/>
  <c r="Q135" i="1"/>
  <c r="Q142" i="1"/>
  <c r="Q145" i="1" s="1"/>
  <c r="H135" i="1"/>
  <c r="H142" i="1"/>
  <c r="F135" i="1"/>
  <c r="F142" i="1"/>
  <c r="M135" i="1"/>
  <c r="M142" i="1"/>
  <c r="M145" i="1" s="1"/>
  <c r="J135" i="1"/>
  <c r="J142" i="1"/>
  <c r="J145" i="1" s="1"/>
  <c r="BM138" i="1"/>
  <c r="H145" i="1"/>
  <c r="I135" i="1"/>
  <c r="I142" i="1"/>
  <c r="I145" i="1" s="1"/>
  <c r="K135" i="1"/>
  <c r="K142" i="1"/>
  <c r="K145" i="1" s="1"/>
  <c r="BG138" i="1"/>
  <c r="N135" i="1"/>
  <c r="N142" i="1"/>
  <c r="N145" i="1" s="1"/>
  <c r="L135" i="1"/>
  <c r="L142" i="1"/>
  <c r="L145" i="1" s="1"/>
  <c r="G135" i="1"/>
  <c r="G142" i="1"/>
  <c r="G145" i="1" s="1"/>
  <c r="P135" i="1"/>
  <c r="P142" i="1"/>
  <c r="P145" i="1" s="1"/>
  <c r="O135" i="1"/>
  <c r="O142" i="1"/>
  <c r="O145" i="1" s="1"/>
  <c r="BR135" i="1"/>
  <c r="BK138" i="1"/>
  <c r="BH138" i="1"/>
  <c r="BJ138" i="1"/>
  <c r="BO138" i="1"/>
  <c r="BL138" i="1"/>
  <c r="BQ138" i="1"/>
  <c r="BF138" i="1"/>
  <c r="BN138" i="1"/>
  <c r="BR134" i="1"/>
  <c r="BB122" i="1"/>
  <c r="BB124" i="1" s="1"/>
  <c r="AI118" i="1"/>
  <c r="S9" i="1"/>
  <c r="S8" i="1"/>
  <c r="S65" i="1"/>
  <c r="S11" i="1"/>
  <c r="AI106" i="1"/>
  <c r="S10" i="1"/>
  <c r="AX134" i="1"/>
  <c r="O136" i="1"/>
  <c r="G136" i="1"/>
  <c r="K136" i="1"/>
  <c r="H136" i="1"/>
  <c r="L136" i="1"/>
  <c r="I136" i="1"/>
  <c r="Q136" i="1"/>
  <c r="P136" i="1"/>
  <c r="M136" i="1"/>
  <c r="F136" i="1"/>
  <c r="J136" i="1"/>
  <c r="N136" i="1"/>
  <c r="S89" i="1"/>
  <c r="S72" i="1"/>
  <c r="S29" i="1"/>
  <c r="S60" i="1"/>
  <c r="S38" i="1"/>
  <c r="S57" i="1"/>
  <c r="S55" i="1"/>
  <c r="S71" i="1"/>
  <c r="S95" i="1"/>
  <c r="S82" i="1"/>
  <c r="S17" i="1"/>
  <c r="S42" i="1"/>
  <c r="S45" i="1"/>
  <c r="S27" i="1"/>
  <c r="S58" i="1"/>
  <c r="S44" i="1"/>
  <c r="S51" i="1"/>
  <c r="S98" i="1"/>
  <c r="S90" i="1"/>
  <c r="S93" i="1"/>
  <c r="S94" i="1"/>
  <c r="S106" i="1"/>
  <c r="S102" i="1"/>
  <c r="S104" i="1"/>
  <c r="S18" i="1"/>
  <c r="S62" i="1"/>
  <c r="S48" i="1"/>
  <c r="S59" i="1"/>
  <c r="S37" i="1"/>
  <c r="S43" i="1"/>
  <c r="S52" i="1"/>
  <c r="S105" i="1"/>
  <c r="S97" i="1"/>
  <c r="S69" i="1"/>
  <c r="S88" i="1"/>
  <c r="S74" i="1"/>
  <c r="S81" i="1"/>
  <c r="S19" i="1"/>
  <c r="S30" i="1"/>
  <c r="S47" i="1"/>
  <c r="S33" i="1"/>
  <c r="S32" i="1"/>
  <c r="S54" i="1"/>
  <c r="S26" i="1"/>
  <c r="S101" i="1"/>
  <c r="S20" i="1"/>
  <c r="S46" i="1"/>
  <c r="S34" i="1"/>
  <c r="S40" i="1"/>
  <c r="S64" i="1"/>
  <c r="S50" i="1"/>
  <c r="S24" i="1"/>
  <c r="S92" i="1"/>
  <c r="S73" i="1"/>
  <c r="S83" i="1"/>
  <c r="S16" i="1"/>
  <c r="S61" i="1"/>
  <c r="S22" i="1"/>
  <c r="S39" i="1"/>
  <c r="S31" i="1"/>
  <c r="S41" i="1"/>
  <c r="S36" i="1"/>
  <c r="S23" i="1"/>
  <c r="S63" i="1"/>
  <c r="S49" i="1"/>
  <c r="S99" i="1"/>
  <c r="S80" i="1"/>
  <c r="S96" i="1"/>
  <c r="S103" i="1"/>
  <c r="S75" i="1"/>
  <c r="S100" i="1"/>
  <c r="S70" i="1"/>
  <c r="S35" i="1"/>
  <c r="S28" i="1"/>
  <c r="S53" i="1"/>
  <c r="S25" i="1"/>
  <c r="S56" i="1"/>
  <c r="S21" i="1"/>
  <c r="R66" i="1"/>
  <c r="D122" i="1"/>
  <c r="D124" i="1" s="1"/>
  <c r="G122" i="1"/>
  <c r="G124" i="1" s="1"/>
  <c r="E122" i="1"/>
  <c r="E124" i="1" s="1"/>
  <c r="P122" i="1"/>
  <c r="P124" i="1" s="1"/>
  <c r="K122" i="1"/>
  <c r="K124" i="1" s="1"/>
  <c r="L122" i="1"/>
  <c r="L124" i="1" s="1"/>
  <c r="M122" i="1"/>
  <c r="M124" i="1" s="1"/>
  <c r="I122" i="1"/>
  <c r="I124" i="1" s="1"/>
  <c r="Q122" i="1"/>
  <c r="Q124" i="1" s="1"/>
  <c r="F122" i="1"/>
  <c r="F124" i="1" s="1"/>
  <c r="O122" i="1"/>
  <c r="O124" i="1" s="1"/>
  <c r="J122" i="1"/>
  <c r="J124" i="1" s="1"/>
  <c r="H122" i="1"/>
  <c r="H124" i="1" s="1"/>
  <c r="N122" i="1"/>
  <c r="N124" i="1" s="1"/>
  <c r="R134" i="1"/>
  <c r="S15" i="1"/>
  <c r="R84" i="1"/>
  <c r="S79" i="1"/>
  <c r="S87" i="1"/>
  <c r="R107" i="1"/>
  <c r="R76" i="1"/>
  <c r="R12" i="1"/>
  <c r="AO122" i="1" l="1"/>
  <c r="AO144" i="1"/>
  <c r="AO145" i="1" s="1"/>
  <c r="AT144" i="1"/>
  <c r="AT145" i="1" s="1"/>
  <c r="AT122" i="1"/>
  <c r="AT137" i="1"/>
  <c r="AW137" i="1"/>
  <c r="AW122" i="1"/>
  <c r="AW124" i="1" s="1"/>
  <c r="AU122" i="1"/>
  <c r="AU144" i="1"/>
  <c r="AU145" i="1" s="1"/>
  <c r="AS122" i="1"/>
  <c r="AS144" i="1"/>
  <c r="AS145" i="1" s="1"/>
  <c r="AP122" i="1"/>
  <c r="AP144" i="1"/>
  <c r="AV137" i="1"/>
  <c r="AV144" i="1"/>
  <c r="AV145" i="1" s="1"/>
  <c r="BI137" i="1"/>
  <c r="BI138" i="1" s="1"/>
  <c r="AN144" i="1"/>
  <c r="AN145" i="1" s="1"/>
  <c r="AR122" i="1"/>
  <c r="AR144" i="1"/>
  <c r="AR145" i="1" s="1"/>
  <c r="AM137" i="1"/>
  <c r="AM144" i="1"/>
  <c r="AM145" i="1" s="1"/>
  <c r="AQ122" i="1"/>
  <c r="AQ144" i="1"/>
  <c r="AQ145" i="1" s="1"/>
  <c r="H138" i="1"/>
  <c r="I138" i="1"/>
  <c r="R142" i="1"/>
  <c r="R145" i="1" s="1"/>
  <c r="F145" i="1"/>
  <c r="AM122" i="1"/>
  <c r="AO137" i="1"/>
  <c r="AN137" i="1"/>
  <c r="AN122" i="1"/>
  <c r="AU137" i="1"/>
  <c r="AP137" i="1"/>
  <c r="AV122" i="1"/>
  <c r="AV124" i="1" s="1"/>
  <c r="AQ137" i="1"/>
  <c r="AX113" i="1"/>
  <c r="AS137" i="1"/>
  <c r="AL122" i="1"/>
  <c r="AL137" i="1"/>
  <c r="AH65" i="1"/>
  <c r="BD65" i="1" s="1" a="1"/>
  <c r="BD65" i="1" s="1"/>
  <c r="S12" i="1"/>
  <c r="S76" i="1"/>
  <c r="S107" i="1"/>
  <c r="S66" i="1"/>
  <c r="S84" i="1"/>
  <c r="N138" i="1"/>
  <c r="O138" i="1"/>
  <c r="J138" i="1"/>
  <c r="G138" i="1"/>
  <c r="Q138" i="1"/>
  <c r="P138" i="1"/>
  <c r="K138" i="1"/>
  <c r="R136" i="1"/>
  <c r="M138" i="1"/>
  <c r="L138" i="1"/>
  <c r="F138" i="1"/>
  <c r="R122" i="1"/>
  <c r="R135" i="1"/>
  <c r="AN124" i="1" l="1"/>
  <c r="AT124" i="1"/>
  <c r="AM124" i="1"/>
  <c r="AP124" i="1"/>
  <c r="AR124" i="1"/>
  <c r="AS124" i="1"/>
  <c r="AQ124" i="1"/>
  <c r="AO124" i="1"/>
  <c r="AU124" i="1"/>
  <c r="BD113" i="1" a="1"/>
  <c r="BD113" i="1" s="1"/>
  <c r="BD118" i="1" s="1"/>
  <c r="AX144" i="1"/>
  <c r="AX145" i="1" s="1"/>
  <c r="AP145" i="1"/>
  <c r="BR137" i="1"/>
  <c r="BR138" i="1" s="1"/>
  <c r="BS65" i="1"/>
  <c r="AX118" i="1"/>
  <c r="AY113" i="1"/>
  <c r="AY118" i="1" s="1"/>
  <c r="AX137" i="1"/>
  <c r="AX122" i="1"/>
  <c r="AL124" i="1"/>
  <c r="S122" i="1"/>
  <c r="S124" i="1" s="1"/>
  <c r="R124" i="1"/>
  <c r="AI65" i="1"/>
  <c r="AY65" i="1"/>
  <c r="AH20" i="1"/>
  <c r="BD20" i="1" s="1" a="1"/>
  <c r="BD20" i="1" s="1"/>
  <c r="AH44" i="1"/>
  <c r="BD44" i="1" s="1" a="1"/>
  <c r="BD44" i="1" s="1"/>
  <c r="Y107" i="1"/>
  <c r="AH16" i="1"/>
  <c r="BD16" i="1" s="1" a="1"/>
  <c r="BD16" i="1" s="1"/>
  <c r="AH89" i="1"/>
  <c r="BD89" i="1" s="1" a="1"/>
  <c r="BD89" i="1" s="1"/>
  <c r="AH38" i="1"/>
  <c r="BD38" i="1" s="1" a="1"/>
  <c r="BD38" i="1" s="1"/>
  <c r="AH51" i="1"/>
  <c r="BD51" i="1" s="1" a="1"/>
  <c r="BD51" i="1" s="1"/>
  <c r="AH47" i="1"/>
  <c r="BD47" i="1" s="1" a="1"/>
  <c r="BD47" i="1" s="1"/>
  <c r="AH26" i="1"/>
  <c r="BD26" i="1" s="1" a="1"/>
  <c r="BD26" i="1" s="1"/>
  <c r="AH42" i="1"/>
  <c r="BD42" i="1" s="1" a="1"/>
  <c r="BD42" i="1" s="1"/>
  <c r="AH46" i="1"/>
  <c r="BD46" i="1" s="1" a="1"/>
  <c r="BD46" i="1" s="1"/>
  <c r="Z107" i="1"/>
  <c r="X12" i="1"/>
  <c r="AH92" i="1"/>
  <c r="BD92" i="1" s="1" a="1"/>
  <c r="BD92" i="1" s="1"/>
  <c r="AH52" i="1"/>
  <c r="BD52" i="1" s="1" a="1"/>
  <c r="BD52" i="1" s="1"/>
  <c r="AC66" i="1"/>
  <c r="AH82" i="1"/>
  <c r="BD82" i="1" s="1" a="1"/>
  <c r="BD82" i="1" s="1"/>
  <c r="AA107" i="1"/>
  <c r="AH27" i="1"/>
  <c r="BD27" i="1" s="1" a="1"/>
  <c r="BD27" i="1" s="1"/>
  <c r="AC76" i="1"/>
  <c r="AC142" i="1" s="1"/>
  <c r="Z12" i="1"/>
  <c r="AF12" i="1"/>
  <c r="AC84" i="1"/>
  <c r="AC143" i="1" s="1"/>
  <c r="AH29" i="1"/>
  <c r="BD29" i="1" s="1" a="1"/>
  <c r="BD29" i="1" s="1"/>
  <c r="AH28" i="1"/>
  <c r="BD28" i="1" s="1" a="1"/>
  <c r="BD28" i="1" s="1"/>
  <c r="AH72" i="1"/>
  <c r="BD72" i="1" s="1" a="1"/>
  <c r="BD72" i="1" s="1"/>
  <c r="Y76" i="1"/>
  <c r="Y142" i="1" s="1"/>
  <c r="Y84" i="1"/>
  <c r="Y143" i="1" s="1"/>
  <c r="AH59" i="1"/>
  <c r="BD59" i="1" s="1" a="1"/>
  <c r="BD59" i="1" s="1"/>
  <c r="AH30" i="1"/>
  <c r="BD30" i="1" s="1" a="1"/>
  <c r="BD30" i="1" s="1"/>
  <c r="AH58" i="1"/>
  <c r="BD58" i="1" s="1" a="1"/>
  <c r="BD58" i="1" s="1"/>
  <c r="AH90" i="1"/>
  <c r="BD90" i="1" s="1" a="1"/>
  <c r="BD90" i="1" s="1"/>
  <c r="AH88" i="1"/>
  <c r="BD88" i="1" s="1" a="1"/>
  <c r="BD88" i="1" s="1"/>
  <c r="AH73" i="1"/>
  <c r="BD73" i="1" s="1" a="1"/>
  <c r="BD73" i="1" s="1"/>
  <c r="AH61" i="1"/>
  <c r="BD61" i="1" s="1" a="1"/>
  <c r="BD61" i="1" s="1"/>
  <c r="AH49" i="1"/>
  <c r="BD49" i="1" s="1" a="1"/>
  <c r="BD49" i="1" s="1"/>
  <c r="AH50" i="1"/>
  <c r="BD50" i="1" s="1" a="1"/>
  <c r="BD50" i="1" s="1"/>
  <c r="AH36" i="1"/>
  <c r="BD36" i="1" s="1" a="1"/>
  <c r="BD36" i="1" s="1"/>
  <c r="AH71" i="1"/>
  <c r="BD71" i="1" s="1" a="1"/>
  <c r="BD71" i="1" s="1"/>
  <c r="AH10" i="1"/>
  <c r="BD10" i="1" s="1" a="1"/>
  <c r="BD10" i="1" s="1"/>
  <c r="AH70" i="1"/>
  <c r="BD70" i="1" s="1" a="1"/>
  <c r="BD70" i="1" s="1"/>
  <c r="X66" i="1"/>
  <c r="V107" i="1"/>
  <c r="AH87" i="1"/>
  <c r="BD87" i="1" s="1" a="1"/>
  <c r="BD87" i="1" s="1"/>
  <c r="AD76" i="1"/>
  <c r="AD142" i="1" s="1"/>
  <c r="AC12" i="1"/>
  <c r="Y12" i="1"/>
  <c r="AH75" i="1"/>
  <c r="BD75" i="1" s="1" a="1"/>
  <c r="BD75" i="1" s="1"/>
  <c r="AH35" i="1"/>
  <c r="BD35" i="1" s="1" a="1"/>
  <c r="BD35" i="1" s="1"/>
  <c r="AD84" i="1"/>
  <c r="AD143" i="1" s="1"/>
  <c r="AH103" i="1"/>
  <c r="BD103" i="1" s="1" a="1"/>
  <c r="BD103" i="1" s="1"/>
  <c r="AH99" i="1"/>
  <c r="BD99" i="1" s="1" a="1"/>
  <c r="BD99" i="1" s="1"/>
  <c r="V12" i="1"/>
  <c r="AH8" i="1"/>
  <c r="BD8" i="1" s="1" a="1"/>
  <c r="BD8" i="1" s="1"/>
  <c r="AH32" i="1"/>
  <c r="BD32" i="1" s="1" a="1"/>
  <c r="BD32" i="1" s="1"/>
  <c r="AF66" i="1"/>
  <c r="AD107" i="1"/>
  <c r="W76" i="1"/>
  <c r="W142" i="1" s="1"/>
  <c r="AA12" i="1"/>
  <c r="AG12" i="1"/>
  <c r="AH23" i="1"/>
  <c r="BD23" i="1" s="1" a="1"/>
  <c r="BD23" i="1" s="1"/>
  <c r="W84" i="1"/>
  <c r="W143" i="1" s="1"/>
  <c r="AB66" i="1"/>
  <c r="AH17" i="1"/>
  <c r="BD17" i="1" s="1" a="1"/>
  <c r="BD17" i="1" s="1"/>
  <c r="AH11" i="1"/>
  <c r="BD11" i="1" s="1" a="1"/>
  <c r="BD11" i="1" s="1"/>
  <c r="AH93" i="1"/>
  <c r="BD93" i="1" s="1" a="1"/>
  <c r="BD93" i="1" s="1"/>
  <c r="AH83" i="1"/>
  <c r="BD83" i="1" s="1" a="1"/>
  <c r="BD83" i="1" s="1"/>
  <c r="AH102" i="1"/>
  <c r="BD102" i="1" s="1" a="1"/>
  <c r="BD102" i="1" s="1"/>
  <c r="AH105" i="1"/>
  <c r="BD105" i="1" s="1" a="1"/>
  <c r="BD105" i="1" s="1"/>
  <c r="AH104" i="1"/>
  <c r="BD104" i="1" s="1" a="1"/>
  <c r="BD104" i="1" s="1"/>
  <c r="AE66" i="1"/>
  <c r="Y66" i="1"/>
  <c r="AH33" i="1"/>
  <c r="BD33" i="1" s="1" a="1"/>
  <c r="BD33" i="1" s="1"/>
  <c r="AG107" i="1"/>
  <c r="W107" i="1"/>
  <c r="AH98" i="1"/>
  <c r="BD98" i="1" s="1" a="1"/>
  <c r="BD98" i="1" s="1"/>
  <c r="AH69" i="1"/>
  <c r="BD69" i="1" s="1" a="1"/>
  <c r="BD69" i="1" s="1"/>
  <c r="V76" i="1"/>
  <c r="V142" i="1" s="1"/>
  <c r="AE76" i="1"/>
  <c r="AE142" i="1" s="1"/>
  <c r="AH95" i="1"/>
  <c r="BD95" i="1" s="1" a="1"/>
  <c r="BD95" i="1" s="1"/>
  <c r="AH18" i="1"/>
  <c r="BD18" i="1" s="1" a="1"/>
  <c r="BD18" i="1" s="1"/>
  <c r="AH37" i="1"/>
  <c r="BD37" i="1" s="1" a="1"/>
  <c r="BD37" i="1" s="1"/>
  <c r="AH97" i="1"/>
  <c r="BD97" i="1" s="1" a="1"/>
  <c r="BD97" i="1" s="1"/>
  <c r="AH34" i="1"/>
  <c r="BD34" i="1" s="1" a="1"/>
  <c r="BD34" i="1" s="1"/>
  <c r="AB12" i="1"/>
  <c r="AH39" i="1"/>
  <c r="BD39" i="1" s="1" a="1"/>
  <c r="BD39" i="1" s="1"/>
  <c r="AF84" i="1"/>
  <c r="AF143" i="1" s="1"/>
  <c r="AE84" i="1"/>
  <c r="AE143" i="1" s="1"/>
  <c r="AH21" i="1"/>
  <c r="BD21" i="1" s="1" a="1"/>
  <c r="BD21" i="1" s="1"/>
  <c r="AD66" i="1"/>
  <c r="AH63" i="1"/>
  <c r="BD63" i="1" s="1" a="1"/>
  <c r="BD63" i="1" s="1"/>
  <c r="AH55" i="1"/>
  <c r="BD55" i="1" s="1" a="1"/>
  <c r="BD55" i="1" s="1"/>
  <c r="AH48" i="1"/>
  <c r="BD48" i="1" s="1" a="1"/>
  <c r="BD48" i="1" s="1"/>
  <c r="AH19" i="1"/>
  <c r="BD19" i="1" s="1" a="1"/>
  <c r="BD19" i="1" s="1"/>
  <c r="AH64" i="1"/>
  <c r="BD64" i="1" s="1" a="1"/>
  <c r="BD64" i="1" s="1"/>
  <c r="AH60" i="1"/>
  <c r="BD60" i="1" s="1" a="1"/>
  <c r="BD60" i="1" s="1"/>
  <c r="V66" i="1"/>
  <c r="AH15" i="1"/>
  <c r="BD15" i="1" s="1" a="1"/>
  <c r="BD15" i="1" s="1"/>
  <c r="AG66" i="1"/>
  <c r="AH43" i="1"/>
  <c r="BD43" i="1" s="1" a="1"/>
  <c r="BD43" i="1" s="1"/>
  <c r="AH40" i="1"/>
  <c r="BD40" i="1" s="1" a="1"/>
  <c r="BD40" i="1" s="1"/>
  <c r="AH56" i="1"/>
  <c r="BD56" i="1" s="1" a="1"/>
  <c r="BD56" i="1" s="1"/>
  <c r="AB107" i="1"/>
  <c r="AE107" i="1"/>
  <c r="AF76" i="1"/>
  <c r="AF142" i="1" s="1"/>
  <c r="Z76" i="1"/>
  <c r="Z142" i="1" s="1"/>
  <c r="AH101" i="1"/>
  <c r="BD101" i="1" s="1" a="1"/>
  <c r="BD101" i="1" s="1"/>
  <c r="AH94" i="1"/>
  <c r="BD94" i="1" s="1" a="1"/>
  <c r="BD94" i="1" s="1"/>
  <c r="AH24" i="1"/>
  <c r="BD24" i="1" s="1" a="1"/>
  <c r="BD24" i="1" s="1"/>
  <c r="AD12" i="1"/>
  <c r="V84" i="1"/>
  <c r="V143" i="1" s="1"/>
  <c r="AH79" i="1"/>
  <c r="BD79" i="1" s="1" a="1"/>
  <c r="BD79" i="1" s="1"/>
  <c r="Z84" i="1"/>
  <c r="Z143" i="1" s="1"/>
  <c r="AA66" i="1"/>
  <c r="AF107" i="1"/>
  <c r="AH31" i="1"/>
  <c r="BD31" i="1" s="1" a="1"/>
  <c r="BD31" i="1" s="1"/>
  <c r="AH22" i="1"/>
  <c r="BD22" i="1" s="1" a="1"/>
  <c r="BD22" i="1" s="1"/>
  <c r="AH9" i="1"/>
  <c r="BD9" i="1" s="1" a="1"/>
  <c r="BD9" i="1" s="1"/>
  <c r="AH25" i="1"/>
  <c r="BD25" i="1" s="1" a="1"/>
  <c r="BD25" i="1" s="1"/>
  <c r="AH41" i="1"/>
  <c r="BD41" i="1" s="1" a="1"/>
  <c r="BD41" i="1" s="1"/>
  <c r="AH96" i="1"/>
  <c r="BD96" i="1" s="1" a="1"/>
  <c r="BD96" i="1" s="1"/>
  <c r="AH53" i="1"/>
  <c r="BD53" i="1" s="1" a="1"/>
  <c r="BD53" i="1" s="1"/>
  <c r="AH54" i="1"/>
  <c r="BD54" i="1" s="1" a="1"/>
  <c r="BD54" i="1" s="1"/>
  <c r="W66" i="1"/>
  <c r="Z66" i="1"/>
  <c r="AH80" i="1"/>
  <c r="BD80" i="1" s="1" a="1"/>
  <c r="BD80" i="1" s="1"/>
  <c r="AC107" i="1"/>
  <c r="X107" i="1"/>
  <c r="AH57" i="1"/>
  <c r="BD57" i="1" s="1" a="1"/>
  <c r="BD57" i="1" s="1"/>
  <c r="AH62" i="1"/>
  <c r="BD62" i="1" s="1" a="1"/>
  <c r="BD62" i="1" s="1"/>
  <c r="AG76" i="1"/>
  <c r="AG142" i="1" s="1"/>
  <c r="AA76" i="1"/>
  <c r="AA142" i="1" s="1"/>
  <c r="AH81" i="1"/>
  <c r="BD81" i="1" s="1" a="1"/>
  <c r="BD81" i="1" s="1"/>
  <c r="AH45" i="1"/>
  <c r="BD45" i="1" s="1" a="1"/>
  <c r="BD45" i="1" s="1"/>
  <c r="AH74" i="1"/>
  <c r="BD74" i="1" s="1" a="1"/>
  <c r="BD74" i="1" s="1"/>
  <c r="W12" i="1"/>
  <c r="AG84" i="1"/>
  <c r="AG143" i="1" s="1"/>
  <c r="AA84" i="1"/>
  <c r="AA143" i="1" s="1"/>
  <c r="X76" i="1"/>
  <c r="X142" i="1" s="1"/>
  <c r="AB76" i="1"/>
  <c r="AB142" i="1" s="1"/>
  <c r="AH100" i="1"/>
  <c r="BD100" i="1" s="1" a="1"/>
  <c r="BD100" i="1" s="1"/>
  <c r="AE12" i="1"/>
  <c r="X84" i="1"/>
  <c r="X143" i="1" s="1"/>
  <c r="AB84" i="1"/>
  <c r="AB143" i="1" s="1"/>
  <c r="R138" i="1"/>
  <c r="P6" i="1"/>
  <c r="W145" i="1" l="1"/>
  <c r="AB145" i="1"/>
  <c r="AC145" i="1"/>
  <c r="Z145" i="1"/>
  <c r="AE145" i="1"/>
  <c r="X145" i="1"/>
  <c r="AF145" i="1"/>
  <c r="AD145" i="1"/>
  <c r="AA145" i="1"/>
  <c r="AG145" i="1"/>
  <c r="Y145" i="1"/>
  <c r="V145" i="1"/>
  <c r="BS74" i="1"/>
  <c r="BS32" i="1"/>
  <c r="BS71" i="1"/>
  <c r="BS51" i="1"/>
  <c r="BS45" i="1"/>
  <c r="BS9" i="1"/>
  <c r="BS39" i="1"/>
  <c r="BS100" i="1"/>
  <c r="BS81" i="1"/>
  <c r="BS22" i="1"/>
  <c r="BS24" i="1"/>
  <c r="BS40" i="1"/>
  <c r="BS48" i="1"/>
  <c r="BS69" i="1"/>
  <c r="BS105" i="1"/>
  <c r="BS23" i="1"/>
  <c r="BS50" i="1"/>
  <c r="BS59" i="1"/>
  <c r="BS89" i="1"/>
  <c r="BS64" i="1"/>
  <c r="BS58" i="1"/>
  <c r="BS52" i="1"/>
  <c r="BS80" i="1"/>
  <c r="BS56" i="1"/>
  <c r="BS19" i="1"/>
  <c r="BS104" i="1"/>
  <c r="AI8" i="1"/>
  <c r="BS8" i="1"/>
  <c r="BS36" i="1"/>
  <c r="BS30" i="1"/>
  <c r="BS92" i="1"/>
  <c r="BS38" i="1"/>
  <c r="BS31" i="1"/>
  <c r="BS94" i="1"/>
  <c r="BS43" i="1"/>
  <c r="BS55" i="1"/>
  <c r="BS34" i="1"/>
  <c r="BS98" i="1"/>
  <c r="BS102" i="1"/>
  <c r="BS99" i="1"/>
  <c r="BS87" i="1"/>
  <c r="BS49" i="1"/>
  <c r="BS16" i="1"/>
  <c r="BS25" i="1"/>
  <c r="BS101" i="1"/>
  <c r="BS63" i="1"/>
  <c r="BS97" i="1"/>
  <c r="BS83" i="1"/>
  <c r="BS27" i="1"/>
  <c r="BS46" i="1"/>
  <c r="BS62" i="1"/>
  <c r="BS53" i="1"/>
  <c r="BS73" i="1"/>
  <c r="BS42" i="1"/>
  <c r="BS44" i="1"/>
  <c r="BS57" i="1"/>
  <c r="BS96" i="1"/>
  <c r="BS21" i="1"/>
  <c r="BS18" i="1"/>
  <c r="BS33" i="1"/>
  <c r="BS11" i="1"/>
  <c r="BS35" i="1"/>
  <c r="BS70" i="1"/>
  <c r="BS88" i="1"/>
  <c r="BS28" i="1"/>
  <c r="BS82" i="1"/>
  <c r="BS26" i="1"/>
  <c r="BS20" i="1"/>
  <c r="BS54" i="1"/>
  <c r="BS103" i="1"/>
  <c r="BS61" i="1"/>
  <c r="BS15" i="1"/>
  <c r="BS37" i="1"/>
  <c r="BS93" i="1"/>
  <c r="BS72" i="1"/>
  <c r="BS41" i="1"/>
  <c r="BS79" i="1"/>
  <c r="BS60" i="1"/>
  <c r="BS95" i="1"/>
  <c r="BS17" i="1"/>
  <c r="BS75" i="1"/>
  <c r="BS10" i="1"/>
  <c r="BS90" i="1"/>
  <c r="BS29" i="1"/>
  <c r="BS47" i="1"/>
  <c r="AV6" i="1"/>
  <c r="AX124" i="1"/>
  <c r="AY122" i="1"/>
  <c r="AI80" i="1"/>
  <c r="AY80" i="1"/>
  <c r="AI104" i="1"/>
  <c r="AY104" i="1"/>
  <c r="AI38" i="1"/>
  <c r="AY38" i="1"/>
  <c r="AI100" i="1"/>
  <c r="AY100" i="1"/>
  <c r="AI81" i="1"/>
  <c r="AY81" i="1"/>
  <c r="AI22" i="1"/>
  <c r="AY22" i="1"/>
  <c r="AI24" i="1"/>
  <c r="AY24" i="1"/>
  <c r="AI40" i="1"/>
  <c r="AY40" i="1"/>
  <c r="AI48" i="1"/>
  <c r="AY48" i="1"/>
  <c r="AI69" i="1"/>
  <c r="AY69" i="1"/>
  <c r="AI105" i="1"/>
  <c r="AY105" i="1"/>
  <c r="AI23" i="1"/>
  <c r="AY23" i="1"/>
  <c r="AD135" i="1"/>
  <c r="AI50" i="1"/>
  <c r="AY50" i="1"/>
  <c r="AI59" i="1"/>
  <c r="AY59" i="1"/>
  <c r="AI89" i="1"/>
  <c r="AY89" i="1"/>
  <c r="V135" i="1"/>
  <c r="AB135" i="1"/>
  <c r="AA135" i="1"/>
  <c r="AI31" i="1"/>
  <c r="AY31" i="1"/>
  <c r="AI94" i="1"/>
  <c r="AY94" i="1"/>
  <c r="AI43" i="1"/>
  <c r="AY43" i="1"/>
  <c r="AI55" i="1"/>
  <c r="AY55" i="1"/>
  <c r="AI34" i="1"/>
  <c r="AY34" i="1"/>
  <c r="AI98" i="1"/>
  <c r="AY98" i="1"/>
  <c r="AI102" i="1"/>
  <c r="AY102" i="1"/>
  <c r="AI99" i="1"/>
  <c r="AY99" i="1"/>
  <c r="AI87" i="1"/>
  <c r="AY87" i="1"/>
  <c r="AI49" i="1"/>
  <c r="AY49" i="1"/>
  <c r="Y136" i="1"/>
  <c r="AC135" i="1"/>
  <c r="AI16" i="1"/>
  <c r="AY16" i="1"/>
  <c r="AY8" i="1"/>
  <c r="AI92" i="1"/>
  <c r="AY92" i="1"/>
  <c r="X135" i="1"/>
  <c r="AG135" i="1"/>
  <c r="AI54" i="1"/>
  <c r="AY54" i="1"/>
  <c r="AI101" i="1"/>
  <c r="AY101" i="1"/>
  <c r="AI63" i="1"/>
  <c r="AY63" i="1"/>
  <c r="AI97" i="1"/>
  <c r="AY97" i="1"/>
  <c r="AI83" i="1"/>
  <c r="AY83" i="1"/>
  <c r="AI103" i="1"/>
  <c r="AY103" i="1"/>
  <c r="AI61" i="1"/>
  <c r="AY61" i="1"/>
  <c r="Y135" i="1"/>
  <c r="AO138" i="1"/>
  <c r="AI27" i="1"/>
  <c r="AY27" i="1"/>
  <c r="AI46" i="1"/>
  <c r="AY46" i="1"/>
  <c r="AI56" i="1"/>
  <c r="AY56" i="1"/>
  <c r="AI53" i="1"/>
  <c r="AY53" i="1"/>
  <c r="Z135" i="1"/>
  <c r="AI15" i="1"/>
  <c r="AY15" i="1"/>
  <c r="AI37" i="1"/>
  <c r="AY37" i="1"/>
  <c r="AI93" i="1"/>
  <c r="AY93" i="1"/>
  <c r="W135" i="1"/>
  <c r="AM138" i="1"/>
  <c r="AD136" i="1"/>
  <c r="AI73" i="1"/>
  <c r="AY73" i="1"/>
  <c r="AI72" i="1"/>
  <c r="AY72" i="1"/>
  <c r="AI42" i="1"/>
  <c r="AY42" i="1"/>
  <c r="AI44" i="1"/>
  <c r="AY44" i="1"/>
  <c r="AI9" i="1"/>
  <c r="AY9" i="1"/>
  <c r="W136" i="1"/>
  <c r="AI30" i="1"/>
  <c r="AY30" i="1"/>
  <c r="AG136" i="1"/>
  <c r="AI57" i="1"/>
  <c r="AY57" i="1"/>
  <c r="AI96" i="1"/>
  <c r="AY96" i="1"/>
  <c r="Z136" i="1"/>
  <c r="AF135" i="1"/>
  <c r="AI21" i="1"/>
  <c r="AY21" i="1"/>
  <c r="AI18" i="1"/>
  <c r="AY18" i="1"/>
  <c r="AI33" i="1"/>
  <c r="AY33" i="1"/>
  <c r="AI11" i="1"/>
  <c r="AY11" i="1"/>
  <c r="AI35" i="1"/>
  <c r="AY35" i="1"/>
  <c r="AI70" i="1"/>
  <c r="AY70" i="1"/>
  <c r="AI88" i="1"/>
  <c r="AY88" i="1"/>
  <c r="AI28" i="1"/>
  <c r="AY28" i="1"/>
  <c r="AI82" i="1"/>
  <c r="AY82" i="1"/>
  <c r="AI26" i="1"/>
  <c r="AY26" i="1"/>
  <c r="AI20" i="1"/>
  <c r="AY20" i="1"/>
  <c r="AI45" i="1"/>
  <c r="AY45" i="1"/>
  <c r="AI39" i="1"/>
  <c r="AY39" i="1"/>
  <c r="AI62" i="1"/>
  <c r="AY62" i="1"/>
  <c r="AB136" i="1"/>
  <c r="AI41" i="1"/>
  <c r="AY41" i="1"/>
  <c r="AI79" i="1"/>
  <c r="AY79" i="1"/>
  <c r="AI60" i="1"/>
  <c r="AY60" i="1"/>
  <c r="AE136" i="1"/>
  <c r="AI95" i="1"/>
  <c r="AY95" i="1"/>
  <c r="AI17" i="1"/>
  <c r="AY17" i="1"/>
  <c r="AI75" i="1"/>
  <c r="AY75" i="1"/>
  <c r="AI10" i="1"/>
  <c r="AY10" i="1"/>
  <c r="AI90" i="1"/>
  <c r="AY90" i="1"/>
  <c r="AI29" i="1"/>
  <c r="AY29" i="1"/>
  <c r="AI47" i="1"/>
  <c r="AY47" i="1"/>
  <c r="AI19" i="1"/>
  <c r="AY19" i="1"/>
  <c r="AI36" i="1"/>
  <c r="AY36" i="1"/>
  <c r="AA136" i="1"/>
  <c r="X136" i="1"/>
  <c r="AI74" i="1"/>
  <c r="AY74" i="1"/>
  <c r="AI25" i="1"/>
  <c r="AY25" i="1"/>
  <c r="V136" i="1"/>
  <c r="AI64" i="1"/>
  <c r="AY64" i="1"/>
  <c r="AF136" i="1"/>
  <c r="AE135" i="1"/>
  <c r="AI32" i="1"/>
  <c r="AY32" i="1"/>
  <c r="AI71" i="1"/>
  <c r="AY71" i="1"/>
  <c r="AI58" i="1"/>
  <c r="AY58" i="1"/>
  <c r="AC136" i="1"/>
  <c r="AI52" i="1"/>
  <c r="AY52" i="1"/>
  <c r="AI51" i="1"/>
  <c r="AY51" i="1"/>
  <c r="AD122" i="1"/>
  <c r="AD124" i="1" s="1"/>
  <c r="AE122" i="1"/>
  <c r="AE124" i="1" s="1"/>
  <c r="AH12" i="1"/>
  <c r="Y122" i="1"/>
  <c r="Y124" i="1" s="1"/>
  <c r="AC122" i="1"/>
  <c r="AC124" i="1" s="1"/>
  <c r="AH76" i="1"/>
  <c r="AH66" i="1"/>
  <c r="AG122" i="1"/>
  <c r="AG124" i="1" s="1"/>
  <c r="V122" i="1"/>
  <c r="V124" i="1" s="1"/>
  <c r="AF122" i="1"/>
  <c r="AF124" i="1" s="1"/>
  <c r="AA122" i="1"/>
  <c r="AA124" i="1" s="1"/>
  <c r="AH107" i="1"/>
  <c r="Z122" i="1"/>
  <c r="Z124" i="1" s="1"/>
  <c r="X122" i="1"/>
  <c r="X124" i="1" s="1"/>
  <c r="AB122" i="1"/>
  <c r="AB124" i="1" s="1"/>
  <c r="W122" i="1"/>
  <c r="W124" i="1" s="1"/>
  <c r="AH84" i="1"/>
  <c r="W138" i="1" l="1"/>
  <c r="BD76" i="1"/>
  <c r="BD12" i="1"/>
  <c r="BD66" i="1"/>
  <c r="BD107" i="1"/>
  <c r="BD84" i="1"/>
  <c r="BS66" i="1"/>
  <c r="BS124" i="1" s="1"/>
  <c r="BS12" i="1"/>
  <c r="BS76" i="1"/>
  <c r="BS84" i="1"/>
  <c r="BS107" i="1"/>
  <c r="AA138" i="1"/>
  <c r="AE138" i="1"/>
  <c r="AD138" i="1"/>
  <c r="AY84" i="1"/>
  <c r="AG138" i="1"/>
  <c r="AC138" i="1"/>
  <c r="AI76" i="1"/>
  <c r="X138" i="1"/>
  <c r="AI107" i="1"/>
  <c r="AF138" i="1"/>
  <c r="AI66" i="1"/>
  <c r="Y138" i="1"/>
  <c r="AB138" i="1"/>
  <c r="Z138" i="1"/>
  <c r="AI12" i="1"/>
  <c r="V138" i="1"/>
  <c r="AI84" i="1"/>
  <c r="AW138" i="1"/>
  <c r="AY107" i="1"/>
  <c r="AX136" i="1"/>
  <c r="AN138" i="1"/>
  <c r="AS138" i="1"/>
  <c r="AQ138" i="1"/>
  <c r="AU138" i="1"/>
  <c r="AV138" i="1"/>
  <c r="AY66" i="1"/>
  <c r="AY124" i="1" s="1"/>
  <c r="AR138" i="1"/>
  <c r="AY76" i="1"/>
  <c r="AP138" i="1"/>
  <c r="AY12" i="1"/>
  <c r="AX135" i="1"/>
  <c r="AL138" i="1"/>
  <c r="AT138" i="1"/>
  <c r="AH122" i="1"/>
  <c r="BD122" i="1" l="1"/>
  <c r="BD124" i="1" s="1"/>
  <c r="AF6" i="1"/>
  <c r="AH124" i="1"/>
  <c r="AX138" i="1"/>
  <c r="AI122" i="1"/>
  <c r="AI1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<sst xmlns="http://schemas.openxmlformats.org/spreadsheetml/2006/main" count="1752" uniqueCount="393">
  <si>
    <t>6030020 - Reg costs - recovered by IG Comp. Salari</t>
  </si>
  <si>
    <t>6026010 - Expatriot Employee Expenses</t>
  </si>
  <si>
    <t>6024050 - Relocation Expense 3</t>
  </si>
  <si>
    <t>6024040 - Relocation Expense 2</t>
  </si>
  <si>
    <t>6024030 - Relocation Expense 1</t>
  </si>
  <si>
    <t>6022040 - Travel and Interview</t>
  </si>
  <si>
    <t>6022010 - Personnel Agency and Search fees</t>
  </si>
  <si>
    <t>6022000 - Advertising fees</t>
  </si>
  <si>
    <t>6019010 - Temporary Help - Other</t>
  </si>
  <si>
    <t>6019000 - Temp Help Offic</t>
  </si>
  <si>
    <t>6013050 - Non-Monetary Employee Gifts - Holiday</t>
  </si>
  <si>
    <t>6010030 - Share-Based Payment</t>
  </si>
  <si>
    <t>6010020 - Staff Bonus</t>
  </si>
  <si>
    <t>6010010 - Staff Target Incentives</t>
  </si>
  <si>
    <t>6006520 - Defined Contribution Plan (account 5060B)</t>
  </si>
  <si>
    <t>6006510 - Employer Matching of Employee Contributi</t>
  </si>
  <si>
    <t>6006500 - Employer Contributions</t>
  </si>
  <si>
    <t>6006310 - Medical Expenses - Hospitalisation Staff</t>
  </si>
  <si>
    <t>6006300 - Medical Expenses - Hospitalisation Staff</t>
  </si>
  <si>
    <t>6006290 - Medical Expenses - Clinical</t>
  </si>
  <si>
    <t>6006280 - Medical expenses</t>
  </si>
  <si>
    <t>6006270 - Uniform subsidies</t>
  </si>
  <si>
    <t>6006260 - Education, tuition subsidies</t>
  </si>
  <si>
    <t>6006250 - Employee Housing subsides</t>
  </si>
  <si>
    <t>6006240 - Infant food subsidies</t>
  </si>
  <si>
    <t>6006220 - Transportation subsidies</t>
  </si>
  <si>
    <t>6006210 - Meal and Staff Store subsidies</t>
  </si>
  <si>
    <t>6006200 - Employee Benefit Programs - Other</t>
  </si>
  <si>
    <t>6006050 - Life and Accident Insurance</t>
  </si>
  <si>
    <t>6006030 - Workers Compensation Insurance</t>
  </si>
  <si>
    <t>6006000 - Medical Insurance</t>
  </si>
  <si>
    <t>6005130 - Defined Benefits Cost (account 5060A)</t>
  </si>
  <si>
    <t>6005110 - Compensation for Years of Services</t>
  </si>
  <si>
    <t>6005100 - Monetary Gift - Holiday and Other</t>
  </si>
  <si>
    <t>6005090 - Service Award</t>
  </si>
  <si>
    <t>6005080 - Severance Pay</t>
  </si>
  <si>
    <t>6005070 - Pension, Retirement Benefits</t>
  </si>
  <si>
    <t>6005060 - Bereavement</t>
  </si>
  <si>
    <t>6005000 - Paid Time Off - Vacation, Sick time</t>
  </si>
  <si>
    <t>6000210 - Labor - Temporary non-production labor</t>
  </si>
  <si>
    <t>6000200 - Labor - Temporary production labor</t>
  </si>
  <si>
    <t>6000130 - Labor - Salary Srvice Premium</t>
  </si>
  <si>
    <t>6000120 - Labor - Salary 13th month</t>
  </si>
  <si>
    <t>6000110 - Labor - Salary overtime</t>
  </si>
  <si>
    <t>6000100 - Labor - Salary general</t>
  </si>
  <si>
    <t>6000000 - Labor - Hourly general</t>
  </si>
  <si>
    <t>5060000 - Fines and Penalties</t>
  </si>
  <si>
    <t>5056100 - Employee events - Other</t>
  </si>
  <si>
    <t>5056000 - Employee events - Service Awards</t>
  </si>
  <si>
    <t>5032010 - Professional Fees - Pension and Benefit</t>
  </si>
  <si>
    <t>5028010 - Personal Taxes, Licenses, permits or fee</t>
  </si>
  <si>
    <t>COMMENT</t>
  </si>
  <si>
    <t>YEAR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</si>
  <si>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</si>
  <si>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</si>
  <si>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</si>
  <si>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</si>
  <si>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</si>
  <si>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</si>
  <si>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</si>
  <si>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</si>
  <si>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</si>
  <si>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</si>
  <si>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</si>
  <si>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</si>
  <si>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Note: % should be equal or less than 27%</t>
  </si>
  <si>
    <t>SALARIES &amp; SOCIAL CHARGES TOTAL</t>
  </si>
  <si>
    <t>SALARIES &amp; SOCIAL CHARGES</t>
  </si>
  <si>
    <t>LE1 2025</t>
  </si>
  <si>
    <t>VLOOKUP</t>
  </si>
  <si>
    <t>GL Merged2</t>
  </si>
  <si>
    <t>L2</t>
  </si>
  <si>
    <t>Training</t>
  </si>
  <si>
    <t>Department</t>
  </si>
  <si>
    <t>PIC</t>
  </si>
  <si>
    <t>Travel Month</t>
  </si>
  <si>
    <t>Version</t>
  </si>
  <si>
    <t>5042060 - Postage and shipping - TandE Reimbursed</t>
  </si>
  <si>
    <t>01 Materials-related</t>
  </si>
  <si>
    <t>Training-Internal</t>
  </si>
  <si>
    <t>5046000 - Operating Supplies</t>
  </si>
  <si>
    <t>Training-External</t>
  </si>
  <si>
    <t>5046010 - Laboratory Materials</t>
  </si>
  <si>
    <t>5055010 - Other Product Related Costs</t>
  </si>
  <si>
    <t>5034010 - Quality Assurance Testing services</t>
  </si>
  <si>
    <t>External Analysis Total</t>
  </si>
  <si>
    <t>5014000 - Maintenance and Repair</t>
  </si>
  <si>
    <t>02 Maintenance &amp; Repair</t>
  </si>
  <si>
    <t>5014030 - Material &amp; Spare Parts</t>
  </si>
  <si>
    <t>5032020 - Prof. Fees - Marketing, Mgmt or IT Consu</t>
  </si>
  <si>
    <t>External Contracts</t>
  </si>
  <si>
    <t>5032100 - Professional Fees - Other</t>
  </si>
  <si>
    <t>5032110 - Certification audit fees on NMS</t>
  </si>
  <si>
    <t>5034000 - Outside Services - General</t>
  </si>
  <si>
    <t>5034100 - Outside Services - Other</t>
  </si>
  <si>
    <t>5030020 - Software Expenses - Others</t>
  </si>
  <si>
    <t>01. Office, IT &amp; Telecom</t>
  </si>
  <si>
    <t>5040010 - Telecom - Voice, Tele and Videoconferenc</t>
  </si>
  <si>
    <t>5040020 - Telecommunications - mobile and paging s</t>
  </si>
  <si>
    <t>5040030 - Telecommunications - Internet and data</t>
  </si>
  <si>
    <t>5040120 - Telecomm. - TandE Reimbursed phone, fax,</t>
  </si>
  <si>
    <t>5044000 - Small Office Equipment</t>
  </si>
  <si>
    <t>5048040 - Office Supplies - TandE Reimbursed</t>
  </si>
  <si>
    <t>5058020 - Books, Subscrptns, Dues, Fees - T and E</t>
  </si>
  <si>
    <t>5026020 - Stamp Duties, Sundry Taxes</t>
  </si>
  <si>
    <t>01. Other Expenses</t>
  </si>
  <si>
    <t>5034020 - Environment, Safety services</t>
  </si>
  <si>
    <t>5058030 - Membership Fees</t>
  </si>
  <si>
    <t>5062060 - Donations, Gifts - Other</t>
  </si>
  <si>
    <t>5010000 - Warehousing 3rd Party</t>
  </si>
  <si>
    <t>02. Building Expenses</t>
  </si>
  <si>
    <t>5016000 - Waste Disposal</t>
  </si>
  <si>
    <t>5026000 - Real Property Taxes</t>
  </si>
  <si>
    <t>5026010 - Real Property permits, licenses and fees</t>
  </si>
  <si>
    <t>5034030 - Cleaning, Janitorial services</t>
  </si>
  <si>
    <t>5034040 - Security</t>
  </si>
  <si>
    <t>5034050 - Building and Landscaping maintenance ser</t>
  </si>
  <si>
    <t>5012010 - Energy - Water</t>
  </si>
  <si>
    <t>03. Energy</t>
  </si>
  <si>
    <t>5012030 - Energy - Electricity</t>
  </si>
  <si>
    <t>5012040 - Energy - Steam</t>
  </si>
  <si>
    <t>5012060 - Energy - Natural Gas</t>
  </si>
  <si>
    <t>5012090 - Energy - Vehicle Fuel Oil</t>
  </si>
  <si>
    <t>Galindo Camila</t>
  </si>
  <si>
    <t>Sujin Sudsa-ard</t>
  </si>
  <si>
    <t>Kang Shang Shang</t>
  </si>
  <si>
    <t>Catherine Lai</t>
  </si>
  <si>
    <t>Sheik Abdullah Allapichai</t>
  </si>
  <si>
    <t>Liang Youyun</t>
  </si>
  <si>
    <t>Jeffry Lawrence Jacob</t>
  </si>
  <si>
    <t>Tze Lai Chang</t>
  </si>
  <si>
    <t>Sim Shyh Liang</t>
  </si>
  <si>
    <t>Ben Hobbs</t>
  </si>
  <si>
    <t>Guglielmo Bonora</t>
  </si>
  <si>
    <t>Noor Muhammad</t>
  </si>
  <si>
    <t>Marc-Andre Zingre</t>
  </si>
  <si>
    <t>Leisa Ridges/Josephine June</t>
  </si>
  <si>
    <t>Wahyu Retno</t>
  </si>
  <si>
    <t>Ang Wei Jie</t>
  </si>
  <si>
    <t>Allan Lim</t>
  </si>
  <si>
    <t>Martin Sohr</t>
  </si>
  <si>
    <t>Chauvin Guillaume</t>
  </si>
  <si>
    <t>N.A</t>
  </si>
  <si>
    <t>Mak Tsz Ning</t>
  </si>
  <si>
    <t>Li Qiaoji</t>
  </si>
  <si>
    <t>Naveen Kumar Puttalingaiah</t>
  </si>
  <si>
    <t>Shreema Sathya</t>
  </si>
  <si>
    <t>Ong Moi Kim</t>
  </si>
  <si>
    <t>14790070-SGP Coffee NDU</t>
  </si>
  <si>
    <t>14790075-SGP Coffee TCU</t>
  </si>
  <si>
    <t>14790022-SGP Coffee ICC</t>
  </si>
  <si>
    <t>14790076-SGP Coffee RTD</t>
  </si>
  <si>
    <t>14790077-SGP Coffee PAC</t>
  </si>
  <si>
    <t>14790040-SGP NUT CMB</t>
  </si>
  <si>
    <t>14790045-SGP NUT CTU</t>
  </si>
  <si>
    <t>14790046-SGP NUT Strategic</t>
  </si>
  <si>
    <t>14790047-SGP NUT Other income</t>
  </si>
  <si>
    <t>14790080-SGP NP NDU</t>
  </si>
  <si>
    <t>14792021-SGP Petcare NDU</t>
  </si>
  <si>
    <t>14792010-SGP IC NDU</t>
  </si>
  <si>
    <t>14790056-SGP Food NDU</t>
  </si>
  <si>
    <t>14790010-SGP Site F&amp;C</t>
  </si>
  <si>
    <t>14790015-SGP Site Globe &amp; ISIT</t>
  </si>
  <si>
    <t>14790021-SGP Site Engineering</t>
  </si>
  <si>
    <t>14790030-SGP Site Mgmt Office</t>
  </si>
  <si>
    <t>14790031-SGP Site OPFE Services &amp; CAPEX</t>
  </si>
  <si>
    <t>14790032-SGP Site FSQM</t>
  </si>
  <si>
    <t>14790051-SGP Site Pilot Plant</t>
  </si>
  <si>
    <t>14790055-SGP Site Common Cost</t>
  </si>
  <si>
    <t>14790057-SGP Site HR</t>
  </si>
  <si>
    <t>14790058-SGP Site Open Innovation</t>
  </si>
  <si>
    <t>14790059-SGP Site Acelerator</t>
  </si>
  <si>
    <t>14790088-SGP Site S&amp;T</t>
  </si>
  <si>
    <t>14790089-SGP Site Sensory</t>
  </si>
  <si>
    <t>14790060-SGP Site PRO Imports</t>
  </si>
  <si>
    <t xml:space="preserve">14790065-SGP Site PRO Exports </t>
  </si>
  <si>
    <t>14790023-SGP Packaging GELS</t>
  </si>
  <si>
    <t xml:space="preserve">14790024-SGP CT-Packaging ADS </t>
  </si>
  <si>
    <t>14792011-SGP NR NIHS Singapore</t>
  </si>
  <si>
    <t>14792012-SGP CRU Singapore</t>
  </si>
  <si>
    <t>14792013-SGP NR NIAS</t>
  </si>
  <si>
    <t>14790050-SGP NHSc Projects</t>
  </si>
  <si>
    <t>14792020-SGP IAM Patents</t>
  </si>
  <si>
    <t xml:space="preserve">14792022-SGP CT-RSA </t>
  </si>
  <si>
    <t>14793000-SGP Tax Credit RDSG</t>
  </si>
  <si>
    <r>
      <rPr>
        <b/>
        <sz val="20"/>
        <color rgb="FF428281"/>
        <rFont val="Aptos Display"/>
        <family val="2"/>
        <scheme val="major"/>
      </rPr>
      <t>Nestle R&amp;D Center (Pte) Ltd</t>
    </r>
    <r>
      <rPr>
        <sz val="16"/>
        <color rgb="FF428281"/>
        <rFont val="Aptos Display"/>
        <family val="2"/>
        <scheme val="major"/>
      </rPr>
      <t xml:space="preserve">
LEI OPEX 2025</t>
    </r>
  </si>
  <si>
    <t>PRELIM V200</t>
  </si>
  <si>
    <t>INCOME</t>
  </si>
  <si>
    <t>5063200 - Sundry income</t>
  </si>
  <si>
    <t>6030000 - Regional Coste - Recovered by IG Compani</t>
  </si>
  <si>
    <t>6032020 - Central Costs - Recovered from IG Compan</t>
  </si>
  <si>
    <t>6030100 - Reg costs - recovered from IG Comp. Othe</t>
  </si>
  <si>
    <t>INCOME TOTAL</t>
  </si>
  <si>
    <t>VARIABLE EXPENSES</t>
  </si>
  <si>
    <t>EXTERNAL CONTRACT</t>
  </si>
  <si>
    <t>EXTERNAL TOTAL</t>
  </si>
  <si>
    <t>5032000 - Professional Fees - Legal, Audit and Tax</t>
  </si>
  <si>
    <t>INFRASTRUCTURE</t>
  </si>
  <si>
    <t>5006000 - Depreciation Expense</t>
  </si>
  <si>
    <t>5038000 - Insurance - General</t>
  </si>
  <si>
    <t>5038040 - Insurance - Vehicle</t>
  </si>
  <si>
    <t>5024000 - Lease or Rent Expense</t>
  </si>
  <si>
    <t>5024030 - Lease expense - Short term leases</t>
  </si>
  <si>
    <t>TOTALS</t>
  </si>
  <si>
    <t>VARIABLE TOTAL</t>
  </si>
  <si>
    <t>INFRASTRUCTURE TOTAL</t>
  </si>
  <si>
    <t>I2L</t>
  </si>
  <si>
    <t>Variance (I2L vs OPEX Budget)</t>
  </si>
  <si>
    <t>I2L TOTAL</t>
  </si>
  <si>
    <t>VARIANCE TOTAL</t>
  </si>
  <si>
    <t>External Analysis</t>
  </si>
  <si>
    <t>Materials and shipping</t>
  </si>
  <si>
    <t>Other External Agreements</t>
  </si>
  <si>
    <t>Travel, Training, Meetings</t>
  </si>
  <si>
    <t>TRAVEL, TRAINING &amp; MEETING</t>
  </si>
  <si>
    <t>5051020 - Travel - T and E Reimbursed</t>
  </si>
  <si>
    <t>5052020 - Lodging and Meals - T and E Reimbursed</t>
  </si>
  <si>
    <t>5054020 - Business Entertainment - T and E Reimbur</t>
  </si>
  <si>
    <t>5055000 - Employee Miscellaneous</t>
  </si>
  <si>
    <t>6020020 - Training-Internal</t>
  </si>
  <si>
    <t>6020030 - Training-External</t>
  </si>
  <si>
    <t>6028000 - Meetings - Internal</t>
  </si>
  <si>
    <t>6028020 - Meetings - External</t>
  </si>
  <si>
    <t>INCOME &amp; EXPENSES TOTAL</t>
  </si>
  <si>
    <t>TRAVEL, TRAINING &amp; MEETING TOTAL</t>
  </si>
  <si>
    <t>CITY</t>
  </si>
  <si>
    <t>COUNTRY</t>
  </si>
  <si>
    <t>AIRLINE</t>
  </si>
  <si>
    <t>CLASS NAME</t>
  </si>
  <si>
    <t>CLASS</t>
  </si>
  <si>
    <t>AIR FARE</t>
  </si>
  <si>
    <t>TAXES</t>
  </si>
  <si>
    <t>TRANSACTION FEE</t>
  </si>
  <si>
    <t>TOTAL</t>
  </si>
  <si>
    <t>AUCKLAND</t>
  </si>
  <si>
    <t>NEW ZEALAND</t>
  </si>
  <si>
    <t>SINGAPORE AIRLINES</t>
  </si>
  <si>
    <t>BUSINESS</t>
  </si>
  <si>
    <t>C</t>
  </si>
  <si>
    <t>BANGKOK</t>
  </si>
  <si>
    <t>THAILAND</t>
  </si>
  <si>
    <t>AIRASIA</t>
  </si>
  <si>
    <t>ECONOMY</t>
  </si>
  <si>
    <t>Y</t>
  </si>
  <si>
    <t>BEIJING</t>
  </si>
  <si>
    <t>CHINA</t>
  </si>
  <si>
    <t>BRISBANE</t>
  </si>
  <si>
    <t>AUSTRALIA</t>
  </si>
  <si>
    <t>CHENNAI</t>
  </si>
  <si>
    <t>INDIA</t>
  </si>
  <si>
    <t>DELHI</t>
  </si>
  <si>
    <t>DOHA</t>
  </si>
  <si>
    <t>QATAR</t>
  </si>
  <si>
    <t>QATAR AIRWAYS</t>
  </si>
  <si>
    <t>DUBAI</t>
  </si>
  <si>
    <t>UNITED ARAB EMIRATES</t>
  </si>
  <si>
    <t>FRANKFURT</t>
  </si>
  <si>
    <t>GERMANY</t>
  </si>
  <si>
    <t>LUFTHANSA</t>
  </si>
  <si>
    <t>GENEVA</t>
  </si>
  <si>
    <t>SWITZERLAND</t>
  </si>
  <si>
    <t>SWISS/SINGAPORE AIRLINES</t>
  </si>
  <si>
    <t>GUANGZHOU</t>
  </si>
  <si>
    <t>HO CHI MINH CITY</t>
  </si>
  <si>
    <t>VIETNAM</t>
  </si>
  <si>
    <t>HONG KONG</t>
  </si>
  <si>
    <t>ISTANBUL</t>
  </si>
  <si>
    <t>TURKEY</t>
  </si>
  <si>
    <t>TURKISH AIRLINES</t>
  </si>
  <si>
    <t>JAKARTA</t>
  </si>
  <si>
    <t>INDONESIA</t>
  </si>
  <si>
    <t>JOHANNESBURG</t>
  </si>
  <si>
    <t>SOUTH AFRICA</t>
  </si>
  <si>
    <t>KUALA LUMPUR</t>
  </si>
  <si>
    <t>MALAYSIA</t>
  </si>
  <si>
    <t>LONDON</t>
  </si>
  <si>
    <t>UNITED KINGDOM</t>
  </si>
  <si>
    <t>BRITISH AIRWAYS</t>
  </si>
  <si>
    <t>LOS ANGELES</t>
  </si>
  <si>
    <t>UNITED STATES</t>
  </si>
  <si>
    <t>MANCHESTER</t>
  </si>
  <si>
    <t>MANILA</t>
  </si>
  <si>
    <t>PHILIPPINES</t>
  </si>
  <si>
    <t>MELBOURNE</t>
  </si>
  <si>
    <t>PARIS</t>
  </si>
  <si>
    <t>FRANCE</t>
  </si>
  <si>
    <t>AIR FRANCE</t>
  </si>
  <si>
    <t>PERTH</t>
  </si>
  <si>
    <t>QINGDAO</t>
  </si>
  <si>
    <t>CHINA EASTERN AIRLINES</t>
  </si>
  <si>
    <t>SHANGHAI</t>
  </si>
  <si>
    <t>SURABAYA</t>
  </si>
  <si>
    <t>SYDNEY</t>
  </si>
  <si>
    <t>TAIPEI</t>
  </si>
  <si>
    <t>TAIWAN</t>
  </si>
  <si>
    <t>OSAKA</t>
  </si>
  <si>
    <t>JAPAN</t>
  </si>
  <si>
    <t>TOKYO</t>
  </si>
  <si>
    <t>ZURICH</t>
  </si>
  <si>
    <t>SEOUL</t>
  </si>
  <si>
    <t>KOREA</t>
  </si>
  <si>
    <t>KOREA AIRLINE</t>
  </si>
  <si>
    <t>COST CENTRE</t>
  </si>
  <si>
    <t>FTE</t>
  </si>
  <si>
    <t>Grand Total</t>
  </si>
  <si>
    <t xml:space="preserve"> 2024 avg</t>
  </si>
  <si>
    <t xml:space="preserve"> Jan-25</t>
  </si>
  <si>
    <t>NO.</t>
  </si>
  <si>
    <t>NAME</t>
  </si>
  <si>
    <t>PURPOSE / COURSE NAME</t>
  </si>
  <si>
    <t>I2L PROJECT NUMBER</t>
  </si>
  <si>
    <t>DESTINATION/CITY</t>
  </si>
  <si>
    <t>NO OF DAYS</t>
  </si>
  <si>
    <t>TRAVEL MONTH</t>
  </si>
  <si>
    <t>LOCAL TRANSPORT</t>
  </si>
  <si>
    <t>LODGING / MEAL</t>
  </si>
  <si>
    <t>TYPE</t>
  </si>
  <si>
    <t>Internal Meeting</t>
  </si>
  <si>
    <t>External Meeting</t>
  </si>
  <si>
    <t>Travel</t>
  </si>
  <si>
    <t>Internal Training</t>
  </si>
  <si>
    <t>External Training</t>
  </si>
  <si>
    <t>Business Entertainment</t>
  </si>
  <si>
    <t>TRAINING &amp; MEETINGS</t>
  </si>
  <si>
    <t>Travel - T and E Reimbursed</t>
  </si>
  <si>
    <t>Lodging and Meals - T and E Reimbursed</t>
  </si>
  <si>
    <t>Business Entertainment - T and E Reimbur</t>
  </si>
  <si>
    <t>Meetings - Internal</t>
  </si>
  <si>
    <t>Meetings - External</t>
  </si>
  <si>
    <t>Apr</t>
  </si>
  <si>
    <t>Jan</t>
  </si>
  <si>
    <t>Mar</t>
  </si>
  <si>
    <t>May</t>
  </si>
  <si>
    <t>Dec</t>
  </si>
  <si>
    <t>Jul</t>
  </si>
  <si>
    <t>Nov</t>
  </si>
  <si>
    <t>Sep</t>
  </si>
  <si>
    <t>Aug</t>
  </si>
  <si>
    <t>Jun</t>
  </si>
  <si>
    <t xml:space="preserve"> Feb-25</t>
  </si>
  <si>
    <t xml:space="preserve"> Mar-25</t>
  </si>
  <si>
    <t xml:space="preserve"> Apr-25</t>
  </si>
  <si>
    <t xml:space="preserve"> May-25</t>
  </si>
  <si>
    <t xml:space="preserve"> Jun-25</t>
  </si>
  <si>
    <t xml:space="preserve"> Jul-25</t>
  </si>
  <si>
    <t xml:space="preserve"> Aug-25</t>
  </si>
  <si>
    <t xml:space="preserve"> Sep-25</t>
  </si>
  <si>
    <t xml:space="preserve"> Oct-25</t>
  </si>
  <si>
    <t xml:space="preserve"> Nov-25</t>
  </si>
  <si>
    <t xml:space="preserve"> Dec-25</t>
  </si>
  <si>
    <t xml:space="preserve"> 2025 avg</t>
  </si>
  <si>
    <t>TBC</t>
  </si>
  <si>
    <t>Feb</t>
  </si>
  <si>
    <t>Oct</t>
  </si>
  <si>
    <t>Actual</t>
  </si>
  <si>
    <t>OPEN PO</t>
  </si>
  <si>
    <t>Balance Avaliable</t>
  </si>
  <si>
    <t>Nestle R&amp;D Center (Pte) Ltd</t>
  </si>
  <si>
    <t>Update in TTM LE1</t>
  </si>
  <si>
    <t>Update in TTM LE2</t>
  </si>
  <si>
    <t>Update in TTM LE3</t>
  </si>
  <si>
    <t>BUDGET EXCLUDE SALARY &amp; SOCIAL CHRG TOTAL</t>
  </si>
  <si>
    <t>Update in TTM DB2026</t>
  </si>
  <si>
    <t>OPEX</t>
  </si>
  <si>
    <t>LE1 2024</t>
  </si>
  <si>
    <t>LE2 2024</t>
  </si>
  <si>
    <t>LE3 2024</t>
  </si>
  <si>
    <t>ACTUAL
2023</t>
  </si>
  <si>
    <t>LE1 2024 vs PRELIM V200
(Negative = Saving)</t>
  </si>
  <si>
    <t>LE2 2024 vs LE1 2024
(Negative = Saving)</t>
  </si>
  <si>
    <t>LE3 2024 vs LE2 2024
(Negative = Saving)</t>
  </si>
  <si>
    <t>ACTUAL
YTD 2024</t>
  </si>
  <si>
    <r>
      <rPr>
        <b/>
        <sz val="20"/>
        <color rgb="FF428281"/>
        <rFont val="Aptos Display"/>
        <family val="2"/>
        <scheme val="major"/>
      </rPr>
      <t>Nestle R&amp;D Center (Pte) Ltd</t>
    </r>
    <r>
      <rPr>
        <sz val="16"/>
        <color rgb="FF428281"/>
        <rFont val="Aptos Display"/>
        <family val="2"/>
        <scheme val="major"/>
      </rPr>
      <t xml:space="preserve">
LEI OPEX 2024</t>
    </r>
  </si>
  <si>
    <t>OMP</t>
  </si>
  <si>
    <t>EMPLOYEE A</t>
  </si>
  <si>
    <t>Travel to market AOA</t>
  </si>
  <si>
    <t>Travel to Switzerland</t>
  </si>
  <si>
    <t>Project A</t>
  </si>
  <si>
    <t>Project B</t>
  </si>
  <si>
    <t>EMPLOYEE B</t>
  </si>
  <si>
    <t>Training River Reine</t>
  </si>
  <si>
    <t>Actual meeting</t>
  </si>
  <si>
    <t>Actual Travel</t>
  </si>
  <si>
    <t>Estimated meeting</t>
  </si>
  <si>
    <t>EMPLOYEE C</t>
  </si>
  <si>
    <t>Employee A</t>
  </si>
  <si>
    <t>Employee B</t>
  </si>
  <si>
    <t>Wong Loong Yen</t>
  </si>
  <si>
    <t>DB2025</t>
  </si>
  <si>
    <t>DB 2025</t>
  </si>
  <si>
    <t>DB2025 vs LE2 2024
(Negative = Saving)</t>
  </si>
  <si>
    <t>Vlookup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</si>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</sst>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00##"/>
    <numFmt numFmtId="167" formatCode="mmm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 tint="0.14993743705557422"/>
      <name val="Aptos Narrow"/>
      <family val="2"/>
      <scheme val="minor"/>
    </font>
    <font>
      <b/>
      <sz val="11"/>
      <color theme="1" tint="0.14993743705557422"/>
      <name val="Aptos Narrow"/>
      <family val="2"/>
      <scheme val="minor"/>
    </font>
    <font>
      <sz val="11"/>
      <color theme="1" tint="0.14993743705557422"/>
      <name val="Aptos Narrow"/>
      <family val="2"/>
      <scheme val="minor"/>
    </font>
    <font>
      <sz val="14"/>
      <color theme="1" tint="0.14993743705557422"/>
      <name val="Aptos Display"/>
      <family val="2"/>
      <scheme val="major"/>
    </font>
    <font>
      <sz val="11"/>
      <color theme="1" tint="0.14993743705557422"/>
      <name val="Aptos Display"/>
      <family val="2"/>
      <scheme val="major"/>
    </font>
    <font>
      <b/>
      <sz val="14"/>
      <color theme="0"/>
      <name val="Aptos Display"/>
      <family val="2"/>
      <scheme val="major"/>
    </font>
    <font>
      <sz val="10"/>
      <color rgb="FFFF0000"/>
      <name val="Aptos Narrow"/>
      <family val="2"/>
      <scheme val="minor"/>
    </font>
    <font>
      <sz val="22"/>
      <color theme="1" tint="0.14993743705557422"/>
      <name val="Aptos Display"/>
      <family val="2"/>
      <scheme val="major"/>
    </font>
    <font>
      <sz val="72"/>
      <color theme="5" tint="-0.499984740745262"/>
      <name val="Aptos Display"/>
      <family val="2"/>
      <scheme val="major"/>
    </font>
    <font>
      <sz val="72"/>
      <color rgb="FF428281"/>
      <name val="Aptos Display"/>
      <family val="2"/>
      <scheme val="major"/>
    </font>
    <font>
      <sz val="16"/>
      <color rgb="FF428281"/>
      <name val="Aptos Display"/>
      <family val="2"/>
      <scheme val="major"/>
    </font>
    <font>
      <sz val="16"/>
      <color theme="5" tint="-0.499984740745262"/>
      <name val="Aptos Display"/>
      <family val="2"/>
      <scheme val="maj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20"/>
      <color rgb="FF428281"/>
      <name val="Aptos Display"/>
      <family val="2"/>
      <scheme val="major"/>
    </font>
    <font>
      <b/>
      <sz val="14"/>
      <name val="Aptos Display"/>
      <family val="2"/>
      <scheme val="major"/>
    </font>
    <font>
      <b/>
      <sz val="10"/>
      <color theme="1" tint="0.14990691854609822"/>
      <name val="Aptos Display"/>
      <family val="2"/>
      <scheme val="major"/>
    </font>
    <font>
      <sz val="11"/>
      <color theme="0"/>
      <name val="Aptos Narrow"/>
      <family val="2"/>
      <scheme val="minor"/>
    </font>
    <font>
      <b/>
      <i/>
      <sz val="8"/>
      <color theme="0"/>
      <name val="Aptos Narrow"/>
      <family val="2"/>
      <scheme val="minor"/>
    </font>
    <font>
      <b/>
      <sz val="10"/>
      <color theme="1" tint="0.14993743705557422"/>
      <name val="Aptos Narrow"/>
      <family val="2"/>
      <scheme val="minor"/>
    </font>
    <font>
      <b/>
      <sz val="14"/>
      <color theme="0" tint="-0.499984740745262"/>
      <name val="Aptos Display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EFF8F8"/>
        <bgColor indexed="64"/>
      </patternFill>
    </fill>
    <fill>
      <patternFill patternType="solid">
        <fgColor rgb="FFD0E8E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F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rgb="FFD0E8E7"/>
      </left>
      <right style="thin">
        <color rgb="FFD0E8E7"/>
      </right>
      <top style="thin">
        <color rgb="FFD0E8E7"/>
      </top>
      <bottom style="thin">
        <color rgb="FFD0E8E7"/>
      </bottom>
      <diagonal/>
    </border>
    <border>
      <left style="thin">
        <color rgb="FFD0E8E7"/>
      </left>
      <right style="thin">
        <color rgb="FFD0E8E7"/>
      </right>
      <top style="thin">
        <color rgb="FFD0E8E7"/>
      </top>
      <bottom/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007F80"/>
      </left>
      <right style="thin">
        <color rgb="FF007F80"/>
      </right>
      <top/>
      <bottom style="thin">
        <color rgb="FFD0E8E7"/>
      </bottom>
      <diagonal/>
    </border>
    <border>
      <left/>
      <right style="thin">
        <color rgb="FF007F80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D0E8E7"/>
      </left>
      <right style="thin">
        <color rgb="FFD0E8E7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007F80"/>
      </left>
      <right style="thin">
        <color rgb="FF007F80"/>
      </right>
      <top style="thin">
        <color rgb="FF007F80"/>
      </top>
      <bottom style="thin">
        <color rgb="FF007F80"/>
      </bottom>
      <diagonal/>
    </border>
    <border>
      <left/>
      <right style="thin">
        <color rgb="FF007F80"/>
      </right>
      <top/>
      <bottom style="thin">
        <color theme="0" tint="-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rgb="FFD0E8E7"/>
      </bottom>
      <diagonal/>
    </border>
    <border>
      <left style="thin">
        <color rgb="FF007F80"/>
      </left>
      <right/>
      <top/>
      <bottom style="thin">
        <color rgb="FFD0E8E7"/>
      </bottom>
      <diagonal/>
    </border>
    <border>
      <left/>
      <right style="thin">
        <color rgb="FF007F80"/>
      </right>
      <top/>
      <bottom style="thin">
        <color rgb="FFD0E8E7"/>
      </bottom>
      <diagonal/>
    </border>
    <border>
      <left style="thin">
        <color theme="3" tint="0.24994659260841701"/>
      </left>
      <right style="thin">
        <color rgb="FF007F80"/>
      </right>
      <top style="thin">
        <color theme="3" tint="0.24994659260841701"/>
      </top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rgb="FFD0E8E7"/>
      </left>
      <right style="thin">
        <color rgb="FFD0E8E7"/>
      </right>
      <top/>
      <bottom style="thin">
        <color rgb="FFD0E8E7"/>
      </bottom>
      <diagonal/>
    </border>
    <border>
      <left style="thin">
        <color rgb="FFD0E8E7"/>
      </left>
      <right style="thin">
        <color rgb="FFD0E8E7"/>
      </right>
      <top style="thin">
        <color rgb="FF007F80"/>
      </top>
      <bottom style="thin">
        <color rgb="FFD0E8E7"/>
      </bottom>
      <diagonal/>
    </border>
    <border>
      <left style="thin">
        <color rgb="FF007F80"/>
      </left>
      <right/>
      <top style="thin">
        <color rgb="FF007F80"/>
      </top>
      <bottom style="thin">
        <color rgb="FF007F80"/>
      </bottom>
      <diagonal/>
    </border>
    <border>
      <left/>
      <right style="thin">
        <color rgb="FF007F80"/>
      </right>
      <top style="thin">
        <color rgb="FF007F80"/>
      </top>
      <bottom style="thin">
        <color rgb="FF007F80"/>
      </bottom>
      <diagonal/>
    </border>
    <border>
      <left style="thin">
        <color rgb="FFD0E8E7"/>
      </left>
      <right/>
      <top style="thin">
        <color rgb="FFD0E8E7"/>
      </top>
      <bottom style="thin">
        <color rgb="FFD0E8E7"/>
      </bottom>
      <diagonal/>
    </border>
    <border>
      <left/>
      <right style="thin">
        <color rgb="FFD0E8E7"/>
      </right>
      <top style="thin">
        <color rgb="FFD0E8E7"/>
      </top>
      <bottom style="thin">
        <color rgb="FFD0E8E7"/>
      </bottom>
      <diagonal/>
    </border>
    <border>
      <left style="thin">
        <color theme="3" tint="0.24994659260841701"/>
      </left>
      <right/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749961851863155"/>
      </left>
      <right/>
      <top style="thin">
        <color theme="3" tint="0.24994659260841701"/>
      </top>
      <bottom style="thin">
        <color theme="3" tint="0.749961851863155"/>
      </bottom>
      <diagonal/>
    </border>
    <border>
      <left/>
      <right/>
      <top style="thin">
        <color theme="3" tint="0.24994659260841701"/>
      </top>
      <bottom style="thin">
        <color theme="3" tint="0.749961851863155"/>
      </bottom>
      <diagonal/>
    </border>
    <border>
      <left style="thin">
        <color theme="3" tint="0.749961851863155"/>
      </left>
      <right/>
      <top style="thin">
        <color theme="3" tint="0.749961851863155"/>
      </top>
      <bottom style="thin">
        <color theme="3" tint="0.749961851863155"/>
      </bottom>
      <diagonal/>
    </border>
    <border>
      <left/>
      <right/>
      <top style="thin">
        <color theme="3" tint="0.749961851863155"/>
      </top>
      <bottom style="thin">
        <color theme="3" tint="0.749961851863155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3" tint="0.24994659260841701"/>
      </right>
      <top/>
      <bottom style="thin">
        <color rgb="FFD0E8E7"/>
      </bottom>
      <diagonal/>
    </border>
    <border>
      <left/>
      <right/>
      <top/>
      <bottom style="thin">
        <color rgb="FFD0E8E7"/>
      </bottom>
      <diagonal/>
    </border>
    <border>
      <left/>
      <right/>
      <top/>
      <bottom style="thin">
        <color rgb="FF007F80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4" fillId="2" borderId="0">
      <alignment vertical="center"/>
    </xf>
    <xf numFmtId="0" fontId="8" fillId="0" borderId="3" applyNumberFormat="0" applyFill="0" applyProtection="0">
      <alignment vertical="center"/>
    </xf>
    <xf numFmtId="9" fontId="4" fillId="0" borderId="0" applyFont="0" applyFill="0" applyBorder="0" applyAlignment="0" applyProtection="0"/>
    <xf numFmtId="0" fontId="11" fillId="0" borderId="0" applyNumberFormat="0" applyFill="0" applyProtection="0">
      <alignment vertical="center"/>
    </xf>
    <xf numFmtId="0" fontId="20" fillId="10" borderId="0" applyNumberFormat="0" applyProtection="0">
      <alignment horizontal="left" vertical="center" indent="1"/>
    </xf>
    <xf numFmtId="44" fontId="1" fillId="0" borderId="0" applyFont="0" applyFill="0" applyBorder="0" applyAlignment="0" applyProtection="0"/>
  </cellStyleXfs>
  <cellXfs count="189">
    <xf numFmtId="0" fontId="0" fillId="0" borderId="0" xfId="0"/>
    <xf numFmtId="0" fontId="5" fillId="0" borderId="0" xfId="2" applyFont="1" applyFill="1">
      <alignment vertical="center"/>
    </xf>
    <xf numFmtId="0" fontId="5" fillId="4" borderId="1" xfId="2" applyFont="1" applyFill="1" applyBorder="1" applyAlignment="1">
      <alignment horizontal="center" vertical="center"/>
    </xf>
    <xf numFmtId="164" fontId="5" fillId="4" borderId="1" xfId="2" applyNumberFormat="1" applyFont="1" applyFill="1" applyBorder="1" applyAlignment="1">
      <alignment horizontal="right" vertical="center" indent="1"/>
    </xf>
    <xf numFmtId="0" fontId="5" fillId="4" borderId="1" xfId="2" applyFont="1" applyFill="1" applyBorder="1" applyAlignment="1">
      <alignment horizontal="left" vertical="center" indent="1"/>
    </xf>
    <xf numFmtId="0" fontId="5" fillId="3" borderId="0" xfId="2" applyFont="1" applyFill="1" applyAlignment="1"/>
    <xf numFmtId="0" fontId="6" fillId="0" borderId="0" xfId="2" applyFont="1" applyFill="1">
      <alignment vertical="center"/>
    </xf>
    <xf numFmtId="164" fontId="6" fillId="3" borderId="1" xfId="2" applyNumberFormat="1" applyFont="1" applyFill="1" applyBorder="1" applyAlignment="1">
      <alignment horizontal="center" vertical="center"/>
    </xf>
    <xf numFmtId="164" fontId="6" fillId="3" borderId="1" xfId="2" applyNumberFormat="1" applyFont="1" applyFill="1" applyBorder="1" applyAlignment="1">
      <alignment horizontal="right" vertical="center" indent="1"/>
    </xf>
    <xf numFmtId="0" fontId="6" fillId="2" borderId="1" xfId="2" applyFont="1" applyBorder="1" applyAlignment="1">
      <alignment horizontal="left" vertical="center" indent="1"/>
    </xf>
    <xf numFmtId="0" fontId="7" fillId="0" borderId="0" xfId="2" applyFont="1" applyFill="1">
      <alignment vertical="center"/>
    </xf>
    <xf numFmtId="0" fontId="9" fillId="6" borderId="4" xfId="3" applyFont="1" applyFill="1" applyBorder="1" applyAlignment="1">
      <alignment horizontal="center" vertical="center"/>
    </xf>
    <xf numFmtId="0" fontId="4" fillId="0" borderId="0" xfId="2" applyFill="1">
      <alignment vertical="center"/>
    </xf>
    <xf numFmtId="0" fontId="4" fillId="3" borderId="0" xfId="2" applyFill="1">
      <alignment vertical="center"/>
    </xf>
    <xf numFmtId="0" fontId="4" fillId="3" borderId="0" xfId="2" applyFill="1" applyAlignment="1">
      <alignment horizontal="right" vertical="center"/>
    </xf>
    <xf numFmtId="0" fontId="4" fillId="3" borderId="0" xfId="2" applyFill="1" applyAlignment="1"/>
    <xf numFmtId="0" fontId="13" fillId="7" borderId="0" xfId="5" applyFont="1" applyFill="1" applyAlignment="1">
      <alignment horizontal="left" vertical="center" indent="1"/>
    </xf>
    <xf numFmtId="0" fontId="14" fillId="7" borderId="0" xfId="5" applyFont="1" applyFill="1" applyAlignment="1">
      <alignment horizontal="left" vertical="center" indent="1"/>
    </xf>
    <xf numFmtId="0" fontId="3" fillId="8" borderId="6" xfId="0" applyFont="1" applyFill="1" applyBorder="1"/>
    <xf numFmtId="0" fontId="0" fillId="7" borderId="0" xfId="0" applyFill="1"/>
    <xf numFmtId="0" fontId="3" fillId="8" borderId="0" xfId="0" applyFont="1" applyFill="1"/>
    <xf numFmtId="0" fontId="3" fillId="7" borderId="0" xfId="0" applyFont="1" applyFill="1"/>
    <xf numFmtId="17" fontId="0" fillId="7" borderId="0" xfId="0" applyNumberFormat="1" applyFill="1"/>
    <xf numFmtId="0" fontId="16" fillId="0" borderId="0" xfId="0" applyFont="1"/>
    <xf numFmtId="164" fontId="6" fillId="7" borderId="1" xfId="2" applyNumberFormat="1" applyFont="1" applyFill="1" applyBorder="1" applyAlignment="1">
      <alignment horizontal="right" vertical="center" indent="1"/>
    </xf>
    <xf numFmtId="0" fontId="14" fillId="7" borderId="0" xfId="5" applyFont="1" applyFill="1" applyAlignment="1">
      <alignment horizontal="left" vertical="center" wrapText="1" indent="1"/>
    </xf>
    <xf numFmtId="0" fontId="9" fillId="12" borderId="0" xfId="3" applyFont="1" applyFill="1" applyBorder="1" applyAlignment="1">
      <alignment horizontal="left" vertical="center" indent="1"/>
    </xf>
    <xf numFmtId="0" fontId="9" fillId="12" borderId="0" xfId="3" applyFont="1" applyFill="1" applyBorder="1" applyAlignment="1">
      <alignment horizontal="right" vertical="center" indent="1"/>
    </xf>
    <xf numFmtId="0" fontId="4" fillId="13" borderId="0" xfId="2" applyFill="1">
      <alignment vertical="center"/>
    </xf>
    <xf numFmtId="44" fontId="4" fillId="13" borderId="0" xfId="7" applyFont="1" applyFill="1" applyAlignment="1">
      <alignment horizontal="right" vertical="center"/>
    </xf>
    <xf numFmtId="164" fontId="4" fillId="13" borderId="0" xfId="2" applyNumberFormat="1" applyFill="1" applyAlignment="1">
      <alignment horizontal="right" vertical="center"/>
    </xf>
    <xf numFmtId="0" fontId="5" fillId="14" borderId="1" xfId="2" applyFont="1" applyFill="1" applyBorder="1" applyAlignment="1">
      <alignment horizontal="left" vertical="center" indent="1"/>
    </xf>
    <xf numFmtId="164" fontId="17" fillId="14" borderId="0" xfId="2" applyNumberFormat="1" applyFont="1" applyFill="1" applyAlignment="1">
      <alignment horizontal="right" vertical="center" indent="1"/>
    </xf>
    <xf numFmtId="164" fontId="4" fillId="13" borderId="0" xfId="7" applyNumberFormat="1" applyFont="1" applyFill="1" applyAlignment="1">
      <alignment horizontal="right" vertical="center"/>
    </xf>
    <xf numFmtId="0" fontId="5" fillId="14" borderId="0" xfId="2" applyFont="1" applyFill="1" applyAlignment="1">
      <alignment horizontal="left" vertical="center" indent="1"/>
    </xf>
    <xf numFmtId="0" fontId="6" fillId="13" borderId="0" xfId="2" applyFont="1" applyFill="1">
      <alignment vertical="center"/>
    </xf>
    <xf numFmtId="0" fontId="19" fillId="9" borderId="9" xfId="3" applyFont="1" applyFill="1" applyBorder="1" applyAlignment="1">
      <alignment horizontal="center" vertical="center"/>
    </xf>
    <xf numFmtId="0" fontId="3" fillId="0" borderId="0" xfId="0" applyFont="1"/>
    <xf numFmtId="165" fontId="3" fillId="0" borderId="0" xfId="1" applyNumberFormat="1" applyFont="1" applyFill="1"/>
    <xf numFmtId="165" fontId="0" fillId="0" borderId="0" xfId="1" applyNumberFormat="1" applyFont="1" applyFill="1"/>
    <xf numFmtId="0" fontId="15" fillId="3" borderId="0" xfId="5" applyFont="1" applyFill="1" applyAlignment="1">
      <alignment horizontal="center" vertical="center"/>
    </xf>
    <xf numFmtId="0" fontId="13" fillId="3" borderId="0" xfId="5" applyFont="1" applyFill="1" applyAlignment="1">
      <alignment horizontal="left" vertical="center" indent="1"/>
    </xf>
    <xf numFmtId="0" fontId="12" fillId="3" borderId="0" xfId="5" applyFont="1" applyFill="1" applyAlignment="1">
      <alignment horizontal="center" vertical="center"/>
    </xf>
    <xf numFmtId="0" fontId="0" fillId="3" borderId="0" xfId="0" applyFill="1"/>
    <xf numFmtId="166" fontId="0" fillId="3" borderId="0" xfId="0" applyNumberFormat="1" applyFill="1" applyAlignment="1">
      <alignment horizontal="left"/>
    </xf>
    <xf numFmtId="0" fontId="9" fillId="11" borderId="10" xfId="3" applyFont="1" applyFill="1" applyBorder="1" applyAlignment="1">
      <alignment horizontal="left" vertical="center" indent="1"/>
    </xf>
    <xf numFmtId="44" fontId="9" fillId="11" borderId="10" xfId="7" applyFont="1" applyFill="1" applyBorder="1"/>
    <xf numFmtId="0" fontId="9" fillId="11" borderId="11" xfId="3" applyFont="1" applyFill="1" applyBorder="1" applyAlignment="1">
      <alignment horizontal="center" vertical="center"/>
    </xf>
    <xf numFmtId="0" fontId="2" fillId="11" borderId="14" xfId="0" applyFont="1" applyFill="1" applyBorder="1"/>
    <xf numFmtId="0" fontId="19" fillId="9" borderId="0" xfId="3" applyFont="1" applyFill="1" applyBorder="1" applyAlignment="1">
      <alignment horizontal="center" vertical="center"/>
    </xf>
    <xf numFmtId="164" fontId="19" fillId="9" borderId="0" xfId="3" applyNumberFormat="1" applyFont="1" applyFill="1" applyBorder="1" applyAlignment="1">
      <alignment horizontal="left" vertical="center" indent="1"/>
    </xf>
    <xf numFmtId="44" fontId="9" fillId="11" borderId="15" xfId="7" applyFont="1" applyFill="1" applyBorder="1"/>
    <xf numFmtId="0" fontId="6" fillId="2" borderId="16" xfId="2" applyFont="1" applyBorder="1" applyAlignment="1">
      <alignment horizontal="left" vertical="center" indent="1"/>
    </xf>
    <xf numFmtId="164" fontId="5" fillId="3" borderId="0" xfId="2" applyNumberFormat="1" applyFont="1" applyFill="1" applyAlignment="1"/>
    <xf numFmtId="0" fontId="2" fillId="6" borderId="8" xfId="0" applyFont="1" applyFill="1" applyBorder="1" applyAlignment="1" applyProtection="1">
      <alignment horizontal="center" wrapText="1"/>
      <protection locked="0"/>
    </xf>
    <xf numFmtId="0" fontId="2" fillId="6" borderId="8" xfId="0" applyFont="1" applyFill="1" applyBorder="1" applyAlignment="1" applyProtection="1">
      <alignment wrapText="1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7" borderId="17" xfId="0" applyFill="1" applyBorder="1"/>
    <xf numFmtId="0" fontId="0" fillId="0" borderId="1" xfId="0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7" borderId="1" xfId="0" applyFill="1" applyBorder="1"/>
    <xf numFmtId="0" fontId="0" fillId="5" borderId="17" xfId="0" applyFill="1" applyBorder="1"/>
    <xf numFmtId="0" fontId="0" fillId="5" borderId="1" xfId="0" applyFill="1" applyBorder="1"/>
    <xf numFmtId="0" fontId="0" fillId="3" borderId="1" xfId="0" applyFill="1" applyBorder="1" applyProtection="1">
      <protection locked="0"/>
    </xf>
    <xf numFmtId="0" fontId="0" fillId="3" borderId="17" xfId="0" applyFill="1" applyBorder="1"/>
    <xf numFmtId="0" fontId="0" fillId="3" borderId="1" xfId="0" applyFill="1" applyBorder="1"/>
    <xf numFmtId="0" fontId="2" fillId="15" borderId="8" xfId="0" applyFont="1" applyFill="1" applyBorder="1" applyAlignment="1">
      <alignment horizontal="center" wrapText="1"/>
    </xf>
    <xf numFmtId="164" fontId="0" fillId="7" borderId="1" xfId="7" applyNumberFormat="1" applyFont="1" applyFill="1" applyBorder="1" applyProtection="1">
      <protection locked="0"/>
    </xf>
    <xf numFmtId="164" fontId="0" fillId="3" borderId="17" xfId="7" applyNumberFormat="1" applyFont="1" applyFill="1" applyBorder="1" applyProtection="1">
      <protection locked="0"/>
    </xf>
    <xf numFmtId="164" fontId="0" fillId="7" borderId="17" xfId="7" applyNumberFormat="1" applyFont="1" applyFill="1" applyBorder="1" applyProtection="1">
      <protection locked="0"/>
    </xf>
    <xf numFmtId="164" fontId="0" fillId="3" borderId="1" xfId="7" applyNumberFormat="1" applyFont="1" applyFill="1" applyBorder="1" applyProtection="1">
      <protection locked="0"/>
    </xf>
    <xf numFmtId="164" fontId="0" fillId="3" borderId="2" xfId="7" applyNumberFormat="1" applyFont="1" applyFill="1" applyBorder="1" applyProtection="1">
      <protection locked="0"/>
    </xf>
    <xf numFmtId="164" fontId="0" fillId="3" borderId="1" xfId="7" applyNumberFormat="1" applyFont="1" applyFill="1" applyBorder="1" applyProtection="1"/>
    <xf numFmtId="44" fontId="0" fillId="7" borderId="17" xfId="7" applyFont="1" applyFill="1" applyBorder="1" applyProtection="1"/>
    <xf numFmtId="44" fontId="0" fillId="7" borderId="1" xfId="7" applyFont="1" applyFill="1" applyBorder="1" applyProtection="1"/>
    <xf numFmtId="44" fontId="0" fillId="7" borderId="2" xfId="7" applyFont="1" applyFill="1" applyBorder="1" applyProtection="1"/>
    <xf numFmtId="0" fontId="0" fillId="3" borderId="1" xfId="0" applyFill="1" applyBorder="1" applyAlignment="1">
      <alignment wrapText="1"/>
    </xf>
    <xf numFmtId="0" fontId="0" fillId="7" borderId="20" xfId="0" applyFill="1" applyBorder="1" applyAlignment="1">
      <alignment horizontal="left"/>
    </xf>
    <xf numFmtId="0" fontId="0" fillId="7" borderId="21" xfId="0" applyFill="1" applyBorder="1" applyAlignment="1">
      <alignment horizontal="left"/>
    </xf>
    <xf numFmtId="0" fontId="0" fillId="7" borderId="24" xfId="0" applyFill="1" applyBorder="1"/>
    <xf numFmtId="0" fontId="0" fillId="7" borderId="26" xfId="0" applyFill="1" applyBorder="1"/>
    <xf numFmtId="0" fontId="22" fillId="7" borderId="23" xfId="0" applyFont="1" applyFill="1" applyBorder="1"/>
    <xf numFmtId="0" fontId="21" fillId="7" borderId="25" xfId="0" applyFont="1" applyFill="1" applyBorder="1"/>
    <xf numFmtId="0" fontId="23" fillId="3" borderId="0" xfId="2" applyFont="1" applyFill="1" applyAlignment="1"/>
    <xf numFmtId="0" fontId="3" fillId="4" borderId="0" xfId="0" applyFont="1" applyFill="1" applyProtection="1">
      <protection locked="0"/>
    </xf>
    <xf numFmtId="17" fontId="3" fillId="4" borderId="0" xfId="0" applyNumberFormat="1" applyFont="1" applyFill="1" applyProtection="1">
      <protection locked="0"/>
    </xf>
    <xf numFmtId="44" fontId="3" fillId="4" borderId="0" xfId="7" applyFont="1" applyFill="1" applyBorder="1" applyProtection="1">
      <protection locked="0"/>
    </xf>
    <xf numFmtId="0" fontId="3" fillId="4" borderId="0" xfId="0" applyFont="1" applyFill="1"/>
    <xf numFmtId="0" fontId="9" fillId="11" borderId="10" xfId="3" applyFont="1" applyFill="1" applyBorder="1" applyAlignment="1">
      <alignment horizontal="left" vertical="center"/>
    </xf>
    <xf numFmtId="164" fontId="16" fillId="7" borderId="24" xfId="1" applyNumberFormat="1" applyFont="1" applyFill="1" applyBorder="1" applyAlignment="1" applyProtection="1">
      <alignment horizontal="left"/>
    </xf>
    <xf numFmtId="164" fontId="16" fillId="7" borderId="26" xfId="1" applyNumberFormat="1" applyFont="1" applyFill="1" applyBorder="1" applyAlignment="1" applyProtection="1">
      <alignment horizontal="left"/>
    </xf>
    <xf numFmtId="164" fontId="1" fillId="7" borderId="26" xfId="1" applyNumberFormat="1" applyFont="1" applyFill="1" applyBorder="1" applyAlignment="1" applyProtection="1">
      <alignment horizontal="left"/>
    </xf>
    <xf numFmtId="0" fontId="5" fillId="11" borderId="0" xfId="2" applyFont="1" applyFill="1" applyAlignment="1"/>
    <xf numFmtId="164" fontId="2" fillId="11" borderId="0" xfId="2" applyNumberFormat="1" applyFont="1" applyFill="1" applyAlignment="1">
      <alignment horizontal="left"/>
    </xf>
    <xf numFmtId="167" fontId="0" fillId="3" borderId="1" xfId="0" applyNumberFormat="1" applyFill="1" applyBorder="1" applyAlignment="1">
      <alignment horizontal="left"/>
    </xf>
    <xf numFmtId="167" fontId="9" fillId="11" borderId="10" xfId="3" applyNumberFormat="1" applyFont="1" applyFill="1" applyBorder="1" applyAlignment="1">
      <alignment horizontal="left" vertical="center"/>
    </xf>
    <xf numFmtId="0" fontId="4" fillId="3" borderId="0" xfId="2" applyFill="1" applyAlignment="1" applyProtection="1">
      <protection hidden="1"/>
    </xf>
    <xf numFmtId="0" fontId="9" fillId="11" borderId="0" xfId="3" applyFont="1" applyFill="1" applyBorder="1" applyAlignment="1" applyProtection="1">
      <alignment horizontal="center" vertical="center"/>
      <protection hidden="1"/>
    </xf>
    <xf numFmtId="0" fontId="5" fillId="3" borderId="0" xfId="2" applyFont="1" applyFill="1" applyAlignment="1" applyProtection="1">
      <protection hidden="1"/>
    </xf>
    <xf numFmtId="0" fontId="4" fillId="0" borderId="0" xfId="2" applyFill="1" applyProtection="1">
      <alignment vertical="center"/>
      <protection hidden="1"/>
    </xf>
    <xf numFmtId="0" fontId="4" fillId="3" borderId="0" xfId="2" applyFill="1" applyProtection="1">
      <alignment vertical="center"/>
      <protection hidden="1"/>
    </xf>
    <xf numFmtId="0" fontId="4" fillId="3" borderId="0" xfId="2" applyFill="1" applyAlignment="1" applyProtection="1">
      <alignment horizontal="right" vertical="center"/>
      <protection hidden="1"/>
    </xf>
    <xf numFmtId="9" fontId="0" fillId="3" borderId="0" xfId="4" applyFont="1" applyFill="1" applyAlignment="1" applyProtection="1">
      <alignment horizontal="right" vertical="center"/>
      <protection hidden="1"/>
    </xf>
    <xf numFmtId="0" fontId="10" fillId="3" borderId="0" xfId="2" applyFont="1" applyFill="1" applyAlignment="1" applyProtection="1">
      <alignment horizontal="left" vertical="center"/>
      <protection hidden="1"/>
    </xf>
    <xf numFmtId="0" fontId="4" fillId="3" borderId="0" xfId="2" applyFill="1" applyAlignment="1" applyProtection="1">
      <alignment horizontal="center" vertical="center"/>
      <protection hidden="1"/>
    </xf>
    <xf numFmtId="0" fontId="19" fillId="9" borderId="9" xfId="3" applyFont="1" applyFill="1" applyBorder="1" applyAlignment="1" applyProtection="1">
      <alignment horizontal="center" vertical="center"/>
      <protection hidden="1"/>
    </xf>
    <xf numFmtId="0" fontId="9" fillId="6" borderId="4" xfId="3" applyFont="1" applyFill="1" applyBorder="1" applyAlignment="1" applyProtection="1">
      <alignment horizontal="center" vertical="center"/>
      <protection hidden="1"/>
    </xf>
    <xf numFmtId="0" fontId="9" fillId="6" borderId="12" xfId="3" applyFont="1" applyFill="1" applyBorder="1" applyAlignment="1" applyProtection="1">
      <alignment horizontal="center" vertical="center"/>
      <protection hidden="1"/>
    </xf>
    <xf numFmtId="0" fontId="9" fillId="11" borderId="11" xfId="3" applyFont="1" applyFill="1" applyBorder="1" applyAlignment="1" applyProtection="1">
      <alignment horizontal="center" vertical="center"/>
      <protection hidden="1"/>
    </xf>
    <xf numFmtId="0" fontId="9" fillId="11" borderId="11" xfId="3" applyFont="1" applyFill="1" applyBorder="1" applyAlignment="1" applyProtection="1">
      <alignment horizontal="center" vertical="center" wrapText="1"/>
      <protection hidden="1"/>
    </xf>
    <xf numFmtId="0" fontId="7" fillId="0" borderId="0" xfId="2" applyFont="1" applyFill="1" applyProtection="1">
      <alignment vertical="center"/>
      <protection hidden="1"/>
    </xf>
    <xf numFmtId="0" fontId="6" fillId="2" borderId="1" xfId="2" applyFont="1" applyBorder="1" applyAlignment="1" applyProtection="1">
      <alignment horizontal="left" vertical="center" indent="1"/>
      <protection hidden="1"/>
    </xf>
    <xf numFmtId="164" fontId="6" fillId="9" borderId="7" xfId="1" applyNumberFormat="1" applyFont="1" applyFill="1" applyBorder="1" applyAlignment="1" applyProtection="1">
      <alignment horizontal="right" vertical="center" indent="1"/>
      <protection hidden="1"/>
    </xf>
    <xf numFmtId="164" fontId="6" fillId="3" borderId="1" xfId="2" applyNumberFormat="1" applyFont="1" applyFill="1" applyBorder="1" applyAlignment="1" applyProtection="1">
      <alignment horizontal="right" vertical="center" indent="1"/>
      <protection hidden="1"/>
    </xf>
    <xf numFmtId="164" fontId="6" fillId="2" borderId="1" xfId="2" applyNumberFormat="1" applyFont="1" applyBorder="1" applyAlignment="1" applyProtection="1">
      <alignment horizontal="right" vertical="center" indent="1"/>
      <protection hidden="1"/>
    </xf>
    <xf numFmtId="164" fontId="6" fillId="7" borderId="1" xfId="2" applyNumberFormat="1" applyFont="1" applyFill="1" applyBorder="1" applyAlignment="1" applyProtection="1">
      <alignment horizontal="right" vertical="center" indent="1"/>
      <protection hidden="1"/>
    </xf>
    <xf numFmtId="164" fontId="6" fillId="3" borderId="1" xfId="2" applyNumberFormat="1" applyFont="1" applyFill="1" applyBorder="1" applyAlignment="1" applyProtection="1">
      <alignment horizontal="center" vertical="center"/>
      <protection hidden="1"/>
    </xf>
    <xf numFmtId="0" fontId="6" fillId="0" borderId="0" xfId="2" applyFont="1" applyFill="1" applyProtection="1">
      <alignment vertical="center"/>
      <protection hidden="1"/>
    </xf>
    <xf numFmtId="0" fontId="5" fillId="4" borderId="1" xfId="2" applyFont="1" applyFill="1" applyBorder="1" applyAlignment="1" applyProtection="1">
      <alignment horizontal="left" vertical="center" indent="1"/>
      <protection hidden="1"/>
    </xf>
    <xf numFmtId="164" fontId="5" fillId="4" borderId="1" xfId="2" applyNumberFormat="1" applyFont="1" applyFill="1" applyBorder="1" applyAlignment="1" applyProtection="1">
      <alignment horizontal="right" vertical="center" indent="1"/>
      <protection hidden="1"/>
    </xf>
    <xf numFmtId="0" fontId="5" fillId="4" borderId="1" xfId="2" applyFont="1" applyFill="1" applyBorder="1" applyAlignment="1" applyProtection="1">
      <alignment horizontal="center" vertical="center"/>
      <protection hidden="1"/>
    </xf>
    <xf numFmtId="0" fontId="5" fillId="0" borderId="0" xfId="2" applyFont="1" applyFill="1" applyProtection="1">
      <alignment vertical="center"/>
      <protection hidden="1"/>
    </xf>
    <xf numFmtId="0" fontId="0" fillId="0" borderId="0" xfId="0" applyProtection="1">
      <protection hidden="1"/>
    </xf>
    <xf numFmtId="164" fontId="6" fillId="3" borderId="1" xfId="2" applyNumberFormat="1" applyFont="1" applyFill="1" applyBorder="1" applyAlignment="1" applyProtection="1">
      <alignment horizontal="right" vertical="center"/>
      <protection hidden="1"/>
    </xf>
    <xf numFmtId="0" fontId="19" fillId="9" borderId="0" xfId="3" applyFont="1" applyFill="1" applyBorder="1" applyAlignment="1" applyProtection="1">
      <alignment horizontal="center" vertical="center" wrapText="1"/>
      <protection hidden="1"/>
    </xf>
    <xf numFmtId="0" fontId="9" fillId="11" borderId="13" xfId="3" applyFont="1" applyFill="1" applyBorder="1" applyAlignment="1" applyProtection="1">
      <alignment horizontal="center" vertical="center" wrapText="1"/>
      <protection hidden="1"/>
    </xf>
    <xf numFmtId="164" fontId="6" fillId="7" borderId="16" xfId="2" applyNumberFormat="1" applyFont="1" applyFill="1" applyBorder="1" applyAlignment="1" applyProtection="1">
      <alignment horizontal="right" vertical="center"/>
      <protection hidden="1"/>
    </xf>
    <xf numFmtId="0" fontId="9" fillId="11" borderId="0" xfId="3" applyFont="1" applyFill="1" applyBorder="1" applyAlignment="1" applyProtection="1">
      <alignment horizontal="center" vertical="center" wrapText="1"/>
      <protection hidden="1"/>
    </xf>
    <xf numFmtId="0" fontId="9" fillId="11" borderId="28" xfId="3" applyFont="1" applyFill="1" applyBorder="1" applyAlignment="1" applyProtection="1">
      <alignment horizontal="center" vertical="center" wrapText="1"/>
      <protection hidden="1"/>
    </xf>
    <xf numFmtId="0" fontId="19" fillId="9" borderId="27" xfId="3" applyFont="1" applyFill="1" applyBorder="1" applyAlignment="1">
      <alignment horizontal="center" vertical="center"/>
    </xf>
    <xf numFmtId="0" fontId="9" fillId="11" borderId="28" xfId="3" applyFont="1" applyFill="1" applyBorder="1" applyAlignment="1">
      <alignment horizontal="center" vertical="center"/>
    </xf>
    <xf numFmtId="0" fontId="9" fillId="11" borderId="29" xfId="3" applyFont="1" applyFill="1" applyBorder="1" applyAlignment="1">
      <alignment horizontal="center" vertical="center"/>
    </xf>
    <xf numFmtId="0" fontId="9" fillId="11" borderId="0" xfId="3" applyFont="1" applyFill="1" applyBorder="1" applyAlignment="1" applyProtection="1">
      <alignment horizontal="right" vertical="center" wrapText="1"/>
      <protection hidden="1"/>
    </xf>
    <xf numFmtId="164" fontId="6" fillId="3" borderId="16" xfId="2" applyNumberFormat="1" applyFont="1" applyFill="1" applyBorder="1" applyAlignment="1" applyProtection="1">
      <alignment horizontal="right" vertical="center"/>
      <protection hidden="1"/>
    </xf>
    <xf numFmtId="0" fontId="18" fillId="7" borderId="0" xfId="5" applyFont="1" applyFill="1" applyAlignment="1">
      <alignment horizontal="left" vertical="center" wrapText="1" indent="1"/>
    </xf>
    <xf numFmtId="0" fontId="0" fillId="11" borderId="0" xfId="0" applyFill="1"/>
    <xf numFmtId="44" fontId="9" fillId="11" borderId="0" xfId="7" applyFont="1" applyFill="1" applyBorder="1"/>
    <xf numFmtId="0" fontId="9" fillId="11" borderId="0" xfId="3" applyFont="1" applyFill="1" applyBorder="1" applyAlignment="1">
      <alignment horizontal="left" vertical="center" indent="1"/>
    </xf>
    <xf numFmtId="0" fontId="2" fillId="11" borderId="0" xfId="0" applyFont="1" applyFill="1"/>
    <xf numFmtId="0" fontId="2" fillId="11" borderId="0" xfId="0" applyFont="1" applyFill="1" applyAlignment="1">
      <alignment horizontal="left"/>
    </xf>
    <xf numFmtId="0" fontId="9" fillId="11" borderId="4" xfId="3" applyFont="1" applyFill="1" applyBorder="1" applyAlignment="1" applyProtection="1">
      <alignment horizontal="center" vertical="center"/>
      <protection hidden="1"/>
    </xf>
    <xf numFmtId="0" fontId="0" fillId="3" borderId="16" xfId="0" applyFill="1" applyBorder="1"/>
    <xf numFmtId="167" fontId="0" fillId="5" borderId="1" xfId="0" applyNumberFormat="1" applyFill="1" applyBorder="1" applyAlignment="1">
      <alignment horizontal="left"/>
    </xf>
    <xf numFmtId="164" fontId="0" fillId="5" borderId="1" xfId="7" applyNumberFormat="1" applyFont="1" applyFill="1" applyBorder="1" applyProtection="1">
      <protection locked="0"/>
    </xf>
    <xf numFmtId="44" fontId="0" fillId="5" borderId="1" xfId="7" applyFont="1" applyFill="1" applyBorder="1" applyProtection="1"/>
    <xf numFmtId="0" fontId="0" fillId="5" borderId="1" xfId="0" applyFill="1" applyBorder="1" applyAlignment="1">
      <alignment wrapText="1"/>
    </xf>
    <xf numFmtId="164" fontId="4" fillId="3" borderId="0" xfId="2" applyNumberFormat="1" applyFill="1" applyAlignment="1"/>
    <xf numFmtId="4" fontId="5" fillId="3" borderId="0" xfId="2" applyNumberFormat="1" applyFont="1" applyFill="1" applyAlignment="1"/>
    <xf numFmtId="164" fontId="5" fillId="4" borderId="16" xfId="2" applyNumberFormat="1" applyFont="1" applyFill="1" applyBorder="1" applyAlignment="1" applyProtection="1">
      <alignment horizontal="right" vertical="center" indent="1"/>
      <protection hidden="1"/>
    </xf>
    <xf numFmtId="0" fontId="9" fillId="11" borderId="0" xfId="3" applyFont="1" applyFill="1" applyBorder="1" applyAlignment="1">
      <alignment horizontal="center" vertical="center"/>
    </xf>
    <xf numFmtId="0" fontId="9" fillId="11" borderId="12" xfId="3" applyFont="1" applyFill="1" applyBorder="1" applyAlignment="1" applyProtection="1">
      <alignment horizontal="left" vertical="center" indent="1"/>
      <protection hidden="1"/>
    </xf>
    <xf numFmtId="0" fontId="9" fillId="11" borderId="30" xfId="3" applyFont="1" applyFill="1" applyBorder="1" applyAlignment="1">
      <alignment horizontal="left" vertical="center" indent="1"/>
    </xf>
    <xf numFmtId="0" fontId="19" fillId="9" borderId="27" xfId="3" applyFont="1" applyFill="1" applyBorder="1" applyAlignment="1" applyProtection="1">
      <alignment horizontal="center" vertical="center" wrapText="1"/>
      <protection hidden="1"/>
    </xf>
    <xf numFmtId="0" fontId="6" fillId="2" borderId="16" xfId="2" applyFont="1" applyBorder="1" applyAlignment="1" applyProtection="1">
      <alignment horizontal="left" vertical="center" indent="1"/>
      <protection hidden="1"/>
    </xf>
    <xf numFmtId="0" fontId="9" fillId="11" borderId="0" xfId="3" applyFont="1" applyFill="1" applyBorder="1" applyAlignment="1" applyProtection="1">
      <alignment horizontal="left" vertical="center" indent="1"/>
      <protection hidden="1"/>
    </xf>
    <xf numFmtId="0" fontId="0" fillId="3" borderId="20" xfId="0" applyFill="1" applyBorder="1" applyAlignment="1" applyProtection="1">
      <alignment horizontal="left"/>
      <protection locked="0"/>
    </xf>
    <xf numFmtId="0" fontId="0" fillId="3" borderId="21" xfId="0" applyFill="1" applyBorder="1" applyAlignment="1" applyProtection="1">
      <alignment horizontal="left"/>
      <protection locked="0"/>
    </xf>
    <xf numFmtId="0" fontId="0" fillId="5" borderId="16" xfId="0" applyFill="1" applyBorder="1"/>
    <xf numFmtId="0" fontId="0" fillId="7" borderId="16" xfId="0" applyFill="1" applyBorder="1"/>
    <xf numFmtId="167" fontId="0" fillId="3" borderId="16" xfId="0" applyNumberFormat="1" applyFill="1" applyBorder="1" applyAlignment="1">
      <alignment horizontal="left"/>
    </xf>
    <xf numFmtId="164" fontId="0" fillId="7" borderId="16" xfId="7" applyNumberFormat="1" applyFont="1" applyFill="1" applyBorder="1" applyProtection="1">
      <protection locked="0"/>
    </xf>
    <xf numFmtId="164" fontId="0" fillId="3" borderId="16" xfId="7" applyNumberFormat="1" applyFont="1" applyFill="1" applyBorder="1" applyProtection="1">
      <protection locked="0"/>
    </xf>
    <xf numFmtId="44" fontId="0" fillId="7" borderId="16" xfId="7" applyFont="1" applyFill="1" applyBorder="1" applyProtection="1"/>
    <xf numFmtId="0" fontId="9" fillId="6" borderId="13" xfId="3" applyFont="1" applyFill="1" applyBorder="1" applyAlignment="1" applyProtection="1">
      <alignment horizontal="center" vertical="center"/>
      <protection hidden="1"/>
    </xf>
    <xf numFmtId="164" fontId="6" fillId="16" borderId="16" xfId="2" applyNumberFormat="1" applyFont="1" applyFill="1" applyBorder="1" applyAlignment="1" applyProtection="1">
      <alignment horizontal="right" vertical="center" indent="1"/>
      <protection hidden="1"/>
    </xf>
    <xf numFmtId="0" fontId="9" fillId="11" borderId="0" xfId="3" applyFont="1" applyFill="1" applyBorder="1" applyAlignment="1" applyProtection="1">
      <alignment horizontal="center" vertical="center"/>
      <protection hidden="1"/>
    </xf>
    <xf numFmtId="0" fontId="9" fillId="11" borderId="0" xfId="5" applyFont="1" applyFill="1" applyAlignment="1">
      <alignment horizontal="center" vertical="center"/>
    </xf>
    <xf numFmtId="0" fontId="9" fillId="11" borderId="5" xfId="3" applyFont="1" applyFill="1" applyBorder="1" applyAlignment="1" applyProtection="1">
      <alignment horizontal="center" vertical="center"/>
      <protection hidden="1"/>
    </xf>
    <xf numFmtId="0" fontId="0" fillId="3" borderId="20" xfId="0" applyFill="1" applyBorder="1" applyAlignment="1" applyProtection="1">
      <alignment horizontal="left"/>
      <protection locked="0"/>
    </xf>
    <xf numFmtId="0" fontId="0" fillId="3" borderId="21" xfId="0" applyFill="1" applyBorder="1" applyAlignment="1" applyProtection="1">
      <alignment horizontal="left"/>
      <protection locked="0"/>
    </xf>
    <xf numFmtId="0" fontId="0" fillId="7" borderId="20" xfId="0" applyFill="1" applyBorder="1" applyAlignment="1">
      <alignment horizontal="left"/>
    </xf>
    <xf numFmtId="0" fontId="0" fillId="7" borderId="21" xfId="0" applyFill="1" applyBorder="1" applyAlignment="1">
      <alignment horizontal="left"/>
    </xf>
    <xf numFmtId="0" fontId="14" fillId="7" borderId="0" xfId="5" applyFont="1" applyFill="1" applyAlignment="1">
      <alignment horizontal="left" vertical="center" wrapText="1"/>
    </xf>
    <xf numFmtId="0" fontId="2" fillId="6" borderId="18" xfId="0" applyFont="1" applyFill="1" applyBorder="1" applyAlignment="1" applyProtection="1">
      <alignment horizontal="left" wrapText="1"/>
      <protection locked="0"/>
    </xf>
    <xf numFmtId="0" fontId="2" fillId="6" borderId="19" xfId="0" applyFont="1" applyFill="1" applyBorder="1" applyAlignment="1" applyProtection="1">
      <alignment horizontal="left" wrapText="1"/>
      <protection locked="0"/>
    </xf>
    <xf numFmtId="0" fontId="9" fillId="11" borderId="22" xfId="3" applyFont="1" applyFill="1" applyBorder="1" applyAlignment="1">
      <alignment horizontal="center" vertical="center"/>
    </xf>
    <xf numFmtId="0" fontId="9" fillId="11" borderId="15" xfId="3" applyFont="1" applyFill="1" applyBorder="1" applyAlignment="1">
      <alignment horizontal="center" vertical="center"/>
    </xf>
    <xf numFmtId="0" fontId="0" fillId="5" borderId="20" xfId="0" applyFill="1" applyBorder="1" applyAlignment="1">
      <alignment horizontal="left"/>
    </xf>
    <xf numFmtId="0" fontId="0" fillId="5" borderId="21" xfId="0" applyFill="1" applyBorder="1" applyAlignment="1">
      <alignment horizontal="left"/>
    </xf>
    <xf numFmtId="0" fontId="0" fillId="5" borderId="20" xfId="0" applyFill="1" applyBorder="1" applyAlignment="1" applyProtection="1">
      <alignment horizontal="left"/>
      <protection locked="0"/>
    </xf>
    <xf numFmtId="0" fontId="0" fillId="5" borderId="21" xfId="0" applyFill="1" applyBorder="1" applyAlignment="1" applyProtection="1">
      <alignment horizontal="left"/>
      <protection locked="0"/>
    </xf>
    <xf numFmtId="43" fontId="5" fillId="3" borderId="0" xfId="1" applyFont="1" applyFill="1" applyAlignment="1"/>
    <xf numFmtId="44" fontId="5" fillId="3" borderId="0" xfId="2" applyNumberFormat="1" applyFont="1" applyFill="1" applyAlignment="1"/>
    <xf numFmtId="167" fontId="0" fillId="5" borderId="16" xfId="0" applyNumberFormat="1" applyFill="1" applyBorder="1" applyAlignment="1">
      <alignment horizontal="left"/>
    </xf>
    <xf numFmtId="164" fontId="0" fillId="5" borderId="16" xfId="7" applyNumberFormat="1" applyFont="1" applyFill="1" applyBorder="1" applyProtection="1">
      <protection locked="0"/>
    </xf>
    <xf numFmtId="44" fontId="0" fillId="5" borderId="16" xfId="7" applyFont="1" applyFill="1" applyBorder="1" applyProtection="1"/>
    <xf numFmtId="164" fontId="0" fillId="5" borderId="1" xfId="7" applyNumberFormat="1" applyFont="1" applyFill="1" applyBorder="1" applyProtection="1"/>
    <xf numFmtId="164" fontId="0" fillId="5" borderId="2" xfId="7" applyNumberFormat="1" applyFont="1" applyFill="1" applyBorder="1" applyProtection="1">
      <protection locked="0"/>
    </xf>
    <xf numFmtId="0" fontId="24" fillId="12" borderId="0" xfId="3" applyFont="1" applyFill="1" applyBorder="1" applyAlignment="1">
      <alignment horizontal="left" vertical="center" indent="1"/>
    </xf>
  </cellXfs>
  <cellStyles count="8">
    <cellStyle name="Comma" xfId="1" builtinId="3"/>
    <cellStyle name="Currency" xfId="7" builtinId="4"/>
    <cellStyle name="Heading 1 2" xfId="5" xr:uid="{4697B4BD-4615-4A61-A75B-4D5742998F4E}"/>
    <cellStyle name="Heading 2 2" xfId="3" xr:uid="{1511751B-B5FF-48F7-AEAC-B4774632AC51}"/>
    <cellStyle name="Heading 3 2" xfId="6" xr:uid="{718AF4FB-67D0-43D4-8076-0033F717F79F}"/>
    <cellStyle name="Normal" xfId="0" builtinId="0"/>
    <cellStyle name="Normal 2" xfId="2" xr:uid="{FD7ADA55-2B48-493A-8074-A60F72E154DF}"/>
    <cellStyle name="Percent 2" xfId="4" xr:uid="{EC94AACF-70D8-45C4-AE1B-8C3D8AA1783A}"/>
  </cellStyles>
  <dxfs count="3"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  <color rgb="FFEFF8F8"/>
      <color rgb="FFD0E8E7"/>
      <color rgb="FF007F80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109542</xdr:colOff>
      <xdr:row>5</xdr:row>
      <xdr:rowOff>319088</xdr:rowOff>
    </xdr:from>
    <xdr:to>
      <xdr:col>16</xdr:col>
      <xdr:colOff>1133481</xdr:colOff>
      <xdr:row>5</xdr:row>
      <xdr:rowOff>476250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4BED0A6C-370C-4C67-99FC-C59436FC6F6E}"/>
            </a:ext>
          </a:extLst>
        </xdr:cNvPr>
        <xdr:cNvSpPr/>
      </xdr:nvSpPr>
      <xdr:spPr>
        <a:xfrm rot="16200000">
          <a:off x="8281993" y="-100013"/>
          <a:ext cx="4762" cy="171926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30</xdr:col>
      <xdr:colOff>109542</xdr:colOff>
      <xdr:row>5</xdr:row>
      <xdr:rowOff>319088</xdr:rowOff>
    </xdr:from>
    <xdr:to>
      <xdr:col>32</xdr:col>
      <xdr:colOff>1133481</xdr:colOff>
      <xdr:row>5</xdr:row>
      <xdr:rowOff>476250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18A07D7-35C4-4458-B5F4-FEC927C05F77}"/>
            </a:ext>
          </a:extLst>
        </xdr:cNvPr>
        <xdr:cNvSpPr/>
      </xdr:nvSpPr>
      <xdr:spPr>
        <a:xfrm rot="16200000">
          <a:off x="20831181" y="198663"/>
          <a:ext cx="157162" cy="363651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46</xdr:col>
      <xdr:colOff>109542</xdr:colOff>
      <xdr:row>5</xdr:row>
      <xdr:rowOff>319088</xdr:rowOff>
    </xdr:from>
    <xdr:to>
      <xdr:col>48</xdr:col>
      <xdr:colOff>1133481</xdr:colOff>
      <xdr:row>5</xdr:row>
      <xdr:rowOff>476250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588F61EC-D213-4A4E-A533-0B26C2D875A2}"/>
            </a:ext>
          </a:extLst>
        </xdr:cNvPr>
        <xdr:cNvSpPr/>
      </xdr:nvSpPr>
      <xdr:spPr>
        <a:xfrm rot="16200000">
          <a:off x="28451181" y="470806"/>
          <a:ext cx="157162" cy="363651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66</xdr:col>
      <xdr:colOff>109542</xdr:colOff>
      <xdr:row>5</xdr:row>
      <xdr:rowOff>319088</xdr:rowOff>
    </xdr:from>
    <xdr:to>
      <xdr:col>68</xdr:col>
      <xdr:colOff>1133481</xdr:colOff>
      <xdr:row>5</xdr:row>
      <xdr:rowOff>476250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56155879-3EE4-47D1-9D41-3A6EFD80B68C}"/>
            </a:ext>
          </a:extLst>
        </xdr:cNvPr>
        <xdr:cNvSpPr/>
      </xdr:nvSpPr>
      <xdr:spPr>
        <a:xfrm rot="16200000">
          <a:off x="66129359" y="470807"/>
          <a:ext cx="157162" cy="363651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3E9D-0E41-4FFA-8532-23223C9C67C7}">
  <dimension ref="A1:N38"/>
  <sheetViews>
    <sheetView topLeftCell="C1" workbookViewId="0">
      <selection activeCell="J4" sqref="J4"/>
    </sheetView>
  </sheetViews>
  <sheetFormatPr defaultColWidth="9.140625" defaultRowHeight="15" x14ac:dyDescent="0.25"/>
  <cols>
    <col min="1" max="1" width="55.85546875" style="19" bestFit="1" customWidth="1"/>
    <col min="2" max="2" width="28.7109375" style="19" bestFit="1" customWidth="1"/>
    <col min="3" max="3" width="9.140625" style="19"/>
    <col min="4" max="4" width="16" style="19" bestFit="1" customWidth="1"/>
    <col min="5" max="5" width="9.140625" style="19"/>
    <col min="6" max="6" width="47.140625" style="23" customWidth="1"/>
    <col min="7" max="7" width="24.28515625" customWidth="1"/>
    <col min="8" max="8" width="9.140625" style="19"/>
    <col min="9" max="9" width="12.28515625" style="19" bestFit="1" customWidth="1"/>
    <col min="10" max="13" width="9.140625" style="19"/>
    <col min="14" max="14" width="15.28515625" style="19" bestFit="1" customWidth="1"/>
    <col min="15" max="16384" width="9.140625" style="19"/>
  </cols>
  <sheetData>
    <row r="1" spans="1:14" x14ac:dyDescent="0.25">
      <c r="A1" s="18" t="s">
        <v>70</v>
      </c>
      <c r="B1" s="18" t="s">
        <v>71</v>
      </c>
      <c r="D1" s="20" t="s">
        <v>72</v>
      </c>
      <c r="F1" s="20" t="s">
        <v>73</v>
      </c>
      <c r="G1" s="20" t="s">
        <v>74</v>
      </c>
      <c r="I1" s="19" t="s">
        <v>75</v>
      </c>
      <c r="J1" s="19" t="s">
        <v>75</v>
      </c>
      <c r="L1" s="21" t="s">
        <v>76</v>
      </c>
      <c r="N1" s="19" t="s">
        <v>316</v>
      </c>
    </row>
    <row r="2" spans="1:14" x14ac:dyDescent="0.25">
      <c r="A2" s="19" t="s">
        <v>77</v>
      </c>
      <c r="B2" s="21" t="s">
        <v>78</v>
      </c>
      <c r="D2" s="19" t="s">
        <v>79</v>
      </c>
      <c r="F2" s="19" t="s">
        <v>148</v>
      </c>
      <c r="G2" s="19" t="s">
        <v>123</v>
      </c>
      <c r="I2" s="22">
        <v>46023</v>
      </c>
      <c r="J2" s="22" t="s">
        <v>330</v>
      </c>
      <c r="L2" s="19" t="s">
        <v>364</v>
      </c>
      <c r="N2" s="19" t="s">
        <v>319</v>
      </c>
    </row>
    <row r="3" spans="1:14" x14ac:dyDescent="0.25">
      <c r="A3" s="19" t="s">
        <v>80</v>
      </c>
      <c r="B3" s="21" t="s">
        <v>78</v>
      </c>
      <c r="D3" s="19" t="s">
        <v>81</v>
      </c>
      <c r="F3" s="19" t="s">
        <v>149</v>
      </c>
      <c r="G3" s="19" t="s">
        <v>124</v>
      </c>
      <c r="I3" s="22">
        <v>46054</v>
      </c>
      <c r="J3" s="22" t="s">
        <v>352</v>
      </c>
      <c r="L3" s="19" t="s">
        <v>365</v>
      </c>
      <c r="N3" s="19" t="s">
        <v>317</v>
      </c>
    </row>
    <row r="4" spans="1:14" x14ac:dyDescent="0.25">
      <c r="A4" s="19" t="s">
        <v>82</v>
      </c>
      <c r="B4" s="21" t="s">
        <v>78</v>
      </c>
      <c r="F4" s="19" t="s">
        <v>150</v>
      </c>
      <c r="G4" s="19" t="s">
        <v>125</v>
      </c>
      <c r="I4" s="22">
        <v>46082</v>
      </c>
      <c r="J4" s="22" t="s">
        <v>331</v>
      </c>
      <c r="L4" s="19" t="s">
        <v>366</v>
      </c>
      <c r="N4" s="19" t="s">
        <v>318</v>
      </c>
    </row>
    <row r="5" spans="1:14" x14ac:dyDescent="0.25">
      <c r="A5" s="19" t="s">
        <v>83</v>
      </c>
      <c r="B5" s="21" t="s">
        <v>78</v>
      </c>
      <c r="F5" s="19" t="s">
        <v>151</v>
      </c>
      <c r="G5" s="19" t="s">
        <v>126</v>
      </c>
      <c r="I5" s="22">
        <v>46113</v>
      </c>
      <c r="J5" s="22" t="s">
        <v>329</v>
      </c>
      <c r="N5" s="19" t="s">
        <v>320</v>
      </c>
    </row>
    <row r="6" spans="1:14" x14ac:dyDescent="0.25">
      <c r="A6" s="19" t="s">
        <v>84</v>
      </c>
      <c r="B6" s="21" t="s">
        <v>85</v>
      </c>
      <c r="F6" s="19" t="s">
        <v>152</v>
      </c>
      <c r="G6" s="19" t="s">
        <v>127</v>
      </c>
      <c r="I6" s="22">
        <v>46143</v>
      </c>
      <c r="J6" s="22" t="s">
        <v>332</v>
      </c>
      <c r="N6" s="19" t="s">
        <v>321</v>
      </c>
    </row>
    <row r="7" spans="1:14" x14ac:dyDescent="0.25">
      <c r="A7" s="19" t="s">
        <v>86</v>
      </c>
      <c r="B7" s="21" t="s">
        <v>87</v>
      </c>
      <c r="F7" s="19" t="s">
        <v>153</v>
      </c>
      <c r="G7" s="19" t="s">
        <v>128</v>
      </c>
      <c r="I7" s="22">
        <v>46174</v>
      </c>
      <c r="J7" s="22" t="s">
        <v>338</v>
      </c>
      <c r="N7" s="19" t="s">
        <v>322</v>
      </c>
    </row>
    <row r="8" spans="1:14" x14ac:dyDescent="0.25">
      <c r="A8" s="19" t="s">
        <v>88</v>
      </c>
      <c r="B8" s="21" t="s">
        <v>87</v>
      </c>
      <c r="F8" s="19" t="s">
        <v>154</v>
      </c>
      <c r="G8" s="19" t="s">
        <v>129</v>
      </c>
      <c r="I8" s="22">
        <v>46204</v>
      </c>
      <c r="J8" s="22" t="s">
        <v>334</v>
      </c>
    </row>
    <row r="9" spans="1:14" x14ac:dyDescent="0.25">
      <c r="A9" s="19" t="s">
        <v>89</v>
      </c>
      <c r="B9" s="21" t="s">
        <v>90</v>
      </c>
      <c r="F9" s="19" t="s">
        <v>155</v>
      </c>
      <c r="G9" s="19" t="s">
        <v>130</v>
      </c>
      <c r="I9" s="22">
        <v>46235</v>
      </c>
      <c r="J9" s="22" t="s">
        <v>337</v>
      </c>
    </row>
    <row r="10" spans="1:14" x14ac:dyDescent="0.25">
      <c r="A10" s="19" t="s">
        <v>91</v>
      </c>
      <c r="B10" s="21" t="s">
        <v>90</v>
      </c>
      <c r="F10" s="19" t="s">
        <v>156</v>
      </c>
      <c r="G10" s="19" t="s">
        <v>129</v>
      </c>
      <c r="I10" s="22">
        <v>46266</v>
      </c>
      <c r="J10" s="22" t="s">
        <v>336</v>
      </c>
    </row>
    <row r="11" spans="1:14" x14ac:dyDescent="0.25">
      <c r="A11" s="19" t="s">
        <v>92</v>
      </c>
      <c r="B11" s="21" t="s">
        <v>90</v>
      </c>
      <c r="F11" s="19" t="s">
        <v>157</v>
      </c>
      <c r="G11" s="19" t="s">
        <v>131</v>
      </c>
      <c r="I11" s="22">
        <v>46296</v>
      </c>
      <c r="J11" s="22" t="s">
        <v>353</v>
      </c>
    </row>
    <row r="12" spans="1:14" x14ac:dyDescent="0.25">
      <c r="A12" s="19" t="s">
        <v>93</v>
      </c>
      <c r="B12" s="21" t="s">
        <v>90</v>
      </c>
      <c r="F12" s="19" t="s">
        <v>158</v>
      </c>
      <c r="G12" s="19" t="s">
        <v>132</v>
      </c>
      <c r="I12" s="22">
        <v>46327</v>
      </c>
      <c r="J12" s="22" t="s">
        <v>335</v>
      </c>
    </row>
    <row r="13" spans="1:14" x14ac:dyDescent="0.25">
      <c r="A13" s="19" t="s">
        <v>94</v>
      </c>
      <c r="B13" s="21" t="s">
        <v>90</v>
      </c>
      <c r="F13" s="19" t="s">
        <v>159</v>
      </c>
      <c r="G13" s="19" t="s">
        <v>133</v>
      </c>
      <c r="I13" s="22">
        <v>46357</v>
      </c>
      <c r="J13" s="22" t="s">
        <v>333</v>
      </c>
    </row>
    <row r="14" spans="1:14" x14ac:dyDescent="0.25">
      <c r="A14" s="19" t="s">
        <v>95</v>
      </c>
      <c r="B14" s="21" t="s">
        <v>96</v>
      </c>
      <c r="F14" s="19" t="s">
        <v>160</v>
      </c>
      <c r="G14" s="19" t="s">
        <v>134</v>
      </c>
    </row>
    <row r="15" spans="1:14" x14ac:dyDescent="0.25">
      <c r="A15" s="19" t="s">
        <v>97</v>
      </c>
      <c r="B15" s="21" t="s">
        <v>96</v>
      </c>
      <c r="F15" s="19" t="s">
        <v>161</v>
      </c>
      <c r="G15" s="19" t="s">
        <v>135</v>
      </c>
    </row>
    <row r="16" spans="1:14" x14ac:dyDescent="0.25">
      <c r="A16" s="19" t="s">
        <v>98</v>
      </c>
      <c r="B16" s="21" t="s">
        <v>96</v>
      </c>
      <c r="F16" s="19" t="s">
        <v>162</v>
      </c>
      <c r="G16" s="19" t="s">
        <v>135</v>
      </c>
    </row>
    <row r="17" spans="1:7" x14ac:dyDescent="0.25">
      <c r="A17" s="19" t="s">
        <v>99</v>
      </c>
      <c r="B17" s="21" t="s">
        <v>96</v>
      </c>
      <c r="F17" s="19" t="s">
        <v>163</v>
      </c>
      <c r="G17" s="19" t="s">
        <v>136</v>
      </c>
    </row>
    <row r="18" spans="1:7" x14ac:dyDescent="0.25">
      <c r="A18" s="19" t="s">
        <v>100</v>
      </c>
      <c r="B18" s="21" t="s">
        <v>96</v>
      </c>
      <c r="F18" s="19" t="s">
        <v>164</v>
      </c>
      <c r="G18" s="19" t="s">
        <v>133</v>
      </c>
    </row>
    <row r="19" spans="1:7" x14ac:dyDescent="0.25">
      <c r="A19" s="19" t="s">
        <v>101</v>
      </c>
      <c r="B19" s="21" t="s">
        <v>96</v>
      </c>
      <c r="F19" s="19" t="s">
        <v>165</v>
      </c>
      <c r="G19" s="19" t="s">
        <v>135</v>
      </c>
    </row>
    <row r="20" spans="1:7" x14ac:dyDescent="0.25">
      <c r="A20" s="19" t="s">
        <v>102</v>
      </c>
      <c r="B20" s="21" t="s">
        <v>96</v>
      </c>
      <c r="F20" s="19" t="s">
        <v>166</v>
      </c>
      <c r="G20" s="19" t="s">
        <v>137</v>
      </c>
    </row>
    <row r="21" spans="1:7" x14ac:dyDescent="0.25">
      <c r="A21" s="19" t="s">
        <v>103</v>
      </c>
      <c r="B21" s="21" t="s">
        <v>96</v>
      </c>
      <c r="F21" s="19" t="s">
        <v>167</v>
      </c>
      <c r="G21" s="19" t="s">
        <v>136</v>
      </c>
    </row>
    <row r="22" spans="1:7" x14ac:dyDescent="0.25">
      <c r="A22" s="19" t="s">
        <v>104</v>
      </c>
      <c r="B22" s="21" t="s">
        <v>105</v>
      </c>
      <c r="F22" s="19" t="s">
        <v>168</v>
      </c>
      <c r="G22" s="19" t="s">
        <v>135</v>
      </c>
    </row>
    <row r="23" spans="1:7" x14ac:dyDescent="0.25">
      <c r="A23" s="19" t="s">
        <v>106</v>
      </c>
      <c r="B23" s="21" t="s">
        <v>105</v>
      </c>
      <c r="F23" s="19" t="s">
        <v>169</v>
      </c>
      <c r="G23" s="19" t="s">
        <v>138</v>
      </c>
    </row>
    <row r="24" spans="1:7" x14ac:dyDescent="0.25">
      <c r="A24" s="19" t="s">
        <v>107</v>
      </c>
      <c r="B24" s="21" t="s">
        <v>105</v>
      </c>
      <c r="F24" s="19" t="s">
        <v>170</v>
      </c>
      <c r="G24" s="19" t="s">
        <v>139</v>
      </c>
    </row>
    <row r="25" spans="1:7" x14ac:dyDescent="0.25">
      <c r="A25" s="19" t="s">
        <v>108</v>
      </c>
      <c r="B25" s="21" t="s">
        <v>105</v>
      </c>
      <c r="F25" s="19" t="s">
        <v>171</v>
      </c>
      <c r="G25" s="19" t="s">
        <v>140</v>
      </c>
    </row>
    <row r="26" spans="1:7" x14ac:dyDescent="0.25">
      <c r="A26" s="19" t="s">
        <v>109</v>
      </c>
      <c r="B26" s="21" t="s">
        <v>110</v>
      </c>
      <c r="F26" s="19" t="s">
        <v>172</v>
      </c>
      <c r="G26" s="19" t="s">
        <v>133</v>
      </c>
    </row>
    <row r="27" spans="1:7" x14ac:dyDescent="0.25">
      <c r="A27" s="19" t="s">
        <v>111</v>
      </c>
      <c r="B27" s="21" t="s">
        <v>110</v>
      </c>
      <c r="F27" s="19" t="s">
        <v>173</v>
      </c>
      <c r="G27" s="19" t="s">
        <v>136</v>
      </c>
    </row>
    <row r="28" spans="1:7" x14ac:dyDescent="0.25">
      <c r="A28" s="19" t="s">
        <v>112</v>
      </c>
      <c r="B28" s="21" t="s">
        <v>110</v>
      </c>
      <c r="F28" s="19" t="s">
        <v>174</v>
      </c>
      <c r="G28" s="19" t="s">
        <v>135</v>
      </c>
    </row>
    <row r="29" spans="1:7" x14ac:dyDescent="0.25">
      <c r="A29" s="19" t="s">
        <v>113</v>
      </c>
      <c r="B29" s="21" t="s">
        <v>110</v>
      </c>
      <c r="F29" s="19" t="s">
        <v>175</v>
      </c>
      <c r="G29" s="19" t="s">
        <v>135</v>
      </c>
    </row>
    <row r="30" spans="1:7" x14ac:dyDescent="0.25">
      <c r="A30" s="19" t="s">
        <v>114</v>
      </c>
      <c r="B30" s="21" t="s">
        <v>110</v>
      </c>
      <c r="F30" s="19" t="s">
        <v>176</v>
      </c>
      <c r="G30" s="19" t="s">
        <v>141</v>
      </c>
    </row>
    <row r="31" spans="1:7" x14ac:dyDescent="0.25">
      <c r="A31" s="19" t="s">
        <v>115</v>
      </c>
      <c r="B31" s="21" t="s">
        <v>110</v>
      </c>
      <c r="F31" s="19" t="s">
        <v>177</v>
      </c>
      <c r="G31" s="19" t="s">
        <v>142</v>
      </c>
    </row>
    <row r="32" spans="1:7" x14ac:dyDescent="0.25">
      <c r="A32" s="19" t="s">
        <v>116</v>
      </c>
      <c r="B32" s="21" t="s">
        <v>110</v>
      </c>
      <c r="F32" s="19" t="s">
        <v>178</v>
      </c>
      <c r="G32" s="19" t="s">
        <v>143</v>
      </c>
    </row>
    <row r="33" spans="1:7" x14ac:dyDescent="0.25">
      <c r="A33" s="19" t="s">
        <v>117</v>
      </c>
      <c r="B33" s="21" t="s">
        <v>118</v>
      </c>
      <c r="F33" s="19" t="s">
        <v>179</v>
      </c>
      <c r="G33" s="19" t="s">
        <v>144</v>
      </c>
    </row>
    <row r="34" spans="1:7" x14ac:dyDescent="0.25">
      <c r="A34" s="19" t="s">
        <v>119</v>
      </c>
      <c r="B34" s="21" t="s">
        <v>118</v>
      </c>
      <c r="F34" s="19" t="s">
        <v>180</v>
      </c>
      <c r="G34" s="19" t="s">
        <v>145</v>
      </c>
    </row>
    <row r="35" spans="1:7" x14ac:dyDescent="0.25">
      <c r="A35" s="19" t="s">
        <v>120</v>
      </c>
      <c r="B35" s="21" t="s">
        <v>118</v>
      </c>
      <c r="F35" s="19" t="s">
        <v>181</v>
      </c>
      <c r="G35" s="19" t="s">
        <v>146</v>
      </c>
    </row>
    <row r="36" spans="1:7" x14ac:dyDescent="0.25">
      <c r="A36" s="19" t="s">
        <v>121</v>
      </c>
      <c r="B36" s="21" t="s">
        <v>118</v>
      </c>
      <c r="F36" s="19" t="s">
        <v>182</v>
      </c>
      <c r="G36" s="19" t="s">
        <v>133</v>
      </c>
    </row>
    <row r="37" spans="1:7" x14ac:dyDescent="0.25">
      <c r="A37" s="19" t="s">
        <v>122</v>
      </c>
      <c r="B37" s="21" t="s">
        <v>118</v>
      </c>
      <c r="F37" s="19" t="s">
        <v>183</v>
      </c>
      <c r="G37" s="19" t="s">
        <v>147</v>
      </c>
    </row>
    <row r="38" spans="1:7" x14ac:dyDescent="0.25">
      <c r="B38" s="21"/>
      <c r="F38" s="19" t="s">
        <v>184</v>
      </c>
      <c r="G38" s="19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D0EF-B829-42F5-8745-21E9BAC6E878}">
  <sheetPr>
    <tabColor rgb="FFFFFF00"/>
  </sheetPr>
  <dimension ref="A2:BU148"/>
  <sheetViews>
    <sheetView tabSelected="1" topLeftCell="A2" zoomScaleNormal="100" workbookViewId="0">
      <pane xSplit="3" ySplit="4" topLeftCell="D121" activePane="bottomRight" state="frozen"/>
      <selection activeCell="F110" sqref="F110:Q117"/>
      <selection pane="topRight" activeCell="F110" sqref="F110:Q117"/>
      <selection pane="bottomLeft" activeCell="F110" sqref="F110:Q117"/>
      <selection pane="bottomRight" activeCell="AH146" sqref="AH146"/>
    </sheetView>
  </sheetViews>
  <sheetFormatPr defaultRowHeight="15" outlineLevelRow="1" outlineLevelCol="1" x14ac:dyDescent="0.25"/>
  <cols>
    <col min="1" max="1" width="9.140625" style="43"/>
    <col min="2" max="2" width="55.28515625" style="43" bestFit="1" customWidth="1"/>
    <col min="3" max="3" width="21" style="43" customWidth="1"/>
    <col min="4" max="4" width="25.28515625" style="43" bestFit="1" customWidth="1"/>
    <col min="5" max="5" width="24.85546875" style="43" bestFit="1" customWidth="1"/>
    <col min="6" max="6" width="22.42578125" style="43" customWidth="1" outlineLevel="1"/>
    <col min="7" max="8" width="23.28515625" style="43" customWidth="1" outlineLevel="1"/>
    <col min="9" max="9" width="22.42578125" style="43" customWidth="1" outlineLevel="1"/>
    <col min="10" max="10" width="23.28515625" style="43" customWidth="1" outlineLevel="1"/>
    <col min="11" max="11" width="22.42578125" style="43" customWidth="1" outlineLevel="1"/>
    <col min="12" max="12" width="21.140625" style="43" customWidth="1" outlineLevel="1"/>
    <col min="13" max="13" width="22" style="43" customWidth="1" outlineLevel="1"/>
    <col min="14" max="16" width="23.28515625" style="43" customWidth="1" outlineLevel="1"/>
    <col min="17" max="17" width="34.7109375" style="43" customWidth="1" outlineLevel="1"/>
    <col min="18" max="18" width="26.140625" style="43" bestFit="1" customWidth="1"/>
    <col min="19" max="19" width="24.140625" style="43" customWidth="1"/>
    <col min="20" max="20" width="40.85546875" style="43" hidden="1" customWidth="1" outlineLevel="1"/>
    <col min="21" max="21" width="5.85546875" style="43" hidden="1" customWidth="1" outlineLevel="1"/>
    <col min="22" max="22" width="22.42578125" style="43" hidden="1" customWidth="1" outlineLevel="1"/>
    <col min="23" max="27" width="23.28515625" style="43" hidden="1" customWidth="1" outlineLevel="1"/>
    <col min="28" max="28" width="24.5703125" style="43" hidden="1" customWidth="1" outlineLevel="1"/>
    <col min="29" max="32" width="21.7109375" style="43" hidden="1" customWidth="1" outlineLevel="1"/>
    <col min="33" max="33" width="25.85546875" style="43" hidden="1" customWidth="1" outlineLevel="1"/>
    <col min="34" max="34" width="25" style="43" customWidth="1" collapsed="1"/>
    <col min="35" max="35" width="24.140625" style="43" customWidth="1"/>
    <col min="36" max="36" width="40.85546875" style="43" customWidth="1" outlineLevel="1"/>
    <col min="37" max="37" width="4.28515625" style="43" customWidth="1" outlineLevel="1"/>
    <col min="38" max="49" width="22.7109375" style="43" customWidth="1" outlineLevel="1"/>
    <col min="50" max="50" width="30.42578125" style="43" customWidth="1"/>
    <col min="51" max="51" width="27.28515625" style="43" customWidth="1"/>
    <col min="52" max="52" width="40.85546875" style="43" customWidth="1" outlineLevel="1"/>
    <col min="53" max="53" width="4.28515625" style="43" customWidth="1"/>
    <col min="54" max="55" width="24.7109375" style="43" customWidth="1"/>
    <col min="56" max="56" width="24.140625" style="43" customWidth="1"/>
    <col min="57" max="57" width="4.28515625" style="43" customWidth="1"/>
    <col min="58" max="68" width="21.42578125" style="43" customWidth="1" outlineLevel="1"/>
    <col min="69" max="69" width="24.85546875" style="43" customWidth="1" outlineLevel="1"/>
    <col min="70" max="70" width="25.5703125" style="43" bestFit="1" customWidth="1"/>
    <col min="71" max="71" width="24.140625" style="43" customWidth="1"/>
    <col min="72" max="72" width="40.85546875" style="43" hidden="1" customWidth="1" outlineLevel="1"/>
    <col min="73" max="73" width="9.140625" collapsed="1"/>
  </cols>
  <sheetData>
    <row r="2" spans="2:72" s="12" customFormat="1" ht="45.75" customHeight="1" x14ac:dyDescent="0.25">
      <c r="B2" s="134" t="s">
        <v>357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5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98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98"/>
      <c r="BB2" s="40"/>
      <c r="BC2" s="40"/>
      <c r="BD2" s="40"/>
      <c r="BE2" s="98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</row>
    <row r="3" spans="2:72" s="12" customFormat="1" ht="21" x14ac:dyDescent="0.25">
      <c r="B3" s="25" t="s">
        <v>366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5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98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98"/>
      <c r="BB3" s="40"/>
      <c r="BC3" s="40"/>
      <c r="BD3" s="40"/>
      <c r="BE3" s="98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</row>
    <row r="4" spans="2:72" s="12" customFormat="1" ht="31.5" customHeight="1" x14ac:dyDescent="0.25">
      <c r="B4" s="17" t="s">
        <v>148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5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98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98"/>
      <c r="BB4" s="42"/>
      <c r="BC4" s="42"/>
      <c r="BD4" s="41"/>
      <c r="BE4" s="98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</row>
    <row r="5" spans="2:72" s="99" customFormat="1" ht="31.5" customHeight="1" x14ac:dyDescent="0.25">
      <c r="B5" s="96"/>
      <c r="C5" s="96"/>
      <c r="D5" s="165" t="s">
        <v>68</v>
      </c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7"/>
      <c r="U5" s="98"/>
      <c r="V5" s="165" t="s">
        <v>365</v>
      </c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42"/>
      <c r="AL5" s="165" t="s">
        <v>366</v>
      </c>
      <c r="AM5" s="165"/>
      <c r="AN5" s="165"/>
      <c r="AO5" s="165"/>
      <c r="AP5" s="165"/>
      <c r="AQ5" s="165"/>
      <c r="AR5" s="165"/>
      <c r="AS5" s="165"/>
      <c r="AT5" s="165"/>
      <c r="AU5" s="165"/>
      <c r="AV5" s="165"/>
      <c r="AW5" s="165"/>
      <c r="AX5" s="165"/>
      <c r="AY5" s="165"/>
      <c r="AZ5" s="165"/>
      <c r="BA5" s="42"/>
      <c r="BB5" s="166" t="s">
        <v>354</v>
      </c>
      <c r="BC5" s="166"/>
      <c r="BD5" s="166"/>
      <c r="BE5" s="42"/>
      <c r="BF5" s="165" t="s">
        <v>388</v>
      </c>
      <c r="BG5" s="165"/>
      <c r="BH5" s="165"/>
      <c r="BI5" s="165"/>
      <c r="BJ5" s="165"/>
      <c r="BK5" s="165"/>
      <c r="BL5" s="165"/>
      <c r="BM5" s="165"/>
      <c r="BN5" s="165"/>
      <c r="BO5" s="165"/>
      <c r="BP5" s="165"/>
      <c r="BQ5" s="165"/>
      <c r="BR5" s="165"/>
      <c r="BS5" s="165"/>
      <c r="BT5" s="165"/>
    </row>
    <row r="6" spans="2:72" s="99" customFormat="1" ht="39.75" customHeight="1" x14ac:dyDescent="0.25">
      <c r="B6" s="100"/>
      <c r="C6" s="100"/>
      <c r="D6" s="100"/>
      <c r="E6" s="100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2">
        <f>SUM(O122:Q122)/R122</f>
        <v>0.18431136902591472</v>
      </c>
      <c r="Q6" s="103" t="s">
        <v>65</v>
      </c>
      <c r="R6" s="101"/>
      <c r="S6" s="101"/>
      <c r="T6" s="104"/>
      <c r="U6" s="98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2">
        <f>SUM(AE122:AG122)/AH122</f>
        <v>0.26583222356785685</v>
      </c>
      <c r="AG6" s="103" t="s">
        <v>65</v>
      </c>
      <c r="AH6" s="101"/>
      <c r="AI6" s="101"/>
      <c r="AJ6" s="104"/>
      <c r="AK6" s="98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2">
        <f>SUM(AU122:AW122)/AX122</f>
        <v>0.28762154042422505</v>
      </c>
      <c r="AW6" s="103" t="s">
        <v>65</v>
      </c>
      <c r="AX6" s="101"/>
      <c r="AY6" s="101"/>
      <c r="AZ6" s="104"/>
      <c r="BA6" s="98"/>
      <c r="BB6" s="104"/>
      <c r="BC6" s="104"/>
      <c r="BD6" s="101"/>
      <c r="BE6" s="98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2">
        <f>SUM(BO122:BQ122)/BR122</f>
        <v>0.2308961148302297</v>
      </c>
      <c r="BQ6" s="103" t="s">
        <v>65</v>
      </c>
      <c r="BR6" s="101"/>
      <c r="BS6" s="101"/>
      <c r="BT6" s="104"/>
    </row>
    <row r="7" spans="2:72" s="110" customFormat="1" ht="75" x14ac:dyDescent="0.25">
      <c r="B7" s="150" t="s">
        <v>187</v>
      </c>
      <c r="C7" s="154" t="s">
        <v>69</v>
      </c>
      <c r="D7" s="152" t="s">
        <v>367</v>
      </c>
      <c r="E7" s="105" t="s">
        <v>186</v>
      </c>
      <c r="F7" s="106" t="s">
        <v>64</v>
      </c>
      <c r="G7" s="106" t="s">
        <v>63</v>
      </c>
      <c r="H7" s="106" t="s">
        <v>62</v>
      </c>
      <c r="I7" s="106" t="s">
        <v>61</v>
      </c>
      <c r="J7" s="106" t="s">
        <v>60</v>
      </c>
      <c r="K7" s="106" t="s">
        <v>59</v>
      </c>
      <c r="L7" s="106" t="s">
        <v>58</v>
      </c>
      <c r="M7" s="106" t="s">
        <v>57</v>
      </c>
      <c r="N7" s="106" t="s">
        <v>56</v>
      </c>
      <c r="O7" s="106" t="s">
        <v>55</v>
      </c>
      <c r="P7" s="106" t="s">
        <v>54</v>
      </c>
      <c r="Q7" s="107" t="s">
        <v>53</v>
      </c>
      <c r="R7" s="108" t="s">
        <v>364</v>
      </c>
      <c r="S7" s="109" t="s">
        <v>368</v>
      </c>
      <c r="T7" s="106" t="s">
        <v>51</v>
      </c>
      <c r="U7" s="98"/>
      <c r="V7" s="97" t="s">
        <v>64</v>
      </c>
      <c r="W7" s="97" t="s">
        <v>63</v>
      </c>
      <c r="X7" s="97" t="s">
        <v>62</v>
      </c>
      <c r="Y7" s="97" t="s">
        <v>61</v>
      </c>
      <c r="Z7" s="97" t="s">
        <v>60</v>
      </c>
      <c r="AA7" s="97" t="s">
        <v>59</v>
      </c>
      <c r="AB7" s="106" t="s">
        <v>58</v>
      </c>
      <c r="AC7" s="106" t="s">
        <v>57</v>
      </c>
      <c r="AD7" s="106" t="s">
        <v>56</v>
      </c>
      <c r="AE7" s="106" t="s">
        <v>55</v>
      </c>
      <c r="AF7" s="106" t="s">
        <v>54</v>
      </c>
      <c r="AG7" s="107" t="s">
        <v>53</v>
      </c>
      <c r="AH7" s="108" t="s">
        <v>365</v>
      </c>
      <c r="AI7" s="109" t="s">
        <v>369</v>
      </c>
      <c r="AJ7" s="106" t="s">
        <v>51</v>
      </c>
      <c r="AK7" s="98"/>
      <c r="AL7" s="97" t="s">
        <v>64</v>
      </c>
      <c r="AM7" s="97" t="s">
        <v>63</v>
      </c>
      <c r="AN7" s="97" t="s">
        <v>62</v>
      </c>
      <c r="AO7" s="97" t="s">
        <v>61</v>
      </c>
      <c r="AP7" s="97" t="s">
        <v>60</v>
      </c>
      <c r="AQ7" s="97" t="s">
        <v>59</v>
      </c>
      <c r="AR7" s="97" t="s">
        <v>58</v>
      </c>
      <c r="AS7" s="97" t="s">
        <v>57</v>
      </c>
      <c r="AT7" s="97" t="s">
        <v>56</v>
      </c>
      <c r="AU7" s="163" t="s">
        <v>55</v>
      </c>
      <c r="AV7" s="106" t="s">
        <v>54</v>
      </c>
      <c r="AW7" s="107" t="s">
        <v>53</v>
      </c>
      <c r="AX7" s="108" t="s">
        <v>366</v>
      </c>
      <c r="AY7" s="109" t="s">
        <v>370</v>
      </c>
      <c r="AZ7" s="106" t="s">
        <v>51</v>
      </c>
      <c r="BA7" s="98"/>
      <c r="BB7" s="127" t="s">
        <v>371</v>
      </c>
      <c r="BC7" s="125" t="s">
        <v>355</v>
      </c>
      <c r="BD7" s="109" t="s">
        <v>356</v>
      </c>
      <c r="BE7" s="98"/>
      <c r="BF7" s="106" t="s">
        <v>64</v>
      </c>
      <c r="BG7" s="106" t="s">
        <v>63</v>
      </c>
      <c r="BH7" s="106" t="s">
        <v>62</v>
      </c>
      <c r="BI7" s="106" t="s">
        <v>61</v>
      </c>
      <c r="BJ7" s="106" t="s">
        <v>60</v>
      </c>
      <c r="BK7" s="106" t="s">
        <v>59</v>
      </c>
      <c r="BL7" s="106" t="s">
        <v>58</v>
      </c>
      <c r="BM7" s="106" t="s">
        <v>57</v>
      </c>
      <c r="BN7" s="106" t="s">
        <v>56</v>
      </c>
      <c r="BO7" s="106" t="s">
        <v>55</v>
      </c>
      <c r="BP7" s="106" t="s">
        <v>54</v>
      </c>
      <c r="BQ7" s="107" t="s">
        <v>53</v>
      </c>
      <c r="BR7" s="108" t="s">
        <v>389</v>
      </c>
      <c r="BS7" s="109" t="s">
        <v>390</v>
      </c>
      <c r="BT7" s="106" t="s">
        <v>51</v>
      </c>
    </row>
    <row r="8" spans="2:72" s="117" customFormat="1" ht="22.15" hidden="1" customHeight="1" outlineLevel="1" x14ac:dyDescent="0.25">
      <c r="B8" s="111" t="s">
        <v>188</v>
      </c>
      <c r="C8" s="153" t="str">
        <f>LEFT($B$4,8)&amp;LEFT(B8,7)</f>
        <v>147900705063200</v>
      </c>
      <c r="D8" s="112">
        <v>0</v>
      </c>
      <c r="E8" s="112">
        <v>0</v>
      </c>
      <c r="F8" s="113">
        <v>0</v>
      </c>
      <c r="G8" s="114">
        <v>0</v>
      </c>
      <c r="H8" s="113">
        <v>0</v>
      </c>
      <c r="I8" s="114">
        <v>0</v>
      </c>
      <c r="J8" s="113">
        <v>0</v>
      </c>
      <c r="K8" s="114">
        <v>0</v>
      </c>
      <c r="L8" s="113">
        <v>0</v>
      </c>
      <c r="M8" s="114">
        <v>0</v>
      </c>
      <c r="N8" s="113">
        <v>0</v>
      </c>
      <c r="O8" s="114">
        <v>0</v>
      </c>
      <c r="P8" s="113">
        <v>0</v>
      </c>
      <c r="Q8" s="114">
        <v>0</v>
      </c>
      <c r="R8" s="113">
        <f>SUM(F8:Q8)</f>
        <v>0</v>
      </c>
      <c r="S8" s="24">
        <f t="shared" ref="S8:S11" si="0">R8-E8</f>
        <v>0</v>
      </c>
      <c r="T8" s="116"/>
      <c r="U8" s="98"/>
      <c r="V8" s="112">
        <v>0</v>
      </c>
      <c r="W8" s="112">
        <v>0</v>
      </c>
      <c r="X8" s="112">
        <v>0</v>
      </c>
      <c r="Y8" s="112">
        <v>0</v>
      </c>
      <c r="Z8" s="112">
        <v>0</v>
      </c>
      <c r="AA8" s="112">
        <v>0</v>
      </c>
      <c r="AB8" s="113">
        <v>0</v>
      </c>
      <c r="AC8" s="114">
        <v>0</v>
      </c>
      <c r="AD8" s="113">
        <v>0</v>
      </c>
      <c r="AE8" s="114">
        <v>0</v>
      </c>
      <c r="AF8" s="113">
        <v>0</v>
      </c>
      <c r="AG8" s="114">
        <v>0</v>
      </c>
      <c r="AH8" s="113">
        <f>SUM(V8:AG8)</f>
        <v>0</v>
      </c>
      <c r="AI8" s="24">
        <f>AH8-R8</f>
        <v>0</v>
      </c>
      <c r="AJ8" s="116"/>
      <c r="AK8" s="98"/>
      <c r="AL8" s="164">
        <v>0</v>
      </c>
      <c r="AM8" s="164">
        <v>0</v>
      </c>
      <c r="AN8" s="164">
        <v>0</v>
      </c>
      <c r="AO8" s="164">
        <v>0</v>
      </c>
      <c r="AP8" s="164">
        <v>0</v>
      </c>
      <c r="AQ8" s="164">
        <v>0</v>
      </c>
      <c r="AR8" s="164">
        <v>0</v>
      </c>
      <c r="AS8" s="164">
        <v>0</v>
      </c>
      <c r="AT8" s="164">
        <v>0</v>
      </c>
      <c r="AU8" s="114">
        <v>0</v>
      </c>
      <c r="AV8" s="113">
        <v>0</v>
      </c>
      <c r="AW8" s="113">
        <v>0</v>
      </c>
      <c r="AX8" s="113">
        <f>SUM(AL8:AW8)</f>
        <v>0</v>
      </c>
      <c r="AY8" s="24">
        <f>AX8-AH8</f>
        <v>0</v>
      </c>
      <c r="AZ8" s="116"/>
      <c r="BA8" s="98"/>
      <c r="BB8" s="126">
        <v>0</v>
      </c>
      <c r="BC8" s="123">
        <v>0</v>
      </c>
      <c r="BD8" s="115" cm="1">
        <f t="array" ref="BD8">_xlfn.IFS($B$3="LE1 2024",R8-BB8-BC8,$B$3="LE2 2024",AH8-BB8-BC8,$B$3="LE3 2024",AX8-BB8-BC8)</f>
        <v>0</v>
      </c>
      <c r="BE8" s="98"/>
      <c r="BF8" s="113">
        <v>0</v>
      </c>
      <c r="BG8" s="114">
        <v>0</v>
      </c>
      <c r="BH8" s="113">
        <v>0</v>
      </c>
      <c r="BI8" s="114">
        <v>0</v>
      </c>
      <c r="BJ8" s="113">
        <v>0</v>
      </c>
      <c r="BK8" s="114">
        <v>0</v>
      </c>
      <c r="BL8" s="113">
        <v>0</v>
      </c>
      <c r="BM8" s="114">
        <v>0</v>
      </c>
      <c r="BN8" s="113">
        <v>0</v>
      </c>
      <c r="BO8" s="114">
        <v>0</v>
      </c>
      <c r="BP8" s="113">
        <v>0</v>
      </c>
      <c r="BQ8" s="114">
        <v>0</v>
      </c>
      <c r="BR8" s="113">
        <f>SUM(BF8:BQ8)</f>
        <v>0</v>
      </c>
      <c r="BS8" s="24">
        <f>BR8-AH8</f>
        <v>0</v>
      </c>
      <c r="BT8" s="116"/>
    </row>
    <row r="9" spans="2:72" s="117" customFormat="1" ht="22.15" hidden="1" customHeight="1" outlineLevel="1" x14ac:dyDescent="0.25">
      <c r="B9" s="111" t="s">
        <v>189</v>
      </c>
      <c r="C9" s="111" t="str">
        <f>LEFT($B$4,8)&amp;LEFT(B9,7)</f>
        <v>147900706030000</v>
      </c>
      <c r="D9" s="112">
        <v>0</v>
      </c>
      <c r="E9" s="112">
        <v>0</v>
      </c>
      <c r="F9" s="113">
        <v>0</v>
      </c>
      <c r="G9" s="114">
        <v>0</v>
      </c>
      <c r="H9" s="113">
        <v>0</v>
      </c>
      <c r="I9" s="114">
        <v>0</v>
      </c>
      <c r="J9" s="113">
        <v>0</v>
      </c>
      <c r="K9" s="114">
        <v>0</v>
      </c>
      <c r="L9" s="113">
        <v>0</v>
      </c>
      <c r="M9" s="114">
        <v>0</v>
      </c>
      <c r="N9" s="113">
        <v>0</v>
      </c>
      <c r="O9" s="114">
        <v>0</v>
      </c>
      <c r="P9" s="113">
        <v>0</v>
      </c>
      <c r="Q9" s="114">
        <v>0</v>
      </c>
      <c r="R9" s="113">
        <f t="shared" ref="R9:R11" si="1">SUM(F9:Q9)</f>
        <v>0</v>
      </c>
      <c r="S9" s="24">
        <f t="shared" si="0"/>
        <v>0</v>
      </c>
      <c r="T9" s="116"/>
      <c r="U9" s="98"/>
      <c r="V9" s="112">
        <v>0</v>
      </c>
      <c r="W9" s="112">
        <v>0</v>
      </c>
      <c r="X9" s="112">
        <v>0</v>
      </c>
      <c r="Y9" s="112">
        <v>0</v>
      </c>
      <c r="Z9" s="112">
        <v>0</v>
      </c>
      <c r="AA9" s="112">
        <v>0</v>
      </c>
      <c r="AB9" s="113">
        <v>0</v>
      </c>
      <c r="AC9" s="114">
        <v>0</v>
      </c>
      <c r="AD9" s="113">
        <v>0</v>
      </c>
      <c r="AE9" s="114">
        <v>0</v>
      </c>
      <c r="AF9" s="113">
        <v>0</v>
      </c>
      <c r="AG9" s="114">
        <v>0</v>
      </c>
      <c r="AH9" s="113">
        <f t="shared" ref="AH9:AH11" si="2">SUM(V9:AG9)</f>
        <v>0</v>
      </c>
      <c r="AI9" s="24">
        <f t="shared" ref="AI9:AI11" si="3">AH9-R9</f>
        <v>0</v>
      </c>
      <c r="AJ9" s="116"/>
      <c r="AK9" s="98"/>
      <c r="AL9" s="164">
        <v>0</v>
      </c>
      <c r="AM9" s="164">
        <v>0</v>
      </c>
      <c r="AN9" s="164">
        <v>0</v>
      </c>
      <c r="AO9" s="164">
        <v>0</v>
      </c>
      <c r="AP9" s="164">
        <v>0</v>
      </c>
      <c r="AQ9" s="164">
        <v>0</v>
      </c>
      <c r="AR9" s="164">
        <v>0</v>
      </c>
      <c r="AS9" s="164">
        <v>0</v>
      </c>
      <c r="AT9" s="164">
        <v>0</v>
      </c>
      <c r="AU9" s="114">
        <v>0</v>
      </c>
      <c r="AV9" s="113">
        <v>0</v>
      </c>
      <c r="AW9" s="113">
        <v>0</v>
      </c>
      <c r="AX9" s="113">
        <f t="shared" ref="AX9:AX11" si="4">SUM(AL9:AW9)</f>
        <v>0</v>
      </c>
      <c r="AY9" s="24">
        <f t="shared" ref="AY9:AY11" si="5">AX9-AH9</f>
        <v>0</v>
      </c>
      <c r="AZ9" s="116"/>
      <c r="BA9" s="98"/>
      <c r="BB9" s="126">
        <v>0</v>
      </c>
      <c r="BC9" s="123">
        <v>0</v>
      </c>
      <c r="BD9" s="115" cm="1">
        <f t="array" ref="BD9">_xlfn.IFS($B$3="LE1 2024",R9-BB9-BC9,$B$3="LE2 2024",AH9-BB9-BC9,$B$3="LE3 2024",AX9-BB9-BC9)</f>
        <v>0</v>
      </c>
      <c r="BE9" s="98"/>
      <c r="BF9" s="113">
        <v>0</v>
      </c>
      <c r="BG9" s="114">
        <v>0</v>
      </c>
      <c r="BH9" s="113">
        <v>0</v>
      </c>
      <c r="BI9" s="114">
        <v>0</v>
      </c>
      <c r="BJ9" s="113">
        <v>0</v>
      </c>
      <c r="BK9" s="114">
        <v>0</v>
      </c>
      <c r="BL9" s="113">
        <v>0</v>
      </c>
      <c r="BM9" s="114">
        <v>0</v>
      </c>
      <c r="BN9" s="113">
        <v>0</v>
      </c>
      <c r="BO9" s="114">
        <v>0</v>
      </c>
      <c r="BP9" s="113">
        <v>0</v>
      </c>
      <c r="BQ9" s="114">
        <v>0</v>
      </c>
      <c r="BR9" s="113">
        <f t="shared" ref="BR9:BR11" si="6">SUM(BF9:BQ9)</f>
        <v>0</v>
      </c>
      <c r="BS9" s="24">
        <f t="shared" ref="BS9:BS11" si="7">BR9-AH9</f>
        <v>0</v>
      </c>
      <c r="BT9" s="116"/>
    </row>
    <row r="10" spans="2:72" s="117" customFormat="1" ht="22.15" hidden="1" customHeight="1" outlineLevel="1" x14ac:dyDescent="0.25">
      <c r="B10" s="111" t="s">
        <v>190</v>
      </c>
      <c r="C10" s="111" t="str">
        <f>LEFT($B$4,8)&amp;LEFT(B10,7)</f>
        <v>147900706032020</v>
      </c>
      <c r="D10" s="112">
        <v>0</v>
      </c>
      <c r="E10" s="112">
        <v>0</v>
      </c>
      <c r="F10" s="113">
        <v>0</v>
      </c>
      <c r="G10" s="114">
        <v>0</v>
      </c>
      <c r="H10" s="113">
        <v>0</v>
      </c>
      <c r="I10" s="114">
        <v>0</v>
      </c>
      <c r="J10" s="113">
        <v>0</v>
      </c>
      <c r="K10" s="114">
        <v>0</v>
      </c>
      <c r="L10" s="113">
        <v>0</v>
      </c>
      <c r="M10" s="114">
        <v>0</v>
      </c>
      <c r="N10" s="113">
        <v>0</v>
      </c>
      <c r="O10" s="114">
        <v>0</v>
      </c>
      <c r="P10" s="113">
        <v>0</v>
      </c>
      <c r="Q10" s="114">
        <v>0</v>
      </c>
      <c r="R10" s="113">
        <f t="shared" si="1"/>
        <v>0</v>
      </c>
      <c r="S10" s="24">
        <f t="shared" si="0"/>
        <v>0</v>
      </c>
      <c r="T10" s="116"/>
      <c r="U10" s="98"/>
      <c r="V10" s="112">
        <v>0</v>
      </c>
      <c r="W10" s="112">
        <v>0</v>
      </c>
      <c r="X10" s="112">
        <v>0</v>
      </c>
      <c r="Y10" s="112">
        <v>0</v>
      </c>
      <c r="Z10" s="112">
        <v>0</v>
      </c>
      <c r="AA10" s="112">
        <v>0</v>
      </c>
      <c r="AB10" s="113">
        <v>0</v>
      </c>
      <c r="AC10" s="114">
        <v>0</v>
      </c>
      <c r="AD10" s="113">
        <v>0</v>
      </c>
      <c r="AE10" s="114">
        <v>0</v>
      </c>
      <c r="AF10" s="113">
        <v>0</v>
      </c>
      <c r="AG10" s="114">
        <v>0</v>
      </c>
      <c r="AH10" s="113">
        <f t="shared" si="2"/>
        <v>0</v>
      </c>
      <c r="AI10" s="24">
        <f t="shared" si="3"/>
        <v>0</v>
      </c>
      <c r="AJ10" s="116"/>
      <c r="AK10" s="98"/>
      <c r="AL10" s="164">
        <v>0</v>
      </c>
      <c r="AM10" s="164">
        <v>0</v>
      </c>
      <c r="AN10" s="164">
        <v>0</v>
      </c>
      <c r="AO10" s="164">
        <v>0</v>
      </c>
      <c r="AP10" s="164">
        <v>0</v>
      </c>
      <c r="AQ10" s="164">
        <v>0</v>
      </c>
      <c r="AR10" s="164">
        <v>0</v>
      </c>
      <c r="AS10" s="164">
        <v>0</v>
      </c>
      <c r="AT10" s="164">
        <v>0</v>
      </c>
      <c r="AU10" s="114">
        <v>0</v>
      </c>
      <c r="AV10" s="113">
        <v>0</v>
      </c>
      <c r="AW10" s="113">
        <v>0</v>
      </c>
      <c r="AX10" s="113">
        <f t="shared" si="4"/>
        <v>0</v>
      </c>
      <c r="AY10" s="24">
        <f t="shared" si="5"/>
        <v>0</v>
      </c>
      <c r="AZ10" s="116"/>
      <c r="BA10" s="98"/>
      <c r="BB10" s="126">
        <v>0</v>
      </c>
      <c r="BC10" s="123">
        <v>0</v>
      </c>
      <c r="BD10" s="115" cm="1">
        <f t="array" ref="BD10">_xlfn.IFS($B$3="LE1 2024",R10-BB10-BC10,$B$3="LE2 2024",AH10-BB10-BC10,$B$3="LE3 2024",AX10-BB10-BC10)</f>
        <v>0</v>
      </c>
      <c r="BE10" s="98"/>
      <c r="BF10" s="113">
        <v>0</v>
      </c>
      <c r="BG10" s="114">
        <v>0</v>
      </c>
      <c r="BH10" s="113">
        <v>0</v>
      </c>
      <c r="BI10" s="114">
        <v>0</v>
      </c>
      <c r="BJ10" s="113">
        <v>0</v>
      </c>
      <c r="BK10" s="114">
        <v>0</v>
      </c>
      <c r="BL10" s="113">
        <v>0</v>
      </c>
      <c r="BM10" s="114">
        <v>0</v>
      </c>
      <c r="BN10" s="113">
        <v>0</v>
      </c>
      <c r="BO10" s="114">
        <v>0</v>
      </c>
      <c r="BP10" s="113">
        <v>0</v>
      </c>
      <c r="BQ10" s="114">
        <v>0</v>
      </c>
      <c r="BR10" s="113">
        <f t="shared" si="6"/>
        <v>0</v>
      </c>
      <c r="BS10" s="24">
        <f t="shared" si="7"/>
        <v>0</v>
      </c>
      <c r="BT10" s="116"/>
    </row>
    <row r="11" spans="2:72" s="117" customFormat="1" ht="22.15" hidden="1" customHeight="1" outlineLevel="1" x14ac:dyDescent="0.25">
      <c r="B11" s="111" t="s">
        <v>191</v>
      </c>
      <c r="C11" s="111" t="str">
        <f>LEFT($B$4,8)&amp;LEFT(B11,7)</f>
        <v>147900706030100</v>
      </c>
      <c r="D11" s="112">
        <v>0</v>
      </c>
      <c r="E11" s="112">
        <v>0</v>
      </c>
      <c r="F11" s="113">
        <v>0</v>
      </c>
      <c r="G11" s="114">
        <v>0</v>
      </c>
      <c r="H11" s="113">
        <v>0</v>
      </c>
      <c r="I11" s="114">
        <v>0</v>
      </c>
      <c r="J11" s="113">
        <v>0</v>
      </c>
      <c r="K11" s="114">
        <v>0</v>
      </c>
      <c r="L11" s="113">
        <v>0</v>
      </c>
      <c r="M11" s="114">
        <v>0</v>
      </c>
      <c r="N11" s="113">
        <v>0</v>
      </c>
      <c r="O11" s="114">
        <v>0</v>
      </c>
      <c r="P11" s="113">
        <v>0</v>
      </c>
      <c r="Q11" s="114">
        <v>0</v>
      </c>
      <c r="R11" s="113">
        <f t="shared" si="1"/>
        <v>0</v>
      </c>
      <c r="S11" s="24">
        <f t="shared" si="0"/>
        <v>0</v>
      </c>
      <c r="T11" s="116"/>
      <c r="U11" s="98"/>
      <c r="V11" s="112">
        <v>0</v>
      </c>
      <c r="W11" s="112">
        <v>0</v>
      </c>
      <c r="X11" s="112">
        <v>0</v>
      </c>
      <c r="Y11" s="112">
        <v>0</v>
      </c>
      <c r="Z11" s="112">
        <v>0</v>
      </c>
      <c r="AA11" s="112">
        <v>0</v>
      </c>
      <c r="AB11" s="113">
        <v>0</v>
      </c>
      <c r="AC11" s="114">
        <v>0</v>
      </c>
      <c r="AD11" s="113">
        <v>0</v>
      </c>
      <c r="AE11" s="114">
        <v>0</v>
      </c>
      <c r="AF11" s="113">
        <v>0</v>
      </c>
      <c r="AG11" s="114">
        <v>0</v>
      </c>
      <c r="AH11" s="113">
        <f t="shared" si="2"/>
        <v>0</v>
      </c>
      <c r="AI11" s="24">
        <f t="shared" si="3"/>
        <v>0</v>
      </c>
      <c r="AJ11" s="116"/>
      <c r="AK11" s="98"/>
      <c r="AL11" s="164">
        <v>0</v>
      </c>
      <c r="AM11" s="164">
        <v>0</v>
      </c>
      <c r="AN11" s="164">
        <v>0</v>
      </c>
      <c r="AO11" s="164">
        <v>0</v>
      </c>
      <c r="AP11" s="164">
        <v>0</v>
      </c>
      <c r="AQ11" s="164">
        <v>0</v>
      </c>
      <c r="AR11" s="164">
        <v>0</v>
      </c>
      <c r="AS11" s="164">
        <v>0</v>
      </c>
      <c r="AT11" s="164">
        <v>0</v>
      </c>
      <c r="AU11" s="114">
        <v>0</v>
      </c>
      <c r="AV11" s="113">
        <v>0</v>
      </c>
      <c r="AW11" s="113">
        <v>0</v>
      </c>
      <c r="AX11" s="113">
        <f t="shared" si="4"/>
        <v>0</v>
      </c>
      <c r="AY11" s="24">
        <f t="shared" si="5"/>
        <v>0</v>
      </c>
      <c r="AZ11" s="116"/>
      <c r="BA11" s="98"/>
      <c r="BB11" s="126">
        <v>0</v>
      </c>
      <c r="BC11" s="123">
        <v>0</v>
      </c>
      <c r="BD11" s="115" cm="1">
        <f t="array" ref="BD11">_xlfn.IFS($B$3="LE1 2024",R11-BB11-BC11,$B$3="LE2 2024",AH11-BB11-BC11,$B$3="LE3 2024",AX11-BB11-BC11)</f>
        <v>0</v>
      </c>
      <c r="BE11" s="98"/>
      <c r="BF11" s="113">
        <v>0</v>
      </c>
      <c r="BG11" s="114">
        <v>0</v>
      </c>
      <c r="BH11" s="113">
        <v>0</v>
      </c>
      <c r="BI11" s="114">
        <v>0</v>
      </c>
      <c r="BJ11" s="113">
        <v>0</v>
      </c>
      <c r="BK11" s="114">
        <v>0</v>
      </c>
      <c r="BL11" s="113">
        <v>0</v>
      </c>
      <c r="BM11" s="114">
        <v>0</v>
      </c>
      <c r="BN11" s="113">
        <v>0</v>
      </c>
      <c r="BO11" s="114">
        <v>0</v>
      </c>
      <c r="BP11" s="113">
        <v>0</v>
      </c>
      <c r="BQ11" s="114">
        <v>0</v>
      </c>
      <c r="BR11" s="113">
        <f t="shared" si="6"/>
        <v>0</v>
      </c>
      <c r="BS11" s="24">
        <f t="shared" si="7"/>
        <v>0</v>
      </c>
      <c r="BT11" s="116"/>
    </row>
    <row r="12" spans="2:72" s="121" customFormat="1" ht="22.15" customHeight="1" collapsed="1" x14ac:dyDescent="0.25">
      <c r="B12" s="118" t="s">
        <v>192</v>
      </c>
      <c r="C12" s="118"/>
      <c r="D12" s="119">
        <f>SUBTOTAL(9,D8:D11)</f>
        <v>0</v>
      </c>
      <c r="E12" s="119">
        <f>SUBTOTAL(9,E8:E11)</f>
        <v>0</v>
      </c>
      <c r="F12" s="119">
        <f t="shared" ref="F12:S12" si="8">SUBTOTAL(9,F8:F11)</f>
        <v>0</v>
      </c>
      <c r="G12" s="119">
        <f t="shared" si="8"/>
        <v>0</v>
      </c>
      <c r="H12" s="119">
        <f t="shared" si="8"/>
        <v>0</v>
      </c>
      <c r="I12" s="119">
        <f t="shared" si="8"/>
        <v>0</v>
      </c>
      <c r="J12" s="119">
        <f t="shared" si="8"/>
        <v>0</v>
      </c>
      <c r="K12" s="119">
        <f t="shared" si="8"/>
        <v>0</v>
      </c>
      <c r="L12" s="119">
        <f t="shared" si="8"/>
        <v>0</v>
      </c>
      <c r="M12" s="119">
        <f t="shared" si="8"/>
        <v>0</v>
      </c>
      <c r="N12" s="119">
        <f t="shared" si="8"/>
        <v>0</v>
      </c>
      <c r="O12" s="119">
        <f t="shared" si="8"/>
        <v>0</v>
      </c>
      <c r="P12" s="119">
        <f t="shared" si="8"/>
        <v>0</v>
      </c>
      <c r="Q12" s="119">
        <f t="shared" si="8"/>
        <v>0</v>
      </c>
      <c r="R12" s="119">
        <f t="shared" si="8"/>
        <v>0</v>
      </c>
      <c r="S12" s="119">
        <f t="shared" si="8"/>
        <v>0</v>
      </c>
      <c r="T12" s="120"/>
      <c r="U12" s="98"/>
      <c r="V12" s="148">
        <f t="shared" ref="V12:AI12" si="9">SUBTOTAL(9,V8:V11)</f>
        <v>0</v>
      </c>
      <c r="W12" s="148">
        <f t="shared" si="9"/>
        <v>0</v>
      </c>
      <c r="X12" s="148">
        <f t="shared" si="9"/>
        <v>0</v>
      </c>
      <c r="Y12" s="148">
        <f t="shared" si="9"/>
        <v>0</v>
      </c>
      <c r="Z12" s="148">
        <f t="shared" si="9"/>
        <v>0</v>
      </c>
      <c r="AA12" s="148">
        <f t="shared" si="9"/>
        <v>0</v>
      </c>
      <c r="AB12" s="119">
        <f t="shared" si="9"/>
        <v>0</v>
      </c>
      <c r="AC12" s="119">
        <f t="shared" si="9"/>
        <v>0</v>
      </c>
      <c r="AD12" s="119">
        <f t="shared" si="9"/>
        <v>0</v>
      </c>
      <c r="AE12" s="119">
        <f t="shared" si="9"/>
        <v>0</v>
      </c>
      <c r="AF12" s="119">
        <f t="shared" si="9"/>
        <v>0</v>
      </c>
      <c r="AG12" s="119">
        <f t="shared" si="9"/>
        <v>0</v>
      </c>
      <c r="AH12" s="119">
        <f t="shared" si="9"/>
        <v>0</v>
      </c>
      <c r="AI12" s="119">
        <f t="shared" si="9"/>
        <v>0</v>
      </c>
      <c r="AJ12" s="120"/>
      <c r="AK12" s="98"/>
      <c r="AL12" s="119">
        <f t="shared" ref="AL12:AY12" si="10">SUBTOTAL(9,AL8:AL11)</f>
        <v>0</v>
      </c>
      <c r="AM12" s="119">
        <f t="shared" si="10"/>
        <v>0</v>
      </c>
      <c r="AN12" s="119">
        <f t="shared" si="10"/>
        <v>0</v>
      </c>
      <c r="AO12" s="119">
        <f t="shared" si="10"/>
        <v>0</v>
      </c>
      <c r="AP12" s="119">
        <f t="shared" si="10"/>
        <v>0</v>
      </c>
      <c r="AQ12" s="119">
        <f t="shared" si="10"/>
        <v>0</v>
      </c>
      <c r="AR12" s="119">
        <f t="shared" si="10"/>
        <v>0</v>
      </c>
      <c r="AS12" s="119">
        <f t="shared" si="10"/>
        <v>0</v>
      </c>
      <c r="AT12" s="119">
        <f t="shared" si="10"/>
        <v>0</v>
      </c>
      <c r="AU12" s="119">
        <f t="shared" si="10"/>
        <v>0</v>
      </c>
      <c r="AV12" s="119">
        <f t="shared" si="10"/>
        <v>0</v>
      </c>
      <c r="AW12" s="119">
        <f t="shared" si="10"/>
        <v>0</v>
      </c>
      <c r="AX12" s="119">
        <f t="shared" si="10"/>
        <v>0</v>
      </c>
      <c r="AY12" s="119">
        <f t="shared" si="10"/>
        <v>0</v>
      </c>
      <c r="AZ12" s="120"/>
      <c r="BA12" s="98"/>
      <c r="BB12" s="119">
        <f t="shared" ref="BB12:BD12" si="11">SUBTOTAL(9,BB8:BB11)</f>
        <v>0</v>
      </c>
      <c r="BC12" s="119">
        <f t="shared" si="11"/>
        <v>0</v>
      </c>
      <c r="BD12" s="119">
        <f t="shared" si="11"/>
        <v>0</v>
      </c>
      <c r="BE12" s="98"/>
      <c r="BF12" s="119">
        <f t="shared" ref="BF12:BS12" si="12">SUBTOTAL(9,BF8:BF11)</f>
        <v>0</v>
      </c>
      <c r="BG12" s="119">
        <f t="shared" si="12"/>
        <v>0</v>
      </c>
      <c r="BH12" s="119">
        <f t="shared" si="12"/>
        <v>0</v>
      </c>
      <c r="BI12" s="119">
        <f t="shared" si="12"/>
        <v>0</v>
      </c>
      <c r="BJ12" s="119">
        <f t="shared" si="12"/>
        <v>0</v>
      </c>
      <c r="BK12" s="119">
        <f t="shared" si="12"/>
        <v>0</v>
      </c>
      <c r="BL12" s="119">
        <f t="shared" si="12"/>
        <v>0</v>
      </c>
      <c r="BM12" s="119">
        <f t="shared" si="12"/>
        <v>0</v>
      </c>
      <c r="BN12" s="119">
        <f t="shared" si="12"/>
        <v>0</v>
      </c>
      <c r="BO12" s="119">
        <f t="shared" si="12"/>
        <v>0</v>
      </c>
      <c r="BP12" s="119">
        <f t="shared" si="12"/>
        <v>0</v>
      </c>
      <c r="BQ12" s="119">
        <f t="shared" si="12"/>
        <v>0</v>
      </c>
      <c r="BR12" s="119">
        <f t="shared" si="12"/>
        <v>0</v>
      </c>
      <c r="BS12" s="119">
        <f t="shared" si="12"/>
        <v>0</v>
      </c>
      <c r="BT12" s="120"/>
    </row>
    <row r="13" spans="2:72" s="122" customFormat="1" x14ac:dyDescent="0.25"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</row>
    <row r="14" spans="2:72" s="110" customFormat="1" ht="75" x14ac:dyDescent="0.25">
      <c r="B14" s="150" t="s">
        <v>67</v>
      </c>
      <c r="C14" s="154" t="s">
        <v>69</v>
      </c>
      <c r="D14" s="152" t="s">
        <v>367</v>
      </c>
      <c r="E14" s="105" t="s">
        <v>186</v>
      </c>
      <c r="F14" s="106" t="s">
        <v>64</v>
      </c>
      <c r="G14" s="106" t="s">
        <v>63</v>
      </c>
      <c r="H14" s="106" t="s">
        <v>62</v>
      </c>
      <c r="I14" s="106" t="s">
        <v>61</v>
      </c>
      <c r="J14" s="106" t="s">
        <v>60</v>
      </c>
      <c r="K14" s="106" t="s">
        <v>59</v>
      </c>
      <c r="L14" s="106" t="s">
        <v>58</v>
      </c>
      <c r="M14" s="106" t="s">
        <v>57</v>
      </c>
      <c r="N14" s="106" t="s">
        <v>56</v>
      </c>
      <c r="O14" s="106" t="s">
        <v>55</v>
      </c>
      <c r="P14" s="106" t="s">
        <v>54</v>
      </c>
      <c r="Q14" s="106" t="s">
        <v>53</v>
      </c>
      <c r="R14" s="108" t="s">
        <v>364</v>
      </c>
      <c r="S14" s="109" t="s">
        <v>368</v>
      </c>
      <c r="T14" s="106" t="s">
        <v>51</v>
      </c>
      <c r="U14" s="98"/>
      <c r="V14" s="140" t="s">
        <v>64</v>
      </c>
      <c r="W14" s="140" t="s">
        <v>63</v>
      </c>
      <c r="X14" s="140" t="s">
        <v>62</v>
      </c>
      <c r="Y14" s="140" t="s">
        <v>61</v>
      </c>
      <c r="Z14" s="140" t="s">
        <v>60</v>
      </c>
      <c r="AA14" s="140" t="s">
        <v>59</v>
      </c>
      <c r="AB14" s="106" t="s">
        <v>58</v>
      </c>
      <c r="AC14" s="106" t="s">
        <v>57</v>
      </c>
      <c r="AD14" s="106" t="s">
        <v>56</v>
      </c>
      <c r="AE14" s="106" t="s">
        <v>55</v>
      </c>
      <c r="AF14" s="106" t="s">
        <v>54</v>
      </c>
      <c r="AG14" s="106" t="s">
        <v>53</v>
      </c>
      <c r="AH14" s="108" t="s">
        <v>365</v>
      </c>
      <c r="AI14" s="109" t="s">
        <v>369</v>
      </c>
      <c r="AJ14" s="106" t="s">
        <v>51</v>
      </c>
      <c r="AK14" s="98"/>
      <c r="AL14" s="97" t="s">
        <v>64</v>
      </c>
      <c r="AM14" s="97" t="s">
        <v>63</v>
      </c>
      <c r="AN14" s="97" t="s">
        <v>62</v>
      </c>
      <c r="AO14" s="97" t="s">
        <v>61</v>
      </c>
      <c r="AP14" s="97" t="s">
        <v>60</v>
      </c>
      <c r="AQ14" s="97" t="s">
        <v>59</v>
      </c>
      <c r="AR14" s="97" t="s">
        <v>58</v>
      </c>
      <c r="AS14" s="97" t="s">
        <v>57</v>
      </c>
      <c r="AT14" s="97" t="s">
        <v>56</v>
      </c>
      <c r="AU14" s="106" t="s">
        <v>55</v>
      </c>
      <c r="AV14" s="106" t="s">
        <v>54</v>
      </c>
      <c r="AW14" s="106" t="s">
        <v>53</v>
      </c>
      <c r="AX14" s="108" t="s">
        <v>366</v>
      </c>
      <c r="AY14" s="109" t="s">
        <v>370</v>
      </c>
      <c r="AZ14" s="106" t="s">
        <v>51</v>
      </c>
      <c r="BA14" s="98"/>
      <c r="BB14" s="132" t="s">
        <v>371</v>
      </c>
      <c r="BC14" s="127" t="s">
        <v>355</v>
      </c>
      <c r="BD14" s="128" t="s">
        <v>356</v>
      </c>
      <c r="BE14" s="98"/>
      <c r="BF14" s="106" t="s">
        <v>64</v>
      </c>
      <c r="BG14" s="106" t="s">
        <v>63</v>
      </c>
      <c r="BH14" s="106" t="s">
        <v>62</v>
      </c>
      <c r="BI14" s="106" t="s">
        <v>61</v>
      </c>
      <c r="BJ14" s="106" t="s">
        <v>60</v>
      </c>
      <c r="BK14" s="106" t="s">
        <v>59</v>
      </c>
      <c r="BL14" s="106" t="s">
        <v>58</v>
      </c>
      <c r="BM14" s="106" t="s">
        <v>57</v>
      </c>
      <c r="BN14" s="106" t="s">
        <v>56</v>
      </c>
      <c r="BO14" s="106" t="s">
        <v>55</v>
      </c>
      <c r="BP14" s="106" t="s">
        <v>54</v>
      </c>
      <c r="BQ14" s="106" t="s">
        <v>53</v>
      </c>
      <c r="BR14" s="108" t="s">
        <v>389</v>
      </c>
      <c r="BS14" s="109" t="s">
        <v>390</v>
      </c>
      <c r="BT14" s="106" t="s">
        <v>51</v>
      </c>
    </row>
    <row r="15" spans="2:72" s="6" customFormat="1" ht="22.15" hidden="1" customHeight="1" outlineLevel="1" x14ac:dyDescent="0.25">
      <c r="B15" s="9" t="s">
        <v>50</v>
      </c>
      <c r="C15" s="52" t="str">
        <f t="shared" ref="C15:C46" si="13">LEFT($B$4,8)&amp;LEFT(B15,7)</f>
        <v>147900705028010</v>
      </c>
      <c r="D15" s="112">
        <v>0</v>
      </c>
      <c r="E15" s="112">
        <v>0</v>
      </c>
      <c r="F15" s="113">
        <v>0</v>
      </c>
      <c r="G15" s="114">
        <v>0</v>
      </c>
      <c r="H15" s="113">
        <v>-25909.53</v>
      </c>
      <c r="I15" s="114">
        <v>-165.75</v>
      </c>
      <c r="J15" s="113">
        <v>0</v>
      </c>
      <c r="K15" s="114">
        <v>0</v>
      </c>
      <c r="L15" s="113">
        <v>0</v>
      </c>
      <c r="M15" s="114">
        <v>0</v>
      </c>
      <c r="N15" s="113">
        <v>0</v>
      </c>
      <c r="O15" s="114">
        <v>0</v>
      </c>
      <c r="P15" s="113">
        <v>0</v>
      </c>
      <c r="Q15" s="114">
        <v>0</v>
      </c>
      <c r="R15" s="8">
        <f t="shared" ref="R15:R21" si="14">SUM(F15:Q15)</f>
        <v>-26075.279999999999</v>
      </c>
      <c r="S15" s="24">
        <f t="shared" ref="S15:S21" si="15">R15-E15</f>
        <v>-26075.279999999999</v>
      </c>
      <c r="T15" s="7"/>
      <c r="U15" s="5"/>
      <c r="V15" s="112">
        <v>0</v>
      </c>
      <c r="W15" s="112">
        <v>0</v>
      </c>
      <c r="X15" s="112">
        <v>-25909.53</v>
      </c>
      <c r="Y15" s="112">
        <v>0</v>
      </c>
      <c r="Z15" s="112">
        <v>0</v>
      </c>
      <c r="AA15" s="112">
        <v>0</v>
      </c>
      <c r="AB15" s="113">
        <v>0</v>
      </c>
      <c r="AC15" s="114">
        <v>0</v>
      </c>
      <c r="AD15" s="113">
        <v>0</v>
      </c>
      <c r="AE15" s="114">
        <v>0</v>
      </c>
      <c r="AF15" s="113">
        <v>0</v>
      </c>
      <c r="AG15" s="114">
        <v>0</v>
      </c>
      <c r="AH15" s="8">
        <f t="shared" ref="AH15:AH65" si="16">SUM(V15:AG15)</f>
        <v>-25909.53</v>
      </c>
      <c r="AI15" s="24">
        <f t="shared" ref="AI15:AI65" si="17">AH15-R15</f>
        <v>165.75</v>
      </c>
      <c r="AJ15" s="7"/>
      <c r="AK15" s="98"/>
      <c r="AL15" s="164">
        <v>0</v>
      </c>
      <c r="AM15" s="164">
        <v>0</v>
      </c>
      <c r="AN15" s="164">
        <v>-25909.53</v>
      </c>
      <c r="AO15" s="164">
        <v>0</v>
      </c>
      <c r="AP15" s="164">
        <v>0</v>
      </c>
      <c r="AQ15" s="164">
        <v>0</v>
      </c>
      <c r="AR15" s="164">
        <v>0</v>
      </c>
      <c r="AS15" s="164">
        <v>0</v>
      </c>
      <c r="AT15" s="164">
        <v>0</v>
      </c>
      <c r="AU15" s="114">
        <v>-123903.42</v>
      </c>
      <c r="AV15" s="113">
        <v>0</v>
      </c>
      <c r="AW15" s="113">
        <v>0</v>
      </c>
      <c r="AX15" s="8">
        <f t="shared" ref="AX15:AX65" si="18">SUM(AL15:AW15)</f>
        <v>-149812.95000000001</v>
      </c>
      <c r="AY15" s="24">
        <f t="shared" ref="AY15:AY65" si="19">AX15-AH15</f>
        <v>-123903.42000000001</v>
      </c>
      <c r="AZ15" s="7"/>
      <c r="BA15" s="98"/>
      <c r="BB15" s="126">
        <v>-116199.75</v>
      </c>
      <c r="BC15" s="133">
        <v>0</v>
      </c>
      <c r="BD15" s="115" cm="1">
        <f t="array" ref="BD15">_xlfn.IFS($B$3="LE1 2024",R15-BB15-BC15,$B$3="LE2 2024",AH15-BB15-BC15,$B$3="LE3 2024",AX15-BB15-BC15)</f>
        <v>-33613.200000000012</v>
      </c>
      <c r="BE15" s="98"/>
      <c r="BF15" s="113">
        <v>0</v>
      </c>
      <c r="BG15" s="114">
        <v>0</v>
      </c>
      <c r="BH15" s="113">
        <v>0</v>
      </c>
      <c r="BI15" s="114">
        <v>0</v>
      </c>
      <c r="BJ15" s="113">
        <v>0</v>
      </c>
      <c r="BK15" s="114">
        <v>0</v>
      </c>
      <c r="BL15" s="113">
        <v>0</v>
      </c>
      <c r="BM15" s="114">
        <v>0</v>
      </c>
      <c r="BN15" s="113">
        <v>0</v>
      </c>
      <c r="BO15" s="114">
        <v>0</v>
      </c>
      <c r="BP15" s="113">
        <v>0</v>
      </c>
      <c r="BQ15" s="114">
        <v>0</v>
      </c>
      <c r="BR15" s="8">
        <f t="shared" ref="BR15:BR65" si="20">SUM(BF15:BQ15)</f>
        <v>0</v>
      </c>
      <c r="BS15" s="24">
        <f t="shared" ref="BS15:BS65" si="21">BR15-AH15</f>
        <v>25909.53</v>
      </c>
      <c r="BT15" s="7"/>
    </row>
    <row r="16" spans="2:72" s="6" customFormat="1" ht="22.15" hidden="1" customHeight="1" outlineLevel="1" x14ac:dyDescent="0.25">
      <c r="B16" s="9" t="s">
        <v>49</v>
      </c>
      <c r="C16" s="9" t="str">
        <f t="shared" si="13"/>
        <v>147900705032010</v>
      </c>
      <c r="D16" s="112">
        <v>0</v>
      </c>
      <c r="E16" s="112">
        <v>0</v>
      </c>
      <c r="F16" s="113">
        <v>0</v>
      </c>
      <c r="G16" s="114">
        <v>0</v>
      </c>
      <c r="H16" s="113">
        <v>0</v>
      </c>
      <c r="I16" s="114">
        <v>0</v>
      </c>
      <c r="J16" s="113">
        <v>0</v>
      </c>
      <c r="K16" s="114">
        <v>0</v>
      </c>
      <c r="L16" s="113">
        <v>0</v>
      </c>
      <c r="M16" s="114">
        <v>0</v>
      </c>
      <c r="N16" s="113">
        <v>0</v>
      </c>
      <c r="O16" s="114">
        <v>4012</v>
      </c>
      <c r="P16" s="113">
        <v>0</v>
      </c>
      <c r="Q16" s="114">
        <v>0</v>
      </c>
      <c r="R16" s="8">
        <f t="shared" si="14"/>
        <v>4012</v>
      </c>
      <c r="S16" s="24">
        <f t="shared" si="15"/>
        <v>4012</v>
      </c>
      <c r="T16" s="7"/>
      <c r="U16" s="5"/>
      <c r="V16" s="112">
        <v>0</v>
      </c>
      <c r="W16" s="112">
        <v>0</v>
      </c>
      <c r="X16" s="112">
        <v>0</v>
      </c>
      <c r="Y16" s="112">
        <v>0</v>
      </c>
      <c r="Z16" s="112">
        <v>0</v>
      </c>
      <c r="AA16" s="112">
        <v>0</v>
      </c>
      <c r="AB16" s="113">
        <v>0</v>
      </c>
      <c r="AC16" s="114">
        <v>0</v>
      </c>
      <c r="AD16" s="113">
        <v>0</v>
      </c>
      <c r="AE16" s="114">
        <v>4012</v>
      </c>
      <c r="AF16" s="113">
        <v>0</v>
      </c>
      <c r="AG16" s="114">
        <v>0</v>
      </c>
      <c r="AH16" s="8">
        <f t="shared" si="16"/>
        <v>4012</v>
      </c>
      <c r="AI16" s="24">
        <f t="shared" si="17"/>
        <v>0</v>
      </c>
      <c r="AJ16" s="7"/>
      <c r="AK16" s="98"/>
      <c r="AL16" s="164">
        <v>0</v>
      </c>
      <c r="AM16" s="164">
        <v>0</v>
      </c>
      <c r="AN16" s="164">
        <v>0</v>
      </c>
      <c r="AO16" s="164">
        <v>0</v>
      </c>
      <c r="AP16" s="164">
        <v>0</v>
      </c>
      <c r="AQ16" s="164">
        <v>0</v>
      </c>
      <c r="AR16" s="164">
        <v>0</v>
      </c>
      <c r="AS16" s="164">
        <v>0</v>
      </c>
      <c r="AT16" s="164">
        <v>0</v>
      </c>
      <c r="AU16" s="114">
        <v>4012</v>
      </c>
      <c r="AV16" s="113">
        <v>0</v>
      </c>
      <c r="AW16" s="113">
        <v>0</v>
      </c>
      <c r="AX16" s="8">
        <f t="shared" si="18"/>
        <v>4012</v>
      </c>
      <c r="AY16" s="24">
        <f t="shared" si="19"/>
        <v>0</v>
      </c>
      <c r="AZ16" s="7"/>
      <c r="BA16" s="98"/>
      <c r="BB16" s="126">
        <v>4012</v>
      </c>
      <c r="BC16" s="123">
        <v>0</v>
      </c>
      <c r="BD16" s="115" cm="1">
        <f t="array" ref="BD16">_xlfn.IFS($B$3="LE1 2024",R16-BB16-BC16,$B$3="LE2 2024",AH16-BB16-BC16,$B$3="LE3 2024",AX16-BB16-BC16)</f>
        <v>0</v>
      </c>
      <c r="BE16" s="98"/>
      <c r="BF16" s="113">
        <v>312.5</v>
      </c>
      <c r="BG16" s="114">
        <v>312.5</v>
      </c>
      <c r="BH16" s="113">
        <v>312.5</v>
      </c>
      <c r="BI16" s="114">
        <v>312.5</v>
      </c>
      <c r="BJ16" s="113">
        <v>312.5</v>
      </c>
      <c r="BK16" s="114">
        <v>312.5</v>
      </c>
      <c r="BL16" s="113">
        <v>312.5</v>
      </c>
      <c r="BM16" s="114">
        <v>312.5</v>
      </c>
      <c r="BN16" s="113">
        <v>312.5</v>
      </c>
      <c r="BO16" s="114">
        <v>312.5</v>
      </c>
      <c r="BP16" s="113">
        <v>312.5</v>
      </c>
      <c r="BQ16" s="114">
        <v>312.5</v>
      </c>
      <c r="BR16" s="8">
        <f t="shared" si="20"/>
        <v>3750</v>
      </c>
      <c r="BS16" s="24">
        <f t="shared" si="21"/>
        <v>-262</v>
      </c>
      <c r="BT16" s="7"/>
    </row>
    <row r="17" spans="2:72" s="6" customFormat="1" ht="22.15" hidden="1" customHeight="1" outlineLevel="1" x14ac:dyDescent="0.25">
      <c r="B17" s="9" t="s">
        <v>48</v>
      </c>
      <c r="C17" s="9" t="str">
        <f t="shared" si="13"/>
        <v>147900705056000</v>
      </c>
      <c r="D17" s="112">
        <v>0</v>
      </c>
      <c r="E17" s="112">
        <v>0</v>
      </c>
      <c r="F17" s="113">
        <v>0</v>
      </c>
      <c r="G17" s="114">
        <v>0</v>
      </c>
      <c r="H17" s="113">
        <v>0</v>
      </c>
      <c r="I17" s="114">
        <v>0</v>
      </c>
      <c r="J17" s="113">
        <v>0</v>
      </c>
      <c r="K17" s="114">
        <v>0</v>
      </c>
      <c r="L17" s="113">
        <v>0</v>
      </c>
      <c r="M17" s="114">
        <v>0</v>
      </c>
      <c r="N17" s="113">
        <v>0</v>
      </c>
      <c r="O17" s="114">
        <v>0</v>
      </c>
      <c r="P17" s="113">
        <v>0</v>
      </c>
      <c r="Q17" s="114">
        <v>0</v>
      </c>
      <c r="R17" s="8">
        <f t="shared" si="14"/>
        <v>0</v>
      </c>
      <c r="S17" s="24">
        <f t="shared" si="15"/>
        <v>0</v>
      </c>
      <c r="T17" s="7"/>
      <c r="U17" s="5"/>
      <c r="V17" s="112">
        <v>0</v>
      </c>
      <c r="W17" s="112">
        <v>0</v>
      </c>
      <c r="X17" s="112">
        <v>0</v>
      </c>
      <c r="Y17" s="112">
        <v>0</v>
      </c>
      <c r="Z17" s="112">
        <v>0</v>
      </c>
      <c r="AA17" s="112">
        <v>0</v>
      </c>
      <c r="AB17" s="113">
        <v>0</v>
      </c>
      <c r="AC17" s="114">
        <v>0</v>
      </c>
      <c r="AD17" s="113">
        <v>0</v>
      </c>
      <c r="AE17" s="114">
        <v>0</v>
      </c>
      <c r="AF17" s="113">
        <v>0</v>
      </c>
      <c r="AG17" s="114">
        <v>0</v>
      </c>
      <c r="AH17" s="8">
        <f t="shared" si="16"/>
        <v>0</v>
      </c>
      <c r="AI17" s="24">
        <f t="shared" si="17"/>
        <v>0</v>
      </c>
      <c r="AJ17" s="7"/>
      <c r="AK17" s="98"/>
      <c r="AL17" s="164">
        <v>0</v>
      </c>
      <c r="AM17" s="164">
        <v>0</v>
      </c>
      <c r="AN17" s="164">
        <v>0</v>
      </c>
      <c r="AO17" s="164">
        <v>0</v>
      </c>
      <c r="AP17" s="164">
        <v>0</v>
      </c>
      <c r="AQ17" s="164">
        <v>0</v>
      </c>
      <c r="AR17" s="164">
        <v>0</v>
      </c>
      <c r="AS17" s="164">
        <v>0</v>
      </c>
      <c r="AT17" s="164">
        <v>0</v>
      </c>
      <c r="AU17" s="114">
        <v>0</v>
      </c>
      <c r="AV17" s="113">
        <v>0</v>
      </c>
      <c r="AW17" s="113">
        <v>0</v>
      </c>
      <c r="AX17" s="8">
        <f t="shared" si="18"/>
        <v>0</v>
      </c>
      <c r="AY17" s="24">
        <f t="shared" si="19"/>
        <v>0</v>
      </c>
      <c r="AZ17" s="7"/>
      <c r="BA17" s="98"/>
      <c r="BB17" s="126">
        <v>0</v>
      </c>
      <c r="BC17" s="123">
        <v>0</v>
      </c>
      <c r="BD17" s="115" cm="1">
        <f t="array" ref="BD17">_xlfn.IFS($B$3="LE1 2024",R17-BB17-BC17,$B$3="LE2 2024",AH17-BB17-BC17,$B$3="LE3 2024",AX17-BB17-BC17)</f>
        <v>0</v>
      </c>
      <c r="BE17" s="98"/>
      <c r="BF17" s="113">
        <v>0</v>
      </c>
      <c r="BG17" s="114">
        <v>0</v>
      </c>
      <c r="BH17" s="113">
        <v>0</v>
      </c>
      <c r="BI17" s="114">
        <v>0</v>
      </c>
      <c r="BJ17" s="113">
        <v>0</v>
      </c>
      <c r="BK17" s="114">
        <v>0</v>
      </c>
      <c r="BL17" s="113">
        <v>0</v>
      </c>
      <c r="BM17" s="114">
        <v>0</v>
      </c>
      <c r="BN17" s="113">
        <v>0</v>
      </c>
      <c r="BO17" s="114">
        <v>0</v>
      </c>
      <c r="BP17" s="113">
        <v>0</v>
      </c>
      <c r="BQ17" s="114">
        <v>0</v>
      </c>
      <c r="BR17" s="8">
        <f t="shared" si="20"/>
        <v>0</v>
      </c>
      <c r="BS17" s="24">
        <f t="shared" si="21"/>
        <v>0</v>
      </c>
      <c r="BT17" s="7"/>
    </row>
    <row r="18" spans="2:72" s="6" customFormat="1" ht="22.15" hidden="1" customHeight="1" outlineLevel="1" x14ac:dyDescent="0.25">
      <c r="B18" s="9" t="s">
        <v>47</v>
      </c>
      <c r="C18" s="9" t="str">
        <f t="shared" si="13"/>
        <v>147900705056100</v>
      </c>
      <c r="D18" s="112">
        <v>6531.2599999999993</v>
      </c>
      <c r="E18" s="112">
        <v>6750</v>
      </c>
      <c r="F18" s="113">
        <v>133.62</v>
      </c>
      <c r="G18" s="114">
        <v>-66.81</v>
      </c>
      <c r="H18" s="113">
        <v>55.8</v>
      </c>
      <c r="I18" s="114">
        <v>786.38</v>
      </c>
      <c r="J18" s="113">
        <v>786.38</v>
      </c>
      <c r="K18" s="114">
        <v>786.38</v>
      </c>
      <c r="L18" s="113">
        <v>786.38</v>
      </c>
      <c r="M18" s="114">
        <v>786.38</v>
      </c>
      <c r="N18" s="113">
        <v>786.38</v>
      </c>
      <c r="O18" s="114">
        <v>786.38</v>
      </c>
      <c r="P18" s="113">
        <v>786.38</v>
      </c>
      <c r="Q18" s="114">
        <v>786.35</v>
      </c>
      <c r="R18" s="8">
        <f t="shared" si="14"/>
        <v>7200.0000000000009</v>
      </c>
      <c r="S18" s="24">
        <f t="shared" si="15"/>
        <v>450.00000000000091</v>
      </c>
      <c r="T18" s="7"/>
      <c r="U18" s="5"/>
      <c r="V18" s="112">
        <v>133.62</v>
      </c>
      <c r="W18" s="112">
        <v>-66.81</v>
      </c>
      <c r="X18" s="112">
        <v>55.8</v>
      </c>
      <c r="Y18" s="112">
        <v>15.32</v>
      </c>
      <c r="Z18" s="112">
        <v>0</v>
      </c>
      <c r="AA18" s="112">
        <v>65.400000000000006</v>
      </c>
      <c r="AB18" s="113">
        <v>1166.1099999999999</v>
      </c>
      <c r="AC18" s="114">
        <v>1166.1099999999999</v>
      </c>
      <c r="AD18" s="113">
        <v>1166.1099999999999</v>
      </c>
      <c r="AE18" s="114">
        <v>1166.1099999999999</v>
      </c>
      <c r="AF18" s="113">
        <v>1166.1099999999999</v>
      </c>
      <c r="AG18" s="114">
        <v>1166.1200000000008</v>
      </c>
      <c r="AH18" s="8">
        <f t="shared" si="16"/>
        <v>7200</v>
      </c>
      <c r="AI18" s="24">
        <f t="shared" si="17"/>
        <v>0</v>
      </c>
      <c r="AJ18" s="7"/>
      <c r="AK18" s="98"/>
      <c r="AL18" s="164">
        <v>133.62</v>
      </c>
      <c r="AM18" s="164">
        <v>-66.81</v>
      </c>
      <c r="AN18" s="164">
        <v>55.8</v>
      </c>
      <c r="AO18" s="164">
        <v>15.32</v>
      </c>
      <c r="AP18" s="164">
        <v>0</v>
      </c>
      <c r="AQ18" s="164">
        <v>65.400000000000006</v>
      </c>
      <c r="AR18" s="164">
        <v>44.75</v>
      </c>
      <c r="AS18" s="164">
        <v>17.7</v>
      </c>
      <c r="AT18" s="164">
        <v>0</v>
      </c>
      <c r="AU18" s="114">
        <v>1428.74</v>
      </c>
      <c r="AV18" s="113">
        <v>1428.74</v>
      </c>
      <c r="AW18" s="113">
        <v>1428.7399999999998</v>
      </c>
      <c r="AX18" s="8">
        <f t="shared" si="18"/>
        <v>4552</v>
      </c>
      <c r="AY18" s="24">
        <f t="shared" si="19"/>
        <v>-2648</v>
      </c>
      <c r="AZ18" s="7"/>
      <c r="BA18" s="98"/>
      <c r="BB18" s="126">
        <v>3901.93</v>
      </c>
      <c r="BC18" s="123">
        <v>0</v>
      </c>
      <c r="BD18" s="115" cm="1">
        <f t="array" ref="BD18">_xlfn.IFS($B$3="LE1 2024",R18-BB18-BC18,$B$3="LE2 2024",AH18-BB18-BC18,$B$3="LE3 2024",AX18-BB18-BC18)</f>
        <v>650.07000000000016</v>
      </c>
      <c r="BE18" s="98"/>
      <c r="BF18" s="113">
        <v>525</v>
      </c>
      <c r="BG18" s="114">
        <v>525</v>
      </c>
      <c r="BH18" s="113">
        <v>525</v>
      </c>
      <c r="BI18" s="114">
        <v>525</v>
      </c>
      <c r="BJ18" s="113">
        <v>525</v>
      </c>
      <c r="BK18" s="114">
        <v>525</v>
      </c>
      <c r="BL18" s="113">
        <v>525</v>
      </c>
      <c r="BM18" s="114">
        <v>525</v>
      </c>
      <c r="BN18" s="113">
        <v>525</v>
      </c>
      <c r="BO18" s="114">
        <v>525</v>
      </c>
      <c r="BP18" s="113">
        <v>525</v>
      </c>
      <c r="BQ18" s="114">
        <v>525</v>
      </c>
      <c r="BR18" s="8">
        <f t="shared" si="20"/>
        <v>6300</v>
      </c>
      <c r="BS18" s="24">
        <f t="shared" si="21"/>
        <v>-900</v>
      </c>
      <c r="BT18" s="7"/>
    </row>
    <row r="19" spans="2:72" s="6" customFormat="1" ht="22.15" hidden="1" customHeight="1" outlineLevel="1" x14ac:dyDescent="0.25">
      <c r="B19" s="9" t="s">
        <v>46</v>
      </c>
      <c r="C19" s="9" t="str">
        <f t="shared" si="13"/>
        <v>147900705060000</v>
      </c>
      <c r="D19" s="112">
        <v>0</v>
      </c>
      <c r="E19" s="112">
        <v>0</v>
      </c>
      <c r="F19" s="113">
        <v>0</v>
      </c>
      <c r="G19" s="114">
        <v>0</v>
      </c>
      <c r="H19" s="113">
        <v>0</v>
      </c>
      <c r="I19" s="114">
        <v>0</v>
      </c>
      <c r="J19" s="113">
        <v>0</v>
      </c>
      <c r="K19" s="114">
        <v>0</v>
      </c>
      <c r="L19" s="113">
        <v>0</v>
      </c>
      <c r="M19" s="114">
        <v>0</v>
      </c>
      <c r="N19" s="113">
        <v>0</v>
      </c>
      <c r="O19" s="114">
        <v>0</v>
      </c>
      <c r="P19" s="113">
        <v>0</v>
      </c>
      <c r="Q19" s="114">
        <v>0</v>
      </c>
      <c r="R19" s="8">
        <f t="shared" si="14"/>
        <v>0</v>
      </c>
      <c r="S19" s="24">
        <f t="shared" si="15"/>
        <v>0</v>
      </c>
      <c r="T19" s="7"/>
      <c r="U19" s="5"/>
      <c r="V19" s="112">
        <v>0</v>
      </c>
      <c r="W19" s="112">
        <v>0</v>
      </c>
      <c r="X19" s="112">
        <v>0</v>
      </c>
      <c r="Y19" s="112">
        <v>0</v>
      </c>
      <c r="Z19" s="112">
        <v>0</v>
      </c>
      <c r="AA19" s="112">
        <v>0</v>
      </c>
      <c r="AB19" s="113">
        <v>0</v>
      </c>
      <c r="AC19" s="114">
        <v>0</v>
      </c>
      <c r="AD19" s="113">
        <v>0</v>
      </c>
      <c r="AE19" s="114">
        <v>0</v>
      </c>
      <c r="AF19" s="113">
        <v>0</v>
      </c>
      <c r="AG19" s="114">
        <v>0</v>
      </c>
      <c r="AH19" s="8">
        <f t="shared" si="16"/>
        <v>0</v>
      </c>
      <c r="AI19" s="24">
        <f t="shared" si="17"/>
        <v>0</v>
      </c>
      <c r="AJ19" s="7"/>
      <c r="AK19" s="98"/>
      <c r="AL19" s="164">
        <v>0</v>
      </c>
      <c r="AM19" s="164">
        <v>0</v>
      </c>
      <c r="AN19" s="164">
        <v>0</v>
      </c>
      <c r="AO19" s="164">
        <v>0</v>
      </c>
      <c r="AP19" s="164">
        <v>0</v>
      </c>
      <c r="AQ19" s="164">
        <v>0</v>
      </c>
      <c r="AR19" s="164">
        <v>0</v>
      </c>
      <c r="AS19" s="164">
        <v>0</v>
      </c>
      <c r="AT19" s="164">
        <v>0</v>
      </c>
      <c r="AU19" s="114">
        <v>0</v>
      </c>
      <c r="AV19" s="113">
        <v>0</v>
      </c>
      <c r="AW19" s="113">
        <v>0</v>
      </c>
      <c r="AX19" s="8">
        <f t="shared" si="18"/>
        <v>0</v>
      </c>
      <c r="AY19" s="24">
        <f t="shared" si="19"/>
        <v>0</v>
      </c>
      <c r="AZ19" s="7"/>
      <c r="BA19" s="98"/>
      <c r="BB19" s="126">
        <v>0</v>
      </c>
      <c r="BC19" s="123">
        <v>0</v>
      </c>
      <c r="BD19" s="115" cm="1">
        <f t="array" ref="BD19">_xlfn.IFS($B$3="LE1 2024",R19-BB19-BC19,$B$3="LE2 2024",AH19-BB19-BC19,$B$3="LE3 2024",AX19-BB19-BC19)</f>
        <v>0</v>
      </c>
      <c r="BE19" s="98"/>
      <c r="BF19" s="113">
        <v>0</v>
      </c>
      <c r="BG19" s="114">
        <v>0</v>
      </c>
      <c r="BH19" s="113">
        <v>0</v>
      </c>
      <c r="BI19" s="114">
        <v>0</v>
      </c>
      <c r="BJ19" s="113">
        <v>0</v>
      </c>
      <c r="BK19" s="114">
        <v>0</v>
      </c>
      <c r="BL19" s="113">
        <v>0</v>
      </c>
      <c r="BM19" s="114">
        <v>0</v>
      </c>
      <c r="BN19" s="113">
        <v>0</v>
      </c>
      <c r="BO19" s="114">
        <v>0</v>
      </c>
      <c r="BP19" s="113">
        <v>0</v>
      </c>
      <c r="BQ19" s="114">
        <v>0</v>
      </c>
      <c r="BR19" s="8">
        <f t="shared" si="20"/>
        <v>0</v>
      </c>
      <c r="BS19" s="24">
        <f t="shared" si="21"/>
        <v>0</v>
      </c>
      <c r="BT19" s="7"/>
    </row>
    <row r="20" spans="2:72" s="6" customFormat="1" ht="22.15" hidden="1" customHeight="1" outlineLevel="1" x14ac:dyDescent="0.25">
      <c r="B20" s="9" t="s">
        <v>45</v>
      </c>
      <c r="C20" s="9" t="str">
        <f t="shared" si="13"/>
        <v>147900706000000</v>
      </c>
      <c r="D20" s="112">
        <v>0</v>
      </c>
      <c r="E20" s="112">
        <v>0</v>
      </c>
      <c r="F20" s="113">
        <v>0</v>
      </c>
      <c r="G20" s="114">
        <v>0</v>
      </c>
      <c r="H20" s="113">
        <v>0</v>
      </c>
      <c r="I20" s="114">
        <v>0</v>
      </c>
      <c r="J20" s="113">
        <v>0</v>
      </c>
      <c r="K20" s="114">
        <v>0</v>
      </c>
      <c r="L20" s="113">
        <v>0</v>
      </c>
      <c r="M20" s="114">
        <v>0</v>
      </c>
      <c r="N20" s="113">
        <v>0</v>
      </c>
      <c r="O20" s="114">
        <v>0</v>
      </c>
      <c r="P20" s="113">
        <v>0</v>
      </c>
      <c r="Q20" s="114">
        <v>-242975.68</v>
      </c>
      <c r="R20" s="8">
        <f t="shared" si="14"/>
        <v>-242975.68</v>
      </c>
      <c r="S20" s="24">
        <f t="shared" si="15"/>
        <v>-242975.68</v>
      </c>
      <c r="T20" s="7"/>
      <c r="U20" s="5"/>
      <c r="V20" s="112">
        <v>0</v>
      </c>
      <c r="W20" s="112">
        <v>0</v>
      </c>
      <c r="X20" s="112">
        <v>0</v>
      </c>
      <c r="Y20" s="112">
        <v>0</v>
      </c>
      <c r="Z20" s="112">
        <v>0</v>
      </c>
      <c r="AA20" s="112">
        <v>0</v>
      </c>
      <c r="AB20" s="113">
        <v>0</v>
      </c>
      <c r="AC20" s="114">
        <v>0</v>
      </c>
      <c r="AD20" s="113">
        <v>0</v>
      </c>
      <c r="AE20" s="114">
        <v>0</v>
      </c>
      <c r="AF20" s="113">
        <v>0</v>
      </c>
      <c r="AG20" s="114">
        <v>0</v>
      </c>
      <c r="AH20" s="8">
        <f t="shared" si="16"/>
        <v>0</v>
      </c>
      <c r="AI20" s="24">
        <f t="shared" si="17"/>
        <v>242975.68</v>
      </c>
      <c r="AJ20" s="7"/>
      <c r="AK20" s="98"/>
      <c r="AL20" s="164">
        <v>0</v>
      </c>
      <c r="AM20" s="164">
        <v>0</v>
      </c>
      <c r="AN20" s="164">
        <v>0</v>
      </c>
      <c r="AO20" s="164">
        <v>0</v>
      </c>
      <c r="AP20" s="164">
        <v>0</v>
      </c>
      <c r="AQ20" s="164">
        <v>0</v>
      </c>
      <c r="AR20" s="164">
        <v>0</v>
      </c>
      <c r="AS20" s="164">
        <v>0</v>
      </c>
      <c r="AT20" s="164">
        <v>0</v>
      </c>
      <c r="AU20" s="114">
        <v>0</v>
      </c>
      <c r="AV20" s="113">
        <v>0</v>
      </c>
      <c r="AW20" s="113">
        <v>0</v>
      </c>
      <c r="AX20" s="8">
        <f t="shared" si="18"/>
        <v>0</v>
      </c>
      <c r="AY20" s="24">
        <f t="shared" si="19"/>
        <v>0</v>
      </c>
      <c r="AZ20" s="7"/>
      <c r="BA20" s="98"/>
      <c r="BB20" s="126">
        <v>0</v>
      </c>
      <c r="BC20" s="123">
        <v>0</v>
      </c>
      <c r="BD20" s="115" cm="1">
        <f t="array" ref="BD20">_xlfn.IFS($B$3="LE1 2024",R20-BB20-BC20,$B$3="LE2 2024",AH20-BB20-BC20,$B$3="LE3 2024",AX20-BB20-BC20)</f>
        <v>0</v>
      </c>
      <c r="BE20" s="98"/>
      <c r="BF20" s="113">
        <v>0</v>
      </c>
      <c r="BG20" s="114">
        <v>0</v>
      </c>
      <c r="BH20" s="113">
        <v>0</v>
      </c>
      <c r="BI20" s="114">
        <v>0</v>
      </c>
      <c r="BJ20" s="113">
        <v>0</v>
      </c>
      <c r="BK20" s="114">
        <v>0</v>
      </c>
      <c r="BL20" s="113">
        <v>0</v>
      </c>
      <c r="BM20" s="114">
        <v>0</v>
      </c>
      <c r="BN20" s="113">
        <v>0</v>
      </c>
      <c r="BO20" s="114">
        <v>0</v>
      </c>
      <c r="BP20" s="113">
        <v>0</v>
      </c>
      <c r="BQ20" s="114">
        <v>0</v>
      </c>
      <c r="BR20" s="8">
        <f t="shared" si="20"/>
        <v>0</v>
      </c>
      <c r="BS20" s="24">
        <f t="shared" si="21"/>
        <v>0</v>
      </c>
      <c r="BT20" s="7"/>
    </row>
    <row r="21" spans="2:72" s="6" customFormat="1" ht="22.15" hidden="1" customHeight="1" outlineLevel="1" x14ac:dyDescent="0.25">
      <c r="B21" s="9" t="s">
        <v>44</v>
      </c>
      <c r="C21" s="9" t="str">
        <f t="shared" si="13"/>
        <v>147900706000100</v>
      </c>
      <c r="D21" s="112">
        <v>1175114.33</v>
      </c>
      <c r="E21" s="112">
        <v>1294944.8</v>
      </c>
      <c r="F21" s="113">
        <v>58627.65</v>
      </c>
      <c r="G21" s="114">
        <v>118873.22</v>
      </c>
      <c r="H21" s="113">
        <v>105293</v>
      </c>
      <c r="I21" s="114">
        <v>111371.72</v>
      </c>
      <c r="J21" s="113">
        <v>111371.72</v>
      </c>
      <c r="K21" s="114">
        <v>111371.72</v>
      </c>
      <c r="L21" s="113">
        <v>111371.72</v>
      </c>
      <c r="M21" s="114">
        <v>110414.84</v>
      </c>
      <c r="N21" s="113">
        <v>110414.84</v>
      </c>
      <c r="O21" s="114">
        <v>113305.08</v>
      </c>
      <c r="P21" s="113">
        <v>111305.08</v>
      </c>
      <c r="Q21" s="114">
        <v>119855.45</v>
      </c>
      <c r="R21" s="8">
        <f t="shared" si="14"/>
        <v>1293576.0399999998</v>
      </c>
      <c r="S21" s="24">
        <f t="shared" si="15"/>
        <v>-1368.7600000002421</v>
      </c>
      <c r="T21" s="7"/>
      <c r="U21" s="5"/>
      <c r="V21" s="112">
        <v>58627.65</v>
      </c>
      <c r="W21" s="112">
        <v>118873.22</v>
      </c>
      <c r="X21" s="112">
        <v>105293</v>
      </c>
      <c r="Y21" s="112">
        <v>110286.91</v>
      </c>
      <c r="Z21" s="112">
        <v>109489.27</v>
      </c>
      <c r="AA21" s="112">
        <v>101600</v>
      </c>
      <c r="AB21" s="113">
        <v>117921.16</v>
      </c>
      <c r="AC21" s="114">
        <v>107185.16</v>
      </c>
      <c r="AD21" s="113">
        <v>107185.16</v>
      </c>
      <c r="AE21" s="114">
        <v>109410.4</v>
      </c>
      <c r="AF21" s="113">
        <v>107410.4</v>
      </c>
      <c r="AG21" s="114">
        <v>122270.66999999993</v>
      </c>
      <c r="AH21" s="8">
        <f t="shared" si="16"/>
        <v>1275553</v>
      </c>
      <c r="AI21" s="24">
        <f t="shared" si="17"/>
        <v>-18023.039999999804</v>
      </c>
      <c r="AJ21" s="7"/>
      <c r="AK21" s="98"/>
      <c r="AL21" s="164">
        <v>58627.65</v>
      </c>
      <c r="AM21" s="164">
        <v>118873.22</v>
      </c>
      <c r="AN21" s="164">
        <v>105293</v>
      </c>
      <c r="AO21" s="164">
        <v>110286.91</v>
      </c>
      <c r="AP21" s="164">
        <v>109489.27</v>
      </c>
      <c r="AQ21" s="164">
        <v>101600</v>
      </c>
      <c r="AR21" s="164">
        <v>105852.17</v>
      </c>
      <c r="AS21" s="164">
        <v>105069.09</v>
      </c>
      <c r="AT21" s="164">
        <v>104960</v>
      </c>
      <c r="AU21" s="114">
        <v>110040</v>
      </c>
      <c r="AV21" s="113">
        <v>108958.69</v>
      </c>
      <c r="AW21" s="113">
        <v>110000</v>
      </c>
      <c r="AX21" s="8">
        <f t="shared" si="18"/>
        <v>1249050</v>
      </c>
      <c r="AY21" s="24">
        <f t="shared" si="19"/>
        <v>-26503</v>
      </c>
      <c r="AZ21" s="7"/>
      <c r="BA21" s="98"/>
      <c r="BB21" s="126">
        <v>1240839.52</v>
      </c>
      <c r="BC21" s="123">
        <v>0</v>
      </c>
      <c r="BD21" s="115" cm="1">
        <f t="array" ref="BD21">_xlfn.IFS($B$3="LE1 2024",R21-BB21-BC21,$B$3="LE2 2024",AH21-BB21-BC21,$B$3="LE3 2024",AX21-BB21-BC21)</f>
        <v>8210.4799999999814</v>
      </c>
      <c r="BE21" s="98"/>
      <c r="BF21" s="113">
        <v>96893.440000000002</v>
      </c>
      <c r="BG21" s="114">
        <v>96893.440000000002</v>
      </c>
      <c r="BH21" s="113">
        <v>97893.440000000002</v>
      </c>
      <c r="BI21" s="114">
        <v>106098.67</v>
      </c>
      <c r="BJ21" s="113">
        <v>106098.67</v>
      </c>
      <c r="BK21" s="114">
        <v>106098.67</v>
      </c>
      <c r="BL21" s="113">
        <v>106098.67</v>
      </c>
      <c r="BM21" s="114">
        <v>106098.67</v>
      </c>
      <c r="BN21" s="113">
        <v>106098.67</v>
      </c>
      <c r="BO21" s="114">
        <v>107751.8</v>
      </c>
      <c r="BP21" s="113">
        <v>107751.8</v>
      </c>
      <c r="BQ21" s="114">
        <v>110892.51531250001</v>
      </c>
      <c r="BR21" s="8">
        <f t="shared" si="20"/>
        <v>1254668.4553125002</v>
      </c>
      <c r="BS21" s="24">
        <f t="shared" si="21"/>
        <v>-20884.544687499758</v>
      </c>
      <c r="BT21" s="7"/>
    </row>
    <row r="22" spans="2:72" s="6" customFormat="1" ht="22.15" hidden="1" customHeight="1" outlineLevel="1" x14ac:dyDescent="0.25">
      <c r="B22" s="9" t="s">
        <v>43</v>
      </c>
      <c r="C22" s="9" t="str">
        <f t="shared" si="13"/>
        <v>147900706000110</v>
      </c>
      <c r="D22" s="112">
        <v>0</v>
      </c>
      <c r="E22" s="112">
        <v>3800</v>
      </c>
      <c r="F22" s="113">
        <v>0</v>
      </c>
      <c r="G22" s="114">
        <v>0</v>
      </c>
      <c r="H22" s="113">
        <v>0</v>
      </c>
      <c r="I22" s="114">
        <v>422.22</v>
      </c>
      <c r="J22" s="113">
        <v>422.22</v>
      </c>
      <c r="K22" s="114">
        <v>422.22</v>
      </c>
      <c r="L22" s="113">
        <v>422.22</v>
      </c>
      <c r="M22" s="114">
        <v>422.22</v>
      </c>
      <c r="N22" s="113">
        <v>422.22</v>
      </c>
      <c r="O22" s="114">
        <v>422.22</v>
      </c>
      <c r="P22" s="113">
        <v>422.22</v>
      </c>
      <c r="Q22" s="114">
        <v>422.24</v>
      </c>
      <c r="R22" s="8">
        <f t="shared" ref="R22:R65" si="22">SUM(F22:Q22)</f>
        <v>3800.0000000000009</v>
      </c>
      <c r="S22" s="24">
        <f t="shared" ref="S22:S65" si="23">R22-E22</f>
        <v>0</v>
      </c>
      <c r="T22" s="7"/>
      <c r="U22" s="5"/>
      <c r="V22" s="112">
        <v>0</v>
      </c>
      <c r="W22" s="112">
        <v>0</v>
      </c>
      <c r="X22" s="112">
        <v>0</v>
      </c>
      <c r="Y22" s="112">
        <v>0</v>
      </c>
      <c r="Z22" s="112">
        <v>0</v>
      </c>
      <c r="AA22" s="112">
        <v>0</v>
      </c>
      <c r="AB22" s="113">
        <v>633.33333333333337</v>
      </c>
      <c r="AC22" s="114">
        <v>633.33333333333337</v>
      </c>
      <c r="AD22" s="113">
        <v>633.33333333333337</v>
      </c>
      <c r="AE22" s="114">
        <v>633.33333333333337</v>
      </c>
      <c r="AF22" s="113">
        <v>633.33333333333337</v>
      </c>
      <c r="AG22" s="114">
        <v>633.33333333333337</v>
      </c>
      <c r="AH22" s="8">
        <f t="shared" si="16"/>
        <v>3800.0000000000005</v>
      </c>
      <c r="AI22" s="24">
        <f t="shared" si="17"/>
        <v>0</v>
      </c>
      <c r="AJ22" s="7"/>
      <c r="AK22" s="98"/>
      <c r="AL22" s="164">
        <v>0</v>
      </c>
      <c r="AM22" s="164">
        <v>0</v>
      </c>
      <c r="AN22" s="164">
        <v>0</v>
      </c>
      <c r="AO22" s="164">
        <v>0</v>
      </c>
      <c r="AP22" s="164">
        <v>0</v>
      </c>
      <c r="AQ22" s="164">
        <v>0</v>
      </c>
      <c r="AR22" s="164">
        <v>0</v>
      </c>
      <c r="AS22" s="164">
        <v>0</v>
      </c>
      <c r="AT22" s="164">
        <v>0</v>
      </c>
      <c r="AU22" s="114">
        <v>1266.67</v>
      </c>
      <c r="AV22" s="113">
        <v>1266.67</v>
      </c>
      <c r="AW22" s="113">
        <v>1266.6600000000001</v>
      </c>
      <c r="AX22" s="8">
        <f t="shared" si="18"/>
        <v>3800</v>
      </c>
      <c r="AY22" s="24">
        <f t="shared" si="19"/>
        <v>0</v>
      </c>
      <c r="AZ22" s="7"/>
      <c r="BA22" s="98"/>
      <c r="BB22" s="126">
        <v>0</v>
      </c>
      <c r="BC22" s="123">
        <v>0</v>
      </c>
      <c r="BD22" s="115" cm="1">
        <f t="array" ref="BD22">_xlfn.IFS($B$3="LE1 2024",R22-BB22-BC22,$B$3="LE2 2024",AH22-BB22-BC22,$B$3="LE3 2024",AX22-BB22-BC22)</f>
        <v>3800</v>
      </c>
      <c r="BE22" s="98"/>
      <c r="BF22" s="113">
        <v>200</v>
      </c>
      <c r="BG22" s="114">
        <v>200</v>
      </c>
      <c r="BH22" s="113">
        <v>200</v>
      </c>
      <c r="BI22" s="114">
        <v>400</v>
      </c>
      <c r="BJ22" s="113">
        <v>400</v>
      </c>
      <c r="BK22" s="114">
        <v>400</v>
      </c>
      <c r="BL22" s="113">
        <v>400</v>
      </c>
      <c r="BM22" s="114">
        <v>400</v>
      </c>
      <c r="BN22" s="113">
        <v>400</v>
      </c>
      <c r="BO22" s="114">
        <v>200</v>
      </c>
      <c r="BP22" s="113">
        <v>200</v>
      </c>
      <c r="BQ22" s="114">
        <v>400</v>
      </c>
      <c r="BR22" s="8">
        <f t="shared" si="20"/>
        <v>3800</v>
      </c>
      <c r="BS22" s="24">
        <f t="shared" si="21"/>
        <v>0</v>
      </c>
      <c r="BT22" s="7"/>
    </row>
    <row r="23" spans="2:72" s="6" customFormat="1" ht="22.15" hidden="1" customHeight="1" outlineLevel="1" x14ac:dyDescent="0.25">
      <c r="B23" s="9" t="s">
        <v>42</v>
      </c>
      <c r="C23" s="9" t="str">
        <f t="shared" si="13"/>
        <v>147900706000120</v>
      </c>
      <c r="D23" s="112">
        <v>118156.06000000001</v>
      </c>
      <c r="E23" s="112">
        <v>110434.06666666667</v>
      </c>
      <c r="F23" s="113">
        <v>9202.84</v>
      </c>
      <c r="G23" s="114">
        <v>9202.84</v>
      </c>
      <c r="H23" s="113">
        <v>9202.84</v>
      </c>
      <c r="I23" s="114">
        <v>9220.26</v>
      </c>
      <c r="J23" s="113">
        <v>9207.19</v>
      </c>
      <c r="K23" s="114">
        <v>9207.19</v>
      </c>
      <c r="L23" s="113">
        <v>9207.19</v>
      </c>
      <c r="M23" s="114">
        <v>9207.19</v>
      </c>
      <c r="N23" s="113">
        <v>9207.19</v>
      </c>
      <c r="O23" s="114">
        <v>9207.19</v>
      </c>
      <c r="P23" s="113">
        <v>9207.19</v>
      </c>
      <c r="Q23" s="114">
        <v>9207.19</v>
      </c>
      <c r="R23" s="8">
        <f t="shared" si="22"/>
        <v>110486.30000000002</v>
      </c>
      <c r="S23" s="24">
        <f t="shared" si="23"/>
        <v>52.233333333351766</v>
      </c>
      <c r="T23" s="7"/>
      <c r="U23" s="5"/>
      <c r="V23" s="112">
        <v>9202.84</v>
      </c>
      <c r="W23" s="112">
        <v>9202.84</v>
      </c>
      <c r="X23" s="112">
        <v>9202.84</v>
      </c>
      <c r="Y23" s="112">
        <v>9220.26</v>
      </c>
      <c r="Z23" s="112">
        <v>13665.86</v>
      </c>
      <c r="AA23" s="112">
        <v>9207.19</v>
      </c>
      <c r="AB23" s="113">
        <v>8265.3366666666407</v>
      </c>
      <c r="AC23" s="114">
        <v>8265.35</v>
      </c>
      <c r="AD23" s="113">
        <v>8265.35</v>
      </c>
      <c r="AE23" s="114">
        <v>8265.35</v>
      </c>
      <c r="AF23" s="113">
        <v>8265.35</v>
      </c>
      <c r="AG23" s="114">
        <v>8265.35</v>
      </c>
      <c r="AH23" s="8">
        <f t="shared" si="16"/>
        <v>109293.91666666667</v>
      </c>
      <c r="AI23" s="24">
        <f t="shared" si="17"/>
        <v>-1192.3833333333459</v>
      </c>
      <c r="AJ23" s="7"/>
      <c r="AK23" s="98"/>
      <c r="AL23" s="164">
        <v>9202.84</v>
      </c>
      <c r="AM23" s="164">
        <v>9202.84</v>
      </c>
      <c r="AN23" s="164">
        <v>9202.84</v>
      </c>
      <c r="AO23" s="164">
        <v>9220.26</v>
      </c>
      <c r="AP23" s="164">
        <v>13665.86</v>
      </c>
      <c r="AQ23" s="164">
        <v>9207.19</v>
      </c>
      <c r="AR23" s="164">
        <v>4052.94</v>
      </c>
      <c r="AS23" s="164">
        <v>9107.83</v>
      </c>
      <c r="AT23" s="164">
        <v>9107.83</v>
      </c>
      <c r="AU23" s="114">
        <v>7132.1533333333209</v>
      </c>
      <c r="AV23" s="113">
        <v>8910</v>
      </c>
      <c r="AW23" s="113">
        <v>8910</v>
      </c>
      <c r="AX23" s="8">
        <f t="shared" si="18"/>
        <v>106922.58333333333</v>
      </c>
      <c r="AY23" s="24">
        <f t="shared" si="19"/>
        <v>-2371.333333333343</v>
      </c>
      <c r="AZ23" s="7"/>
      <c r="BA23" s="98"/>
      <c r="BB23" s="126">
        <v>109116.06</v>
      </c>
      <c r="BC23" s="123">
        <v>0</v>
      </c>
      <c r="BD23" s="115" cm="1">
        <f t="array" ref="BD23">_xlfn.IFS($B$3="LE1 2024",R23-BB23-BC23,$B$3="LE2 2024",AH23-BB23-BC23,$B$3="LE3 2024",AX23-BB23-BC23)</f>
        <v>-2193.4766666666692</v>
      </c>
      <c r="BE23" s="98"/>
      <c r="BF23" s="113">
        <v>8880.7800000000007</v>
      </c>
      <c r="BG23" s="114">
        <v>8880.7800000000007</v>
      </c>
      <c r="BH23" s="113">
        <v>8880.7800000000007</v>
      </c>
      <c r="BI23" s="114">
        <v>8880.7800000000007</v>
      </c>
      <c r="BJ23" s="113">
        <v>8880.7800000000007</v>
      </c>
      <c r="BK23" s="114">
        <v>8880.7800000000007</v>
      </c>
      <c r="BL23" s="113">
        <v>8880.7800000000007</v>
      </c>
      <c r="BM23" s="114">
        <v>8880.7800000000007</v>
      </c>
      <c r="BN23" s="113">
        <v>8880.7800000000007</v>
      </c>
      <c r="BO23" s="114">
        <v>8880.7800000000007</v>
      </c>
      <c r="BP23" s="113">
        <v>8880.7800000000007</v>
      </c>
      <c r="BQ23" s="114">
        <v>8880.7800000000134</v>
      </c>
      <c r="BR23" s="8">
        <f t="shared" si="20"/>
        <v>106569.36000000002</v>
      </c>
      <c r="BS23" s="24">
        <f t="shared" si="21"/>
        <v>-2724.5566666666564</v>
      </c>
      <c r="BT23" s="7"/>
    </row>
    <row r="24" spans="2:72" s="6" customFormat="1" ht="22.15" hidden="1" customHeight="1" outlineLevel="1" x14ac:dyDescent="0.25">
      <c r="B24" s="9" t="s">
        <v>41</v>
      </c>
      <c r="C24" s="9" t="str">
        <f t="shared" si="13"/>
        <v>147900706000130</v>
      </c>
      <c r="D24" s="112">
        <v>0</v>
      </c>
      <c r="E24" s="112">
        <v>0</v>
      </c>
      <c r="F24" s="113">
        <v>0</v>
      </c>
      <c r="G24" s="114">
        <v>0</v>
      </c>
      <c r="H24" s="113">
        <v>0</v>
      </c>
      <c r="I24" s="114">
        <v>0</v>
      </c>
      <c r="J24" s="113">
        <v>0</v>
      </c>
      <c r="K24" s="114">
        <v>0</v>
      </c>
      <c r="L24" s="113">
        <v>0</v>
      </c>
      <c r="M24" s="114">
        <v>0</v>
      </c>
      <c r="N24" s="113">
        <v>0</v>
      </c>
      <c r="O24" s="114">
        <v>0</v>
      </c>
      <c r="P24" s="113">
        <v>0</v>
      </c>
      <c r="Q24" s="114">
        <v>0</v>
      </c>
      <c r="R24" s="8">
        <f t="shared" si="22"/>
        <v>0</v>
      </c>
      <c r="S24" s="24">
        <f t="shared" si="23"/>
        <v>0</v>
      </c>
      <c r="T24" s="7"/>
      <c r="U24" s="5"/>
      <c r="V24" s="112">
        <v>0</v>
      </c>
      <c r="W24" s="112">
        <v>0</v>
      </c>
      <c r="X24" s="112">
        <v>0</v>
      </c>
      <c r="Y24" s="112">
        <v>0</v>
      </c>
      <c r="Z24" s="112">
        <v>0</v>
      </c>
      <c r="AA24" s="112">
        <v>0</v>
      </c>
      <c r="AB24" s="113">
        <v>0</v>
      </c>
      <c r="AC24" s="114">
        <v>0</v>
      </c>
      <c r="AD24" s="113">
        <v>0</v>
      </c>
      <c r="AE24" s="114">
        <v>0</v>
      </c>
      <c r="AF24" s="113">
        <v>0</v>
      </c>
      <c r="AG24" s="114">
        <v>0</v>
      </c>
      <c r="AH24" s="8">
        <f t="shared" si="16"/>
        <v>0</v>
      </c>
      <c r="AI24" s="24">
        <f t="shared" si="17"/>
        <v>0</v>
      </c>
      <c r="AJ24" s="7"/>
      <c r="AK24" s="98"/>
      <c r="AL24" s="164">
        <v>0</v>
      </c>
      <c r="AM24" s="164">
        <v>0</v>
      </c>
      <c r="AN24" s="164">
        <v>0</v>
      </c>
      <c r="AO24" s="164">
        <v>0</v>
      </c>
      <c r="AP24" s="164">
        <v>0</v>
      </c>
      <c r="AQ24" s="164">
        <v>0</v>
      </c>
      <c r="AR24" s="164">
        <v>0</v>
      </c>
      <c r="AS24" s="164">
        <v>0</v>
      </c>
      <c r="AT24" s="164">
        <v>-5735.1</v>
      </c>
      <c r="AU24" s="114">
        <v>5735.1</v>
      </c>
      <c r="AV24" s="113">
        <v>0</v>
      </c>
      <c r="AW24" s="113">
        <v>0</v>
      </c>
      <c r="AX24" s="8">
        <f t="shared" si="18"/>
        <v>0</v>
      </c>
      <c r="AY24" s="24">
        <f t="shared" si="19"/>
        <v>0</v>
      </c>
      <c r="AZ24" s="7"/>
      <c r="BA24" s="98"/>
      <c r="BB24" s="126">
        <v>0</v>
      </c>
      <c r="BC24" s="123">
        <v>0</v>
      </c>
      <c r="BD24" s="115" cm="1">
        <f t="array" ref="BD24">_xlfn.IFS($B$3="LE1 2024",R24-BB24-BC24,$B$3="LE2 2024",AH24-BB24-BC24,$B$3="LE3 2024",AX24-BB24-BC24)</f>
        <v>0</v>
      </c>
      <c r="BE24" s="98"/>
      <c r="BF24" s="113">
        <v>0</v>
      </c>
      <c r="BG24" s="114">
        <v>0</v>
      </c>
      <c r="BH24" s="113">
        <v>0</v>
      </c>
      <c r="BI24" s="114">
        <v>0</v>
      </c>
      <c r="BJ24" s="113">
        <v>0</v>
      </c>
      <c r="BK24" s="114">
        <v>0</v>
      </c>
      <c r="BL24" s="113">
        <v>0</v>
      </c>
      <c r="BM24" s="114">
        <v>0</v>
      </c>
      <c r="BN24" s="113">
        <v>0</v>
      </c>
      <c r="BO24" s="114">
        <v>0</v>
      </c>
      <c r="BP24" s="113">
        <v>0</v>
      </c>
      <c r="BQ24" s="114">
        <v>0</v>
      </c>
      <c r="BR24" s="8">
        <f t="shared" si="20"/>
        <v>0</v>
      </c>
      <c r="BS24" s="24">
        <f t="shared" si="21"/>
        <v>0</v>
      </c>
      <c r="BT24" s="7"/>
    </row>
    <row r="25" spans="2:72" s="6" customFormat="1" ht="22.15" hidden="1" customHeight="1" outlineLevel="1" x14ac:dyDescent="0.25">
      <c r="B25" s="9" t="s">
        <v>40</v>
      </c>
      <c r="C25" s="9" t="str">
        <f t="shared" si="13"/>
        <v>147900706000200</v>
      </c>
      <c r="D25" s="112">
        <v>0</v>
      </c>
      <c r="E25" s="112">
        <v>0</v>
      </c>
      <c r="F25" s="113">
        <v>0</v>
      </c>
      <c r="G25" s="114">
        <v>0</v>
      </c>
      <c r="H25" s="113">
        <v>0</v>
      </c>
      <c r="I25" s="114">
        <v>0</v>
      </c>
      <c r="J25" s="113">
        <v>0</v>
      </c>
      <c r="K25" s="114">
        <v>0</v>
      </c>
      <c r="L25" s="113">
        <v>0</v>
      </c>
      <c r="M25" s="114">
        <v>0</v>
      </c>
      <c r="N25" s="113">
        <v>0</v>
      </c>
      <c r="O25" s="114">
        <v>0</v>
      </c>
      <c r="P25" s="113">
        <v>0</v>
      </c>
      <c r="Q25" s="114">
        <v>0</v>
      </c>
      <c r="R25" s="8">
        <f t="shared" si="22"/>
        <v>0</v>
      </c>
      <c r="S25" s="24">
        <f t="shared" si="23"/>
        <v>0</v>
      </c>
      <c r="T25" s="7"/>
      <c r="U25" s="5"/>
      <c r="V25" s="112">
        <v>0</v>
      </c>
      <c r="W25" s="112">
        <v>0</v>
      </c>
      <c r="X25" s="112">
        <v>0</v>
      </c>
      <c r="Y25" s="112">
        <v>0</v>
      </c>
      <c r="Z25" s="112">
        <v>0</v>
      </c>
      <c r="AA25" s="112">
        <v>0</v>
      </c>
      <c r="AB25" s="113">
        <v>0</v>
      </c>
      <c r="AC25" s="114">
        <v>0</v>
      </c>
      <c r="AD25" s="113">
        <v>0</v>
      </c>
      <c r="AE25" s="114">
        <v>0</v>
      </c>
      <c r="AF25" s="113">
        <v>0</v>
      </c>
      <c r="AG25" s="114">
        <v>0</v>
      </c>
      <c r="AH25" s="8">
        <f t="shared" si="16"/>
        <v>0</v>
      </c>
      <c r="AI25" s="24">
        <f t="shared" si="17"/>
        <v>0</v>
      </c>
      <c r="AJ25" s="7"/>
      <c r="AK25" s="98"/>
      <c r="AL25" s="164">
        <v>0</v>
      </c>
      <c r="AM25" s="164">
        <v>0</v>
      </c>
      <c r="AN25" s="164">
        <v>0</v>
      </c>
      <c r="AO25" s="164">
        <v>0</v>
      </c>
      <c r="AP25" s="164">
        <v>0</v>
      </c>
      <c r="AQ25" s="164">
        <v>0</v>
      </c>
      <c r="AR25" s="164">
        <v>0</v>
      </c>
      <c r="AS25" s="164">
        <v>0</v>
      </c>
      <c r="AT25" s="164">
        <v>0</v>
      </c>
      <c r="AU25" s="114">
        <v>0</v>
      </c>
      <c r="AV25" s="113">
        <v>0</v>
      </c>
      <c r="AW25" s="113">
        <v>0</v>
      </c>
      <c r="AX25" s="8">
        <f t="shared" si="18"/>
        <v>0</v>
      </c>
      <c r="AY25" s="24">
        <f t="shared" si="19"/>
        <v>0</v>
      </c>
      <c r="AZ25" s="7"/>
      <c r="BA25" s="98"/>
      <c r="BB25" s="126">
        <v>0</v>
      </c>
      <c r="BC25" s="123">
        <v>0</v>
      </c>
      <c r="BD25" s="115" cm="1">
        <f t="array" ref="BD25">_xlfn.IFS($B$3="LE1 2024",R25-BB25-BC25,$B$3="LE2 2024",AH25-BB25-BC25,$B$3="LE3 2024",AX25-BB25-BC25)</f>
        <v>0</v>
      </c>
      <c r="BE25" s="98"/>
      <c r="BF25" s="113">
        <v>0</v>
      </c>
      <c r="BG25" s="114">
        <v>0</v>
      </c>
      <c r="BH25" s="113">
        <v>0</v>
      </c>
      <c r="BI25" s="114">
        <v>0</v>
      </c>
      <c r="BJ25" s="113">
        <v>0</v>
      </c>
      <c r="BK25" s="114">
        <v>0</v>
      </c>
      <c r="BL25" s="113">
        <v>0</v>
      </c>
      <c r="BM25" s="114">
        <v>0</v>
      </c>
      <c r="BN25" s="113">
        <v>0</v>
      </c>
      <c r="BO25" s="114">
        <v>0</v>
      </c>
      <c r="BP25" s="113">
        <v>0</v>
      </c>
      <c r="BQ25" s="114">
        <v>0</v>
      </c>
      <c r="BR25" s="8">
        <f t="shared" si="20"/>
        <v>0</v>
      </c>
      <c r="BS25" s="24">
        <f t="shared" si="21"/>
        <v>0</v>
      </c>
      <c r="BT25" s="7"/>
    </row>
    <row r="26" spans="2:72" s="6" customFormat="1" ht="22.15" hidden="1" customHeight="1" outlineLevel="1" x14ac:dyDescent="0.25">
      <c r="B26" s="9" t="s">
        <v>39</v>
      </c>
      <c r="C26" s="9" t="str">
        <f t="shared" si="13"/>
        <v>147900706000210</v>
      </c>
      <c r="D26" s="112">
        <v>12617.39</v>
      </c>
      <c r="E26" s="112">
        <v>14400</v>
      </c>
      <c r="F26" s="113">
        <v>800</v>
      </c>
      <c r="G26" s="114">
        <v>76.19</v>
      </c>
      <c r="H26" s="113">
        <v>0</v>
      </c>
      <c r="I26" s="114">
        <v>1500</v>
      </c>
      <c r="J26" s="113">
        <v>1500</v>
      </c>
      <c r="K26" s="114">
        <v>1500</v>
      </c>
      <c r="L26" s="113">
        <v>1500</v>
      </c>
      <c r="M26" s="114">
        <v>1500</v>
      </c>
      <c r="N26" s="113">
        <v>1500</v>
      </c>
      <c r="O26" s="114">
        <v>1500</v>
      </c>
      <c r="P26" s="113">
        <v>1500</v>
      </c>
      <c r="Q26" s="114">
        <v>1523.81</v>
      </c>
      <c r="R26" s="8">
        <f t="shared" si="22"/>
        <v>14400</v>
      </c>
      <c r="S26" s="24">
        <f t="shared" si="23"/>
        <v>0</v>
      </c>
      <c r="T26" s="7"/>
      <c r="U26" s="5"/>
      <c r="V26" s="112">
        <v>800</v>
      </c>
      <c r="W26" s="112">
        <v>76.19</v>
      </c>
      <c r="X26" s="112">
        <v>0</v>
      </c>
      <c r="Y26" s="112">
        <v>0</v>
      </c>
      <c r="Z26" s="112">
        <v>0</v>
      </c>
      <c r="AA26" s="112">
        <v>0</v>
      </c>
      <c r="AB26" s="113">
        <v>2000</v>
      </c>
      <c r="AC26" s="114">
        <v>2000</v>
      </c>
      <c r="AD26" s="113">
        <v>2000</v>
      </c>
      <c r="AE26" s="114">
        <v>2000</v>
      </c>
      <c r="AF26" s="113">
        <v>2000</v>
      </c>
      <c r="AG26" s="114">
        <v>3523.81</v>
      </c>
      <c r="AH26" s="8">
        <f t="shared" si="16"/>
        <v>14400</v>
      </c>
      <c r="AI26" s="24">
        <f t="shared" si="17"/>
        <v>0</v>
      </c>
      <c r="AJ26" s="7"/>
      <c r="AK26" s="98"/>
      <c r="AL26" s="164">
        <v>800</v>
      </c>
      <c r="AM26" s="164">
        <v>76.19</v>
      </c>
      <c r="AN26" s="164">
        <v>0</v>
      </c>
      <c r="AO26" s="164">
        <v>0</v>
      </c>
      <c r="AP26" s="164">
        <v>0</v>
      </c>
      <c r="AQ26" s="164">
        <v>0</v>
      </c>
      <c r="AR26" s="164">
        <v>1200</v>
      </c>
      <c r="AS26" s="164">
        <v>1200</v>
      </c>
      <c r="AT26" s="164">
        <v>1619.05</v>
      </c>
      <c r="AU26" s="114">
        <v>3168.25</v>
      </c>
      <c r="AV26" s="113">
        <v>3168.25</v>
      </c>
      <c r="AW26" s="113">
        <v>3168.26</v>
      </c>
      <c r="AX26" s="8">
        <f t="shared" si="18"/>
        <v>14400</v>
      </c>
      <c r="AY26" s="24">
        <f t="shared" si="19"/>
        <v>0</v>
      </c>
      <c r="AZ26" s="7"/>
      <c r="BA26" s="98"/>
      <c r="BB26" s="126">
        <v>9619.0399999999991</v>
      </c>
      <c r="BC26" s="123">
        <v>0</v>
      </c>
      <c r="BD26" s="115" cm="1">
        <f t="array" ref="BD26">_xlfn.IFS($B$3="LE1 2024",R26-BB26-BC26,$B$3="LE2 2024",AH26-BB26-BC26,$B$3="LE3 2024",AX26-BB26-BC26)</f>
        <v>4780.9600000000009</v>
      </c>
      <c r="BE26" s="98"/>
      <c r="BF26" s="113">
        <v>1200</v>
      </c>
      <c r="BG26" s="114">
        <v>1200</v>
      </c>
      <c r="BH26" s="113">
        <v>1200</v>
      </c>
      <c r="BI26" s="114">
        <v>1200</v>
      </c>
      <c r="BJ26" s="113">
        <v>1200</v>
      </c>
      <c r="BK26" s="114">
        <v>1200</v>
      </c>
      <c r="BL26" s="113">
        <v>1200</v>
      </c>
      <c r="BM26" s="114">
        <v>1200</v>
      </c>
      <c r="BN26" s="113">
        <v>1200</v>
      </c>
      <c r="BO26" s="114">
        <v>600</v>
      </c>
      <c r="BP26" s="113">
        <v>0</v>
      </c>
      <c r="BQ26" s="114">
        <v>0</v>
      </c>
      <c r="BR26" s="8">
        <f t="shared" si="20"/>
        <v>11400</v>
      </c>
      <c r="BS26" s="24">
        <f t="shared" si="21"/>
        <v>-3000</v>
      </c>
      <c r="BT26" s="7"/>
    </row>
    <row r="27" spans="2:72" s="6" customFormat="1" ht="22.15" hidden="1" customHeight="1" outlineLevel="1" x14ac:dyDescent="0.25">
      <c r="B27" s="9" t="s">
        <v>38</v>
      </c>
      <c r="C27" s="9" t="str">
        <f t="shared" si="13"/>
        <v>147900706005000</v>
      </c>
      <c r="D27" s="112">
        <v>3409.3299999999981</v>
      </c>
      <c r="E27" s="112">
        <v>0</v>
      </c>
      <c r="F27" s="113">
        <v>0</v>
      </c>
      <c r="G27" s="114">
        <v>0</v>
      </c>
      <c r="H27" s="113">
        <v>0</v>
      </c>
      <c r="I27" s="114">
        <v>0</v>
      </c>
      <c r="J27" s="113">
        <v>0</v>
      </c>
      <c r="K27" s="114">
        <v>0</v>
      </c>
      <c r="L27" s="113">
        <v>0</v>
      </c>
      <c r="M27" s="114">
        <v>0</v>
      </c>
      <c r="N27" s="113">
        <v>0</v>
      </c>
      <c r="O27" s="114">
        <v>0</v>
      </c>
      <c r="P27" s="113">
        <v>0</v>
      </c>
      <c r="Q27" s="114">
        <v>0</v>
      </c>
      <c r="R27" s="8">
        <f t="shared" si="22"/>
        <v>0</v>
      </c>
      <c r="S27" s="24">
        <f t="shared" si="23"/>
        <v>0</v>
      </c>
      <c r="T27" s="7"/>
      <c r="U27" s="5"/>
      <c r="V27" s="112">
        <v>0</v>
      </c>
      <c r="W27" s="112">
        <v>0</v>
      </c>
      <c r="X27" s="112">
        <v>0</v>
      </c>
      <c r="Y27" s="112">
        <v>0</v>
      </c>
      <c r="Z27" s="112">
        <v>0</v>
      </c>
      <c r="AA27" s="112">
        <v>0</v>
      </c>
      <c r="AB27" s="113">
        <v>0</v>
      </c>
      <c r="AC27" s="114">
        <v>0</v>
      </c>
      <c r="AD27" s="113">
        <v>0</v>
      </c>
      <c r="AE27" s="114">
        <v>0</v>
      </c>
      <c r="AF27" s="113">
        <v>0</v>
      </c>
      <c r="AG27" s="114">
        <v>0</v>
      </c>
      <c r="AH27" s="8">
        <f t="shared" si="16"/>
        <v>0</v>
      </c>
      <c r="AI27" s="24">
        <f t="shared" si="17"/>
        <v>0</v>
      </c>
      <c r="AJ27" s="7"/>
      <c r="AK27" s="98"/>
      <c r="AL27" s="164">
        <v>0</v>
      </c>
      <c r="AM27" s="164">
        <v>0</v>
      </c>
      <c r="AN27" s="164">
        <v>0</v>
      </c>
      <c r="AO27" s="164">
        <v>0</v>
      </c>
      <c r="AP27" s="164">
        <v>0</v>
      </c>
      <c r="AQ27" s="164">
        <v>0</v>
      </c>
      <c r="AR27" s="164">
        <v>0</v>
      </c>
      <c r="AS27" s="164">
        <v>0</v>
      </c>
      <c r="AT27" s="164">
        <v>0</v>
      </c>
      <c r="AU27" s="114">
        <v>0</v>
      </c>
      <c r="AV27" s="113">
        <v>0</v>
      </c>
      <c r="AW27" s="113">
        <v>0</v>
      </c>
      <c r="AX27" s="8">
        <f t="shared" si="18"/>
        <v>0</v>
      </c>
      <c r="AY27" s="24">
        <f t="shared" si="19"/>
        <v>0</v>
      </c>
      <c r="AZ27" s="7"/>
      <c r="BA27" s="98"/>
      <c r="BB27" s="126">
        <v>0</v>
      </c>
      <c r="BC27" s="123">
        <v>0</v>
      </c>
      <c r="BD27" s="115" cm="1">
        <f t="array" ref="BD27">_xlfn.IFS($B$3="LE1 2024",R27-BB27-BC27,$B$3="LE2 2024",AH27-BB27-BC27,$B$3="LE3 2024",AX27-BB27-BC27)</f>
        <v>0</v>
      </c>
      <c r="BE27" s="98"/>
      <c r="BF27" s="113">
        <v>0</v>
      </c>
      <c r="BG27" s="114">
        <v>0</v>
      </c>
      <c r="BH27" s="113">
        <v>0</v>
      </c>
      <c r="BI27" s="114">
        <v>0</v>
      </c>
      <c r="BJ27" s="113">
        <v>0</v>
      </c>
      <c r="BK27" s="114">
        <v>0</v>
      </c>
      <c r="BL27" s="113">
        <v>0</v>
      </c>
      <c r="BM27" s="114">
        <v>0</v>
      </c>
      <c r="BN27" s="113">
        <v>0</v>
      </c>
      <c r="BO27" s="114">
        <v>0</v>
      </c>
      <c r="BP27" s="113">
        <v>0</v>
      </c>
      <c r="BQ27" s="114">
        <v>0</v>
      </c>
      <c r="BR27" s="8">
        <f t="shared" si="20"/>
        <v>0</v>
      </c>
      <c r="BS27" s="24">
        <f t="shared" si="21"/>
        <v>0</v>
      </c>
      <c r="BT27" s="7"/>
    </row>
    <row r="28" spans="2:72" s="6" customFormat="1" ht="22.15" hidden="1" customHeight="1" outlineLevel="1" x14ac:dyDescent="0.25">
      <c r="B28" s="9" t="s">
        <v>37</v>
      </c>
      <c r="C28" s="9" t="str">
        <f t="shared" si="13"/>
        <v>147900706005060</v>
      </c>
      <c r="D28" s="112">
        <v>0</v>
      </c>
      <c r="E28" s="112">
        <v>0</v>
      </c>
      <c r="F28" s="113">
        <v>0</v>
      </c>
      <c r="G28" s="114">
        <v>0</v>
      </c>
      <c r="H28" s="113">
        <v>0</v>
      </c>
      <c r="I28" s="114">
        <v>0</v>
      </c>
      <c r="J28" s="113">
        <v>0</v>
      </c>
      <c r="K28" s="114">
        <v>0</v>
      </c>
      <c r="L28" s="113">
        <v>0</v>
      </c>
      <c r="M28" s="114">
        <v>0</v>
      </c>
      <c r="N28" s="113">
        <v>0</v>
      </c>
      <c r="O28" s="114">
        <v>0</v>
      </c>
      <c r="P28" s="113">
        <v>0</v>
      </c>
      <c r="Q28" s="114">
        <v>0</v>
      </c>
      <c r="R28" s="8">
        <f t="shared" si="22"/>
        <v>0</v>
      </c>
      <c r="S28" s="24">
        <f t="shared" si="23"/>
        <v>0</v>
      </c>
      <c r="T28" s="7"/>
      <c r="U28" s="5"/>
      <c r="V28" s="112">
        <v>0</v>
      </c>
      <c r="W28" s="112">
        <v>0</v>
      </c>
      <c r="X28" s="112">
        <v>0</v>
      </c>
      <c r="Y28" s="112">
        <v>0</v>
      </c>
      <c r="Z28" s="112">
        <v>0</v>
      </c>
      <c r="AA28" s="112">
        <v>0</v>
      </c>
      <c r="AB28" s="113">
        <v>0</v>
      </c>
      <c r="AC28" s="114">
        <v>0</v>
      </c>
      <c r="AD28" s="113">
        <v>0</v>
      </c>
      <c r="AE28" s="114">
        <v>0</v>
      </c>
      <c r="AF28" s="113">
        <v>0</v>
      </c>
      <c r="AG28" s="114">
        <v>0</v>
      </c>
      <c r="AH28" s="8">
        <f t="shared" si="16"/>
        <v>0</v>
      </c>
      <c r="AI28" s="24">
        <f t="shared" si="17"/>
        <v>0</v>
      </c>
      <c r="AJ28" s="7"/>
      <c r="AK28" s="98"/>
      <c r="AL28" s="164">
        <v>0</v>
      </c>
      <c r="AM28" s="164">
        <v>0</v>
      </c>
      <c r="AN28" s="164">
        <v>0</v>
      </c>
      <c r="AO28" s="164">
        <v>0</v>
      </c>
      <c r="AP28" s="164">
        <v>0</v>
      </c>
      <c r="AQ28" s="164">
        <v>0</v>
      </c>
      <c r="AR28" s="164">
        <v>0</v>
      </c>
      <c r="AS28" s="164">
        <v>0</v>
      </c>
      <c r="AT28" s="164">
        <v>0</v>
      </c>
      <c r="AU28" s="114">
        <v>0</v>
      </c>
      <c r="AV28" s="113">
        <v>0</v>
      </c>
      <c r="AW28" s="113">
        <v>0</v>
      </c>
      <c r="AX28" s="8">
        <f t="shared" si="18"/>
        <v>0</v>
      </c>
      <c r="AY28" s="24">
        <f t="shared" si="19"/>
        <v>0</v>
      </c>
      <c r="AZ28" s="7"/>
      <c r="BA28" s="98"/>
      <c r="BB28" s="126">
        <v>0</v>
      </c>
      <c r="BC28" s="123">
        <v>0</v>
      </c>
      <c r="BD28" s="115" cm="1">
        <f t="array" ref="BD28">_xlfn.IFS($B$3="LE1 2024",R28-BB28-BC28,$B$3="LE2 2024",AH28-BB28-BC28,$B$3="LE3 2024",AX28-BB28-BC28)</f>
        <v>0</v>
      </c>
      <c r="BE28" s="98"/>
      <c r="BF28" s="113">
        <v>0</v>
      </c>
      <c r="BG28" s="114">
        <v>0</v>
      </c>
      <c r="BH28" s="113">
        <v>0</v>
      </c>
      <c r="BI28" s="114">
        <v>0</v>
      </c>
      <c r="BJ28" s="113">
        <v>0</v>
      </c>
      <c r="BK28" s="114">
        <v>0</v>
      </c>
      <c r="BL28" s="113">
        <v>0</v>
      </c>
      <c r="BM28" s="114">
        <v>0</v>
      </c>
      <c r="BN28" s="113">
        <v>0</v>
      </c>
      <c r="BO28" s="114">
        <v>0</v>
      </c>
      <c r="BP28" s="113">
        <v>0</v>
      </c>
      <c r="BQ28" s="114">
        <v>0</v>
      </c>
      <c r="BR28" s="8">
        <f t="shared" si="20"/>
        <v>0</v>
      </c>
      <c r="BS28" s="24">
        <f t="shared" si="21"/>
        <v>0</v>
      </c>
      <c r="BT28" s="7"/>
    </row>
    <row r="29" spans="2:72" s="6" customFormat="1" ht="22.15" hidden="1" customHeight="1" outlineLevel="1" x14ac:dyDescent="0.25">
      <c r="B29" s="9" t="s">
        <v>36</v>
      </c>
      <c r="C29" s="9" t="str">
        <f t="shared" si="13"/>
        <v>147900706005070</v>
      </c>
      <c r="D29" s="112">
        <v>41810.74</v>
      </c>
      <c r="E29" s="112">
        <v>45468.398000000001</v>
      </c>
      <c r="F29" s="113">
        <v>2852.04</v>
      </c>
      <c r="G29" s="114">
        <v>2852.04</v>
      </c>
      <c r="H29" s="113">
        <v>2852.04</v>
      </c>
      <c r="I29" s="114">
        <v>7719.8</v>
      </c>
      <c r="J29" s="113">
        <v>7719.8</v>
      </c>
      <c r="K29" s="114">
        <v>7719.8</v>
      </c>
      <c r="L29" s="113">
        <v>7719.8</v>
      </c>
      <c r="M29" s="114">
        <v>7719.8</v>
      </c>
      <c r="N29" s="113">
        <v>7719.8</v>
      </c>
      <c r="O29" s="114">
        <v>7719.8</v>
      </c>
      <c r="P29" s="113">
        <v>7719.8</v>
      </c>
      <c r="Q29" s="114">
        <v>7719.76</v>
      </c>
      <c r="R29" s="8">
        <f t="shared" si="22"/>
        <v>78034.28</v>
      </c>
      <c r="S29" s="24">
        <f t="shared" si="23"/>
        <v>32565.881999999998</v>
      </c>
      <c r="T29" s="7"/>
      <c r="U29" s="5"/>
      <c r="V29" s="112">
        <v>2852.04</v>
      </c>
      <c r="W29" s="112">
        <v>2852.04</v>
      </c>
      <c r="X29" s="112">
        <v>2852.04</v>
      </c>
      <c r="Y29" s="112">
        <v>2971.04</v>
      </c>
      <c r="Z29" s="112">
        <v>3149.39</v>
      </c>
      <c r="AA29" s="112">
        <v>2971.04</v>
      </c>
      <c r="AB29" s="113">
        <v>3200</v>
      </c>
      <c r="AC29" s="114">
        <v>3200</v>
      </c>
      <c r="AD29" s="113">
        <v>3200</v>
      </c>
      <c r="AE29" s="114">
        <v>3200</v>
      </c>
      <c r="AF29" s="113">
        <v>3200</v>
      </c>
      <c r="AG29" s="114">
        <v>43561.69</v>
      </c>
      <c r="AH29" s="8">
        <f t="shared" si="16"/>
        <v>77209.279999999999</v>
      </c>
      <c r="AI29" s="24">
        <f t="shared" si="17"/>
        <v>-825</v>
      </c>
      <c r="AJ29" s="7"/>
      <c r="AK29" s="98"/>
      <c r="AL29" s="164">
        <v>2852.04</v>
      </c>
      <c r="AM29" s="164">
        <v>2852.04</v>
      </c>
      <c r="AN29" s="164">
        <v>2852.04</v>
      </c>
      <c r="AO29" s="164">
        <v>2971.04</v>
      </c>
      <c r="AP29" s="164">
        <v>3149.39</v>
      </c>
      <c r="AQ29" s="164">
        <v>2971.04</v>
      </c>
      <c r="AR29" s="164">
        <v>0</v>
      </c>
      <c r="AS29" s="164">
        <v>0</v>
      </c>
      <c r="AT29" s="164">
        <v>10822.869999999999</v>
      </c>
      <c r="AU29" s="114">
        <v>3331.16</v>
      </c>
      <c r="AV29" s="113">
        <v>3331.16</v>
      </c>
      <c r="AW29" s="113">
        <v>43939.53</v>
      </c>
      <c r="AX29" s="8">
        <f t="shared" si="18"/>
        <v>79072.31</v>
      </c>
      <c r="AY29" s="24">
        <f t="shared" si="19"/>
        <v>1863.0299999999988</v>
      </c>
      <c r="AZ29" s="7"/>
      <c r="BA29" s="98"/>
      <c r="BB29" s="126">
        <v>0</v>
      </c>
      <c r="BC29" s="123">
        <v>0</v>
      </c>
      <c r="BD29" s="115" cm="1">
        <f t="array" ref="BD29">_xlfn.IFS($B$3="LE1 2024",R29-BB29-BC29,$B$3="LE2 2024",AH29-BB29-BC29,$B$3="LE3 2024",AX29-BB29-BC29)</f>
        <v>79072.31</v>
      </c>
      <c r="BE29" s="98"/>
      <c r="BF29" s="113">
        <v>6724.71</v>
      </c>
      <c r="BG29" s="114">
        <v>6724.71</v>
      </c>
      <c r="BH29" s="113">
        <v>6724.71</v>
      </c>
      <c r="BI29" s="114">
        <v>6724.71</v>
      </c>
      <c r="BJ29" s="113">
        <v>6724.71</v>
      </c>
      <c r="BK29" s="114">
        <v>6724.71</v>
      </c>
      <c r="BL29" s="113">
        <v>6724.71</v>
      </c>
      <c r="BM29" s="114">
        <v>6724.71</v>
      </c>
      <c r="BN29" s="113">
        <v>6724.71</v>
      </c>
      <c r="BO29" s="114">
        <v>6724.71</v>
      </c>
      <c r="BP29" s="113">
        <v>6724.71</v>
      </c>
      <c r="BQ29" s="114">
        <v>6724.66</v>
      </c>
      <c r="BR29" s="8">
        <f t="shared" si="20"/>
        <v>80696.470000000016</v>
      </c>
      <c r="BS29" s="24">
        <f t="shared" si="21"/>
        <v>3487.1900000000169</v>
      </c>
      <c r="BT29" s="7"/>
    </row>
    <row r="30" spans="2:72" s="6" customFormat="1" ht="22.15" hidden="1" customHeight="1" outlineLevel="1" x14ac:dyDescent="0.25">
      <c r="B30" s="9" t="s">
        <v>35</v>
      </c>
      <c r="C30" s="9" t="str">
        <f t="shared" si="13"/>
        <v>147900706005080</v>
      </c>
      <c r="D30" s="112">
        <v>0</v>
      </c>
      <c r="E30" s="112">
        <v>0</v>
      </c>
      <c r="F30" s="113">
        <v>0</v>
      </c>
      <c r="G30" s="114">
        <v>0</v>
      </c>
      <c r="H30" s="113">
        <v>0</v>
      </c>
      <c r="I30" s="114">
        <v>0</v>
      </c>
      <c r="J30" s="113">
        <v>0</v>
      </c>
      <c r="K30" s="114">
        <v>0</v>
      </c>
      <c r="L30" s="113">
        <v>0</v>
      </c>
      <c r="M30" s="114">
        <v>0</v>
      </c>
      <c r="N30" s="113">
        <v>0</v>
      </c>
      <c r="O30" s="114">
        <v>0</v>
      </c>
      <c r="P30" s="113">
        <v>0</v>
      </c>
      <c r="Q30" s="114">
        <v>0</v>
      </c>
      <c r="R30" s="8">
        <f t="shared" si="22"/>
        <v>0</v>
      </c>
      <c r="S30" s="24">
        <f t="shared" si="23"/>
        <v>0</v>
      </c>
      <c r="T30" s="7"/>
      <c r="U30" s="5"/>
      <c r="V30" s="112">
        <v>0</v>
      </c>
      <c r="W30" s="112">
        <v>0</v>
      </c>
      <c r="X30" s="112">
        <v>0</v>
      </c>
      <c r="Y30" s="112">
        <v>0</v>
      </c>
      <c r="Z30" s="112">
        <v>0</v>
      </c>
      <c r="AA30" s="112">
        <v>0</v>
      </c>
      <c r="AB30" s="113">
        <v>0</v>
      </c>
      <c r="AC30" s="114">
        <v>0</v>
      </c>
      <c r="AD30" s="113">
        <v>0</v>
      </c>
      <c r="AE30" s="114">
        <v>0</v>
      </c>
      <c r="AF30" s="113">
        <v>0</v>
      </c>
      <c r="AG30" s="114">
        <v>0</v>
      </c>
      <c r="AH30" s="8">
        <f t="shared" si="16"/>
        <v>0</v>
      </c>
      <c r="AI30" s="24">
        <f t="shared" si="17"/>
        <v>0</v>
      </c>
      <c r="AJ30" s="7"/>
      <c r="AK30" s="98"/>
      <c r="AL30" s="164">
        <v>0</v>
      </c>
      <c r="AM30" s="164">
        <v>0</v>
      </c>
      <c r="AN30" s="164">
        <v>0</v>
      </c>
      <c r="AO30" s="164">
        <v>0</v>
      </c>
      <c r="AP30" s="164">
        <v>0</v>
      </c>
      <c r="AQ30" s="164">
        <v>0</v>
      </c>
      <c r="AR30" s="164">
        <v>0</v>
      </c>
      <c r="AS30" s="164">
        <v>0</v>
      </c>
      <c r="AT30" s="164">
        <v>0</v>
      </c>
      <c r="AU30" s="114">
        <v>0</v>
      </c>
      <c r="AV30" s="113">
        <v>0</v>
      </c>
      <c r="AW30" s="113">
        <v>0</v>
      </c>
      <c r="AX30" s="8">
        <f t="shared" si="18"/>
        <v>0</v>
      </c>
      <c r="AY30" s="24">
        <f t="shared" si="19"/>
        <v>0</v>
      </c>
      <c r="AZ30" s="7"/>
      <c r="BA30" s="98"/>
      <c r="BB30" s="126">
        <v>0</v>
      </c>
      <c r="BC30" s="123">
        <v>0</v>
      </c>
      <c r="BD30" s="115" cm="1">
        <f t="array" ref="BD30">_xlfn.IFS($B$3="LE1 2024",R30-BB30-BC30,$B$3="LE2 2024",AH30-BB30-BC30,$B$3="LE3 2024",AX30-BB30-BC30)</f>
        <v>0</v>
      </c>
      <c r="BE30" s="98"/>
      <c r="BF30" s="113">
        <v>0</v>
      </c>
      <c r="BG30" s="114">
        <v>0</v>
      </c>
      <c r="BH30" s="113">
        <v>0</v>
      </c>
      <c r="BI30" s="114">
        <v>0</v>
      </c>
      <c r="BJ30" s="113">
        <v>0</v>
      </c>
      <c r="BK30" s="114">
        <v>0</v>
      </c>
      <c r="BL30" s="113">
        <v>0</v>
      </c>
      <c r="BM30" s="114">
        <v>0</v>
      </c>
      <c r="BN30" s="113">
        <v>0</v>
      </c>
      <c r="BO30" s="114">
        <v>0</v>
      </c>
      <c r="BP30" s="113">
        <v>0</v>
      </c>
      <c r="BQ30" s="114">
        <v>0</v>
      </c>
      <c r="BR30" s="8">
        <f t="shared" si="20"/>
        <v>0</v>
      </c>
      <c r="BS30" s="24">
        <f t="shared" si="21"/>
        <v>0</v>
      </c>
      <c r="BT30" s="7"/>
    </row>
    <row r="31" spans="2:72" s="6" customFormat="1" ht="22.15" hidden="1" customHeight="1" outlineLevel="1" x14ac:dyDescent="0.25">
      <c r="B31" s="9" t="s">
        <v>34</v>
      </c>
      <c r="C31" s="9" t="str">
        <f t="shared" si="13"/>
        <v>147900706005090</v>
      </c>
      <c r="D31" s="112">
        <v>700</v>
      </c>
      <c r="E31" s="112">
        <v>0</v>
      </c>
      <c r="F31" s="113">
        <v>300</v>
      </c>
      <c r="G31" s="114">
        <v>0</v>
      </c>
      <c r="H31" s="113">
        <v>0</v>
      </c>
      <c r="I31" s="114">
        <v>0</v>
      </c>
      <c r="J31" s="113">
        <v>0</v>
      </c>
      <c r="K31" s="114">
        <v>0</v>
      </c>
      <c r="L31" s="113">
        <v>0</v>
      </c>
      <c r="M31" s="114">
        <v>0</v>
      </c>
      <c r="N31" s="113">
        <v>0</v>
      </c>
      <c r="O31" s="114">
        <v>0</v>
      </c>
      <c r="P31" s="113">
        <v>0</v>
      </c>
      <c r="Q31" s="114">
        <v>0</v>
      </c>
      <c r="R31" s="8">
        <f t="shared" si="22"/>
        <v>300</v>
      </c>
      <c r="S31" s="24">
        <f t="shared" si="23"/>
        <v>300</v>
      </c>
      <c r="T31" s="7"/>
      <c r="U31" s="5"/>
      <c r="V31" s="112">
        <v>300</v>
      </c>
      <c r="W31" s="112">
        <v>0</v>
      </c>
      <c r="X31" s="112">
        <v>0</v>
      </c>
      <c r="Y31" s="112">
        <v>0</v>
      </c>
      <c r="Z31" s="112">
        <v>0</v>
      </c>
      <c r="AA31" s="112">
        <v>0</v>
      </c>
      <c r="AB31" s="113">
        <v>0</v>
      </c>
      <c r="AC31" s="114">
        <v>0</v>
      </c>
      <c r="AD31" s="113">
        <v>0</v>
      </c>
      <c r="AE31" s="114">
        <v>0</v>
      </c>
      <c r="AF31" s="113">
        <v>0</v>
      </c>
      <c r="AG31" s="114">
        <v>0</v>
      </c>
      <c r="AH31" s="8">
        <f t="shared" si="16"/>
        <v>300</v>
      </c>
      <c r="AI31" s="24">
        <f t="shared" si="17"/>
        <v>0</v>
      </c>
      <c r="AJ31" s="7"/>
      <c r="AK31" s="98"/>
      <c r="AL31" s="164">
        <v>300</v>
      </c>
      <c r="AM31" s="164">
        <v>0</v>
      </c>
      <c r="AN31" s="164">
        <v>0</v>
      </c>
      <c r="AO31" s="164">
        <v>0</v>
      </c>
      <c r="AP31" s="164">
        <v>0</v>
      </c>
      <c r="AQ31" s="164">
        <v>0</v>
      </c>
      <c r="AR31" s="164">
        <v>0</v>
      </c>
      <c r="AS31" s="164">
        <v>0</v>
      </c>
      <c r="AT31" s="164">
        <v>0</v>
      </c>
      <c r="AU31" s="114">
        <v>0</v>
      </c>
      <c r="AV31" s="113">
        <v>0</v>
      </c>
      <c r="AW31" s="113">
        <v>0</v>
      </c>
      <c r="AX31" s="8">
        <f t="shared" si="18"/>
        <v>300</v>
      </c>
      <c r="AY31" s="24">
        <f t="shared" si="19"/>
        <v>0</v>
      </c>
      <c r="AZ31" s="7"/>
      <c r="BA31" s="98"/>
      <c r="BB31" s="126">
        <v>300</v>
      </c>
      <c r="BC31" s="123">
        <v>0</v>
      </c>
      <c r="BD31" s="115" cm="1">
        <f t="array" ref="BD31">_xlfn.IFS($B$3="LE1 2024",R31-BB31-BC31,$B$3="LE2 2024",AH31-BB31-BC31,$B$3="LE3 2024",AX31-BB31-BC31)</f>
        <v>0</v>
      </c>
      <c r="BE31" s="98"/>
      <c r="BF31" s="113">
        <v>300</v>
      </c>
      <c r="BG31" s="114">
        <v>0</v>
      </c>
      <c r="BH31" s="113">
        <v>0</v>
      </c>
      <c r="BI31" s="114">
        <v>0</v>
      </c>
      <c r="BJ31" s="113">
        <v>0</v>
      </c>
      <c r="BK31" s="114">
        <v>0</v>
      </c>
      <c r="BL31" s="113">
        <v>1200</v>
      </c>
      <c r="BM31" s="114">
        <v>0</v>
      </c>
      <c r="BN31" s="113">
        <v>0</v>
      </c>
      <c r="BO31" s="114">
        <v>300</v>
      </c>
      <c r="BP31" s="113">
        <v>0</v>
      </c>
      <c r="BQ31" s="114">
        <v>0</v>
      </c>
      <c r="BR31" s="8">
        <f t="shared" si="20"/>
        <v>1800</v>
      </c>
      <c r="BS31" s="24">
        <f t="shared" si="21"/>
        <v>1500</v>
      </c>
      <c r="BT31" s="7"/>
    </row>
    <row r="32" spans="2:72" s="6" customFormat="1" ht="22.15" hidden="1" customHeight="1" outlineLevel="1" x14ac:dyDescent="0.25">
      <c r="B32" s="9" t="s">
        <v>33</v>
      </c>
      <c r="C32" s="9" t="str">
        <f t="shared" si="13"/>
        <v>147900706005100</v>
      </c>
      <c r="D32" s="112">
        <v>0</v>
      </c>
      <c r="E32" s="112">
        <v>0</v>
      </c>
      <c r="F32" s="113">
        <v>0</v>
      </c>
      <c r="G32" s="114">
        <v>0</v>
      </c>
      <c r="H32" s="113">
        <v>0</v>
      </c>
      <c r="I32" s="114">
        <v>0</v>
      </c>
      <c r="J32" s="113">
        <v>0</v>
      </c>
      <c r="K32" s="114">
        <v>0</v>
      </c>
      <c r="L32" s="113">
        <v>0</v>
      </c>
      <c r="M32" s="114">
        <v>0</v>
      </c>
      <c r="N32" s="113">
        <v>0</v>
      </c>
      <c r="O32" s="114">
        <v>0</v>
      </c>
      <c r="P32" s="113">
        <v>0</v>
      </c>
      <c r="Q32" s="114">
        <v>0</v>
      </c>
      <c r="R32" s="8">
        <f t="shared" si="22"/>
        <v>0</v>
      </c>
      <c r="S32" s="24">
        <f t="shared" si="23"/>
        <v>0</v>
      </c>
      <c r="T32" s="7"/>
      <c r="U32" s="5"/>
      <c r="V32" s="112">
        <v>0</v>
      </c>
      <c r="W32" s="112">
        <v>0</v>
      </c>
      <c r="X32" s="112">
        <v>0</v>
      </c>
      <c r="Y32" s="112">
        <v>0</v>
      </c>
      <c r="Z32" s="112">
        <v>0</v>
      </c>
      <c r="AA32" s="112">
        <v>0</v>
      </c>
      <c r="AB32" s="113">
        <v>0</v>
      </c>
      <c r="AC32" s="114">
        <v>0</v>
      </c>
      <c r="AD32" s="113">
        <v>0</v>
      </c>
      <c r="AE32" s="114">
        <v>0</v>
      </c>
      <c r="AF32" s="113">
        <v>0</v>
      </c>
      <c r="AG32" s="114">
        <v>0</v>
      </c>
      <c r="AH32" s="8">
        <f t="shared" si="16"/>
        <v>0</v>
      </c>
      <c r="AI32" s="24">
        <f t="shared" si="17"/>
        <v>0</v>
      </c>
      <c r="AJ32" s="7"/>
      <c r="AK32" s="98"/>
      <c r="AL32" s="164">
        <v>0</v>
      </c>
      <c r="AM32" s="164">
        <v>0</v>
      </c>
      <c r="AN32" s="164">
        <v>0</v>
      </c>
      <c r="AO32" s="164">
        <v>0</v>
      </c>
      <c r="AP32" s="164">
        <v>0</v>
      </c>
      <c r="AQ32" s="164">
        <v>0</v>
      </c>
      <c r="AR32" s="164">
        <v>0</v>
      </c>
      <c r="AS32" s="164">
        <v>0</v>
      </c>
      <c r="AT32" s="164">
        <v>0</v>
      </c>
      <c r="AU32" s="114">
        <v>0</v>
      </c>
      <c r="AV32" s="113">
        <v>0</v>
      </c>
      <c r="AW32" s="113">
        <v>0</v>
      </c>
      <c r="AX32" s="8">
        <f t="shared" si="18"/>
        <v>0</v>
      </c>
      <c r="AY32" s="24">
        <f t="shared" si="19"/>
        <v>0</v>
      </c>
      <c r="AZ32" s="7"/>
      <c r="BA32" s="98"/>
      <c r="BB32" s="126">
        <v>0</v>
      </c>
      <c r="BC32" s="123">
        <v>0</v>
      </c>
      <c r="BD32" s="115" cm="1">
        <f t="array" ref="BD32">_xlfn.IFS($B$3="LE1 2024",R32-BB32-BC32,$B$3="LE2 2024",AH32-BB32-BC32,$B$3="LE3 2024",AX32-BB32-BC32)</f>
        <v>0</v>
      </c>
      <c r="BE32" s="98"/>
      <c r="BF32" s="113">
        <v>0</v>
      </c>
      <c r="BG32" s="114">
        <v>0</v>
      </c>
      <c r="BH32" s="113">
        <v>0</v>
      </c>
      <c r="BI32" s="114">
        <v>0</v>
      </c>
      <c r="BJ32" s="113">
        <v>0</v>
      </c>
      <c r="BK32" s="114">
        <v>0</v>
      </c>
      <c r="BL32" s="113">
        <v>0</v>
      </c>
      <c r="BM32" s="114">
        <v>0</v>
      </c>
      <c r="BN32" s="113">
        <v>0</v>
      </c>
      <c r="BO32" s="114">
        <v>0</v>
      </c>
      <c r="BP32" s="113">
        <v>0</v>
      </c>
      <c r="BQ32" s="114">
        <v>0</v>
      </c>
      <c r="BR32" s="8">
        <f t="shared" si="20"/>
        <v>0</v>
      </c>
      <c r="BS32" s="24">
        <f t="shared" si="21"/>
        <v>0</v>
      </c>
      <c r="BT32" s="7"/>
    </row>
    <row r="33" spans="2:72" s="6" customFormat="1" ht="22.15" hidden="1" customHeight="1" outlineLevel="1" x14ac:dyDescent="0.25">
      <c r="B33" s="9" t="s">
        <v>32</v>
      </c>
      <c r="C33" s="9" t="str">
        <f t="shared" si="13"/>
        <v>147900706005110</v>
      </c>
      <c r="D33" s="112">
        <v>0</v>
      </c>
      <c r="E33" s="112">
        <v>0</v>
      </c>
      <c r="F33" s="113">
        <v>0</v>
      </c>
      <c r="G33" s="114">
        <v>0</v>
      </c>
      <c r="H33" s="113">
        <v>0</v>
      </c>
      <c r="I33" s="114">
        <v>0</v>
      </c>
      <c r="J33" s="113">
        <v>0</v>
      </c>
      <c r="K33" s="114">
        <v>0</v>
      </c>
      <c r="L33" s="113">
        <v>0</v>
      </c>
      <c r="M33" s="114">
        <v>0</v>
      </c>
      <c r="N33" s="113">
        <v>0</v>
      </c>
      <c r="O33" s="114">
        <v>0</v>
      </c>
      <c r="P33" s="113">
        <v>0</v>
      </c>
      <c r="Q33" s="114">
        <v>0</v>
      </c>
      <c r="R33" s="8">
        <f t="shared" si="22"/>
        <v>0</v>
      </c>
      <c r="S33" s="24">
        <f t="shared" si="23"/>
        <v>0</v>
      </c>
      <c r="T33" s="7"/>
      <c r="U33" s="5"/>
      <c r="V33" s="112">
        <v>0</v>
      </c>
      <c r="W33" s="112">
        <v>0</v>
      </c>
      <c r="X33" s="112">
        <v>0</v>
      </c>
      <c r="Y33" s="112">
        <v>0</v>
      </c>
      <c r="Z33" s="112">
        <v>0</v>
      </c>
      <c r="AA33" s="112">
        <v>0</v>
      </c>
      <c r="AB33" s="113">
        <v>0</v>
      </c>
      <c r="AC33" s="114">
        <v>0</v>
      </c>
      <c r="AD33" s="113">
        <v>0</v>
      </c>
      <c r="AE33" s="114">
        <v>0</v>
      </c>
      <c r="AF33" s="113">
        <v>0</v>
      </c>
      <c r="AG33" s="114">
        <v>0</v>
      </c>
      <c r="AH33" s="8">
        <f t="shared" si="16"/>
        <v>0</v>
      </c>
      <c r="AI33" s="24">
        <f t="shared" si="17"/>
        <v>0</v>
      </c>
      <c r="AJ33" s="7"/>
      <c r="AK33" s="98"/>
      <c r="AL33" s="164">
        <v>0</v>
      </c>
      <c r="AM33" s="164">
        <v>0</v>
      </c>
      <c r="AN33" s="164">
        <v>0</v>
      </c>
      <c r="AO33" s="164">
        <v>0</v>
      </c>
      <c r="AP33" s="164">
        <v>0</v>
      </c>
      <c r="AQ33" s="164">
        <v>0</v>
      </c>
      <c r="AR33" s="164">
        <v>0</v>
      </c>
      <c r="AS33" s="164">
        <v>0</v>
      </c>
      <c r="AT33" s="164">
        <v>0</v>
      </c>
      <c r="AU33" s="114">
        <v>0</v>
      </c>
      <c r="AV33" s="113">
        <v>0</v>
      </c>
      <c r="AW33" s="113">
        <v>0</v>
      </c>
      <c r="AX33" s="8">
        <f t="shared" si="18"/>
        <v>0</v>
      </c>
      <c r="AY33" s="24">
        <f t="shared" si="19"/>
        <v>0</v>
      </c>
      <c r="AZ33" s="7"/>
      <c r="BA33" s="98"/>
      <c r="BB33" s="126">
        <v>0</v>
      </c>
      <c r="BC33" s="123">
        <v>0</v>
      </c>
      <c r="BD33" s="115" cm="1">
        <f t="array" ref="BD33">_xlfn.IFS($B$3="LE1 2024",R33-BB33-BC33,$B$3="LE2 2024",AH33-BB33-BC33,$B$3="LE3 2024",AX33-BB33-BC33)</f>
        <v>0</v>
      </c>
      <c r="BE33" s="98"/>
      <c r="BF33" s="113">
        <v>0</v>
      </c>
      <c r="BG33" s="114">
        <v>0</v>
      </c>
      <c r="BH33" s="113">
        <v>0</v>
      </c>
      <c r="BI33" s="114">
        <v>0</v>
      </c>
      <c r="BJ33" s="113">
        <v>0</v>
      </c>
      <c r="BK33" s="114">
        <v>0</v>
      </c>
      <c r="BL33" s="113">
        <v>0</v>
      </c>
      <c r="BM33" s="114">
        <v>0</v>
      </c>
      <c r="BN33" s="113">
        <v>0</v>
      </c>
      <c r="BO33" s="114">
        <v>0</v>
      </c>
      <c r="BP33" s="113">
        <v>0</v>
      </c>
      <c r="BQ33" s="114">
        <v>0</v>
      </c>
      <c r="BR33" s="8">
        <f t="shared" si="20"/>
        <v>0</v>
      </c>
      <c r="BS33" s="24">
        <f t="shared" si="21"/>
        <v>0</v>
      </c>
      <c r="BT33" s="7"/>
    </row>
    <row r="34" spans="2:72" s="6" customFormat="1" ht="22.15" hidden="1" customHeight="1" outlineLevel="1" x14ac:dyDescent="0.25">
      <c r="B34" s="9" t="s">
        <v>31</v>
      </c>
      <c r="C34" s="9" t="str">
        <f t="shared" si="13"/>
        <v>147900706005130</v>
      </c>
      <c r="D34" s="112">
        <v>0</v>
      </c>
      <c r="E34" s="112">
        <v>0</v>
      </c>
      <c r="F34" s="113">
        <v>0</v>
      </c>
      <c r="G34" s="114">
        <v>0</v>
      </c>
      <c r="H34" s="113">
        <v>0</v>
      </c>
      <c r="I34" s="114">
        <v>0</v>
      </c>
      <c r="J34" s="113">
        <v>0</v>
      </c>
      <c r="K34" s="114">
        <v>0</v>
      </c>
      <c r="L34" s="113">
        <v>0</v>
      </c>
      <c r="M34" s="114">
        <v>0</v>
      </c>
      <c r="N34" s="113">
        <v>0</v>
      </c>
      <c r="O34" s="114">
        <v>0</v>
      </c>
      <c r="P34" s="113">
        <v>0</v>
      </c>
      <c r="Q34" s="114">
        <v>0</v>
      </c>
      <c r="R34" s="8">
        <f t="shared" si="22"/>
        <v>0</v>
      </c>
      <c r="S34" s="24">
        <f t="shared" si="23"/>
        <v>0</v>
      </c>
      <c r="T34" s="7"/>
      <c r="U34" s="5"/>
      <c r="V34" s="112">
        <v>0</v>
      </c>
      <c r="W34" s="112">
        <v>0</v>
      </c>
      <c r="X34" s="112">
        <v>0</v>
      </c>
      <c r="Y34" s="112">
        <v>0</v>
      </c>
      <c r="Z34" s="112">
        <v>0</v>
      </c>
      <c r="AA34" s="112">
        <v>0</v>
      </c>
      <c r="AB34" s="113">
        <v>0</v>
      </c>
      <c r="AC34" s="114">
        <v>0</v>
      </c>
      <c r="AD34" s="113">
        <v>0</v>
      </c>
      <c r="AE34" s="114">
        <v>0</v>
      </c>
      <c r="AF34" s="113">
        <v>0</v>
      </c>
      <c r="AG34" s="114">
        <v>0</v>
      </c>
      <c r="AH34" s="8">
        <f t="shared" si="16"/>
        <v>0</v>
      </c>
      <c r="AI34" s="24">
        <f t="shared" si="17"/>
        <v>0</v>
      </c>
      <c r="AJ34" s="7"/>
      <c r="AK34" s="98"/>
      <c r="AL34" s="164">
        <v>0</v>
      </c>
      <c r="AM34" s="164">
        <v>0</v>
      </c>
      <c r="AN34" s="164">
        <v>0</v>
      </c>
      <c r="AO34" s="164">
        <v>0</v>
      </c>
      <c r="AP34" s="164">
        <v>0</v>
      </c>
      <c r="AQ34" s="164">
        <v>0</v>
      </c>
      <c r="AR34" s="164">
        <v>0</v>
      </c>
      <c r="AS34" s="164">
        <v>0</v>
      </c>
      <c r="AT34" s="164">
        <v>0</v>
      </c>
      <c r="AU34" s="114">
        <v>0</v>
      </c>
      <c r="AV34" s="113">
        <v>0</v>
      </c>
      <c r="AW34" s="113">
        <v>0</v>
      </c>
      <c r="AX34" s="8">
        <f t="shared" si="18"/>
        <v>0</v>
      </c>
      <c r="AY34" s="24">
        <f t="shared" si="19"/>
        <v>0</v>
      </c>
      <c r="AZ34" s="7"/>
      <c r="BA34" s="98"/>
      <c r="BB34" s="126">
        <v>80747.66</v>
      </c>
      <c r="BC34" s="123">
        <v>0</v>
      </c>
      <c r="BD34" s="115" cm="1">
        <f t="array" ref="BD34">_xlfn.IFS($B$3="LE1 2024",R34-BB34-BC34,$B$3="LE2 2024",AH34-BB34-BC34,$B$3="LE3 2024",AX34-BB34-BC34)</f>
        <v>-80747.66</v>
      </c>
      <c r="BE34" s="98"/>
      <c r="BF34" s="113">
        <v>0</v>
      </c>
      <c r="BG34" s="114">
        <v>0</v>
      </c>
      <c r="BH34" s="113">
        <v>0</v>
      </c>
      <c r="BI34" s="114">
        <v>0</v>
      </c>
      <c r="BJ34" s="113">
        <v>0</v>
      </c>
      <c r="BK34" s="114">
        <v>0</v>
      </c>
      <c r="BL34" s="113">
        <v>0</v>
      </c>
      <c r="BM34" s="114">
        <v>0</v>
      </c>
      <c r="BN34" s="113">
        <v>0</v>
      </c>
      <c r="BO34" s="114">
        <v>0</v>
      </c>
      <c r="BP34" s="113">
        <v>0</v>
      </c>
      <c r="BQ34" s="114">
        <v>0</v>
      </c>
      <c r="BR34" s="8">
        <f t="shared" si="20"/>
        <v>0</v>
      </c>
      <c r="BS34" s="24">
        <f t="shared" si="21"/>
        <v>0</v>
      </c>
      <c r="BT34" s="7"/>
    </row>
    <row r="35" spans="2:72" s="6" customFormat="1" ht="22.15" hidden="1" customHeight="1" outlineLevel="1" x14ac:dyDescent="0.25">
      <c r="B35" s="9" t="s">
        <v>30</v>
      </c>
      <c r="C35" s="9" t="str">
        <f t="shared" si="13"/>
        <v>147900706006000</v>
      </c>
      <c r="D35" s="112">
        <v>54082.6</v>
      </c>
      <c r="E35" s="112">
        <v>52089.4</v>
      </c>
      <c r="F35" s="113">
        <v>0</v>
      </c>
      <c r="G35" s="114">
        <v>0</v>
      </c>
      <c r="H35" s="113">
        <v>27146.87</v>
      </c>
      <c r="I35" s="114">
        <v>24942.53</v>
      </c>
      <c r="J35" s="113">
        <v>0</v>
      </c>
      <c r="K35" s="114">
        <v>0</v>
      </c>
      <c r="L35" s="113">
        <v>0</v>
      </c>
      <c r="M35" s="114">
        <v>0</v>
      </c>
      <c r="N35" s="113">
        <v>0</v>
      </c>
      <c r="O35" s="114">
        <v>0</v>
      </c>
      <c r="P35" s="113">
        <v>0</v>
      </c>
      <c r="Q35" s="114">
        <v>0</v>
      </c>
      <c r="R35" s="8">
        <f t="shared" si="22"/>
        <v>52089.399999999994</v>
      </c>
      <c r="S35" s="24">
        <f t="shared" si="23"/>
        <v>0</v>
      </c>
      <c r="T35" s="7"/>
      <c r="U35" s="5"/>
      <c r="V35" s="112">
        <v>0</v>
      </c>
      <c r="W35" s="112">
        <v>0</v>
      </c>
      <c r="X35" s="112">
        <v>27146.87</v>
      </c>
      <c r="Y35" s="112">
        <v>0</v>
      </c>
      <c r="Z35" s="112">
        <v>0</v>
      </c>
      <c r="AA35" s="112">
        <v>0</v>
      </c>
      <c r="AB35" s="113">
        <v>23216.13</v>
      </c>
      <c r="AC35" s="114">
        <v>0</v>
      </c>
      <c r="AD35" s="113">
        <v>0</v>
      </c>
      <c r="AE35" s="114">
        <v>0</v>
      </c>
      <c r="AF35" s="113">
        <v>0</v>
      </c>
      <c r="AG35" s="114">
        <v>0</v>
      </c>
      <c r="AH35" s="8">
        <f t="shared" si="16"/>
        <v>50363</v>
      </c>
      <c r="AI35" s="24">
        <f t="shared" si="17"/>
        <v>-1726.3999999999942</v>
      </c>
      <c r="AJ35" s="7"/>
      <c r="AK35" s="98"/>
      <c r="AL35" s="164">
        <v>0</v>
      </c>
      <c r="AM35" s="164">
        <v>0</v>
      </c>
      <c r="AN35" s="164">
        <v>27146.87</v>
      </c>
      <c r="AO35" s="164">
        <v>0</v>
      </c>
      <c r="AP35" s="164">
        <v>0</v>
      </c>
      <c r="AQ35" s="164">
        <v>0</v>
      </c>
      <c r="AR35" s="164">
        <v>17500</v>
      </c>
      <c r="AS35" s="164">
        <v>0</v>
      </c>
      <c r="AT35" s="164">
        <v>0</v>
      </c>
      <c r="AU35" s="114">
        <v>0</v>
      </c>
      <c r="AV35" s="113">
        <v>0</v>
      </c>
      <c r="AW35" s="113">
        <v>0</v>
      </c>
      <c r="AX35" s="8">
        <f t="shared" si="18"/>
        <v>44646.869999999995</v>
      </c>
      <c r="AY35" s="24">
        <f t="shared" si="19"/>
        <v>-5716.1300000000047</v>
      </c>
      <c r="AZ35" s="7"/>
      <c r="BA35" s="98"/>
      <c r="BB35" s="126">
        <v>62009.869999999995</v>
      </c>
      <c r="BC35" s="123">
        <v>0</v>
      </c>
      <c r="BD35" s="115" cm="1">
        <f t="array" ref="BD35">_xlfn.IFS($B$3="LE1 2024",R35-BB35-BC35,$B$3="LE2 2024",AH35-BB35-BC35,$B$3="LE3 2024",AX35-BB35-BC35)</f>
        <v>-17363</v>
      </c>
      <c r="BE35" s="98"/>
      <c r="BF35" s="113">
        <v>0</v>
      </c>
      <c r="BG35" s="114">
        <v>0</v>
      </c>
      <c r="BH35" s="113">
        <v>49926.400000000001</v>
      </c>
      <c r="BI35" s="114">
        <v>0</v>
      </c>
      <c r="BJ35" s="113">
        <v>0</v>
      </c>
      <c r="BK35" s="114">
        <v>0</v>
      </c>
      <c r="BL35" s="113">
        <v>0</v>
      </c>
      <c r="BM35" s="114">
        <v>0</v>
      </c>
      <c r="BN35" s="113">
        <v>0</v>
      </c>
      <c r="BO35" s="114">
        <v>0</v>
      </c>
      <c r="BP35" s="113">
        <v>0</v>
      </c>
      <c r="BQ35" s="114">
        <v>0</v>
      </c>
      <c r="BR35" s="8">
        <f t="shared" si="20"/>
        <v>49926.400000000001</v>
      </c>
      <c r="BS35" s="24">
        <f t="shared" si="21"/>
        <v>-436.59999999999854</v>
      </c>
      <c r="BT35" s="7"/>
    </row>
    <row r="36" spans="2:72" s="6" customFormat="1" ht="22.15" hidden="1" customHeight="1" outlineLevel="1" x14ac:dyDescent="0.25">
      <c r="B36" s="9" t="s">
        <v>29</v>
      </c>
      <c r="C36" s="9" t="str">
        <f t="shared" si="13"/>
        <v>147900706006030</v>
      </c>
      <c r="D36" s="112">
        <v>1340.07</v>
      </c>
      <c r="E36" s="112">
        <v>1442.626835466667</v>
      </c>
      <c r="F36" s="113">
        <v>0</v>
      </c>
      <c r="G36" s="114">
        <v>1557.68</v>
      </c>
      <c r="H36" s="113">
        <v>0</v>
      </c>
      <c r="I36" s="114">
        <v>0</v>
      </c>
      <c r="J36" s="113">
        <v>0</v>
      </c>
      <c r="K36" s="114">
        <v>0</v>
      </c>
      <c r="L36" s="113">
        <v>0</v>
      </c>
      <c r="M36" s="114">
        <v>0</v>
      </c>
      <c r="N36" s="113">
        <v>0</v>
      </c>
      <c r="O36" s="114">
        <v>0</v>
      </c>
      <c r="P36" s="113">
        <v>0</v>
      </c>
      <c r="Q36" s="114">
        <v>0</v>
      </c>
      <c r="R36" s="8">
        <f t="shared" si="22"/>
        <v>1557.68</v>
      </c>
      <c r="S36" s="24">
        <f t="shared" si="23"/>
        <v>115.05316453333307</v>
      </c>
      <c r="T36" s="7"/>
      <c r="U36" s="5"/>
      <c r="V36" s="112">
        <v>0</v>
      </c>
      <c r="W36" s="112">
        <v>1557.68</v>
      </c>
      <c r="X36" s="112">
        <v>0</v>
      </c>
      <c r="Y36" s="112">
        <v>0</v>
      </c>
      <c r="Z36" s="112">
        <v>0</v>
      </c>
      <c r="AA36" s="112">
        <v>0</v>
      </c>
      <c r="AB36" s="113">
        <v>0.31999999999993634</v>
      </c>
      <c r="AC36" s="114">
        <v>0</v>
      </c>
      <c r="AD36" s="113">
        <v>0</v>
      </c>
      <c r="AE36" s="114">
        <v>0</v>
      </c>
      <c r="AF36" s="113">
        <v>0</v>
      </c>
      <c r="AG36" s="114">
        <v>0</v>
      </c>
      <c r="AH36" s="8">
        <f t="shared" si="16"/>
        <v>1558</v>
      </c>
      <c r="AI36" s="24">
        <f t="shared" si="17"/>
        <v>0.31999999999993634</v>
      </c>
      <c r="AJ36" s="7"/>
      <c r="AK36" s="98"/>
      <c r="AL36" s="164">
        <v>0</v>
      </c>
      <c r="AM36" s="164">
        <v>1557.68</v>
      </c>
      <c r="AN36" s="164">
        <v>0</v>
      </c>
      <c r="AO36" s="164">
        <v>0</v>
      </c>
      <c r="AP36" s="164">
        <v>0</v>
      </c>
      <c r="AQ36" s="164">
        <v>0</v>
      </c>
      <c r="AR36" s="164">
        <v>0</v>
      </c>
      <c r="AS36" s="164">
        <v>0</v>
      </c>
      <c r="AT36" s="164">
        <v>0</v>
      </c>
      <c r="AU36" s="114">
        <v>0</v>
      </c>
      <c r="AV36" s="113">
        <v>0</v>
      </c>
      <c r="AW36" s="113">
        <v>0</v>
      </c>
      <c r="AX36" s="8">
        <f t="shared" si="18"/>
        <v>1557.68</v>
      </c>
      <c r="AY36" s="24">
        <f t="shared" si="19"/>
        <v>-0.31999999999993634</v>
      </c>
      <c r="AZ36" s="7"/>
      <c r="BA36" s="98"/>
      <c r="BB36" s="126">
        <v>1557.68</v>
      </c>
      <c r="BC36" s="123">
        <v>0</v>
      </c>
      <c r="BD36" s="115" cm="1">
        <f t="array" ref="BD36">_xlfn.IFS($B$3="LE1 2024",R36-BB36-BC36,$B$3="LE2 2024",AH36-BB36-BC36,$B$3="LE3 2024",AX36-BB36-BC36)</f>
        <v>0</v>
      </c>
      <c r="BE36" s="98"/>
      <c r="BF36" s="113">
        <v>0</v>
      </c>
      <c r="BG36" s="114">
        <v>0</v>
      </c>
      <c r="BH36" s="113">
        <v>1900</v>
      </c>
      <c r="BI36" s="114">
        <v>0</v>
      </c>
      <c r="BJ36" s="113">
        <v>0</v>
      </c>
      <c r="BK36" s="114">
        <v>0</v>
      </c>
      <c r="BL36" s="113">
        <v>0</v>
      </c>
      <c r="BM36" s="114">
        <v>0</v>
      </c>
      <c r="BN36" s="113">
        <v>0</v>
      </c>
      <c r="BO36" s="114">
        <v>0</v>
      </c>
      <c r="BP36" s="113">
        <v>0</v>
      </c>
      <c r="BQ36" s="114">
        <v>0</v>
      </c>
      <c r="BR36" s="8">
        <f t="shared" si="20"/>
        <v>1900</v>
      </c>
      <c r="BS36" s="24">
        <f t="shared" si="21"/>
        <v>342</v>
      </c>
      <c r="BT36" s="7"/>
    </row>
    <row r="37" spans="2:72" s="6" customFormat="1" ht="22.15" hidden="1" customHeight="1" outlineLevel="1" x14ac:dyDescent="0.25">
      <c r="B37" s="9" t="s">
        <v>28</v>
      </c>
      <c r="C37" s="9" t="str">
        <f t="shared" si="13"/>
        <v>147900706006050</v>
      </c>
      <c r="D37" s="112">
        <v>13963.74</v>
      </c>
      <c r="E37" s="112">
        <v>15360.114000000001</v>
      </c>
      <c r="F37" s="113">
        <v>0</v>
      </c>
      <c r="G37" s="114">
        <v>0</v>
      </c>
      <c r="H37" s="113">
        <v>0</v>
      </c>
      <c r="I37" s="114">
        <v>15360.11</v>
      </c>
      <c r="J37" s="113">
        <v>0</v>
      </c>
      <c r="K37" s="114">
        <v>0</v>
      </c>
      <c r="L37" s="113">
        <v>0</v>
      </c>
      <c r="M37" s="114">
        <v>0</v>
      </c>
      <c r="N37" s="113">
        <v>0</v>
      </c>
      <c r="O37" s="114">
        <v>0</v>
      </c>
      <c r="P37" s="113">
        <v>0</v>
      </c>
      <c r="Q37" s="114">
        <v>0</v>
      </c>
      <c r="R37" s="8">
        <f t="shared" si="22"/>
        <v>15360.11</v>
      </c>
      <c r="S37" s="24">
        <f t="shared" si="23"/>
        <v>-4.0000000008149073E-3</v>
      </c>
      <c r="T37" s="7"/>
      <c r="U37" s="5"/>
      <c r="V37" s="112">
        <v>0</v>
      </c>
      <c r="W37" s="112">
        <v>0</v>
      </c>
      <c r="X37" s="112">
        <v>0</v>
      </c>
      <c r="Y37" s="112">
        <v>0</v>
      </c>
      <c r="Z37" s="112">
        <v>16271.97</v>
      </c>
      <c r="AA37" s="112">
        <v>0</v>
      </c>
      <c r="AB37" s="113">
        <v>943.89400000000205</v>
      </c>
      <c r="AC37" s="114">
        <v>0</v>
      </c>
      <c r="AD37" s="113">
        <v>0</v>
      </c>
      <c r="AE37" s="114">
        <v>0</v>
      </c>
      <c r="AF37" s="113">
        <v>0</v>
      </c>
      <c r="AG37" s="114">
        <v>0</v>
      </c>
      <c r="AH37" s="8">
        <f t="shared" si="16"/>
        <v>17215.864000000001</v>
      </c>
      <c r="AI37" s="24">
        <f t="shared" si="17"/>
        <v>1855.7540000000008</v>
      </c>
      <c r="AJ37" s="7"/>
      <c r="AK37" s="98"/>
      <c r="AL37" s="164">
        <v>0</v>
      </c>
      <c r="AM37" s="164">
        <v>0</v>
      </c>
      <c r="AN37" s="164">
        <v>0</v>
      </c>
      <c r="AO37" s="164">
        <v>0</v>
      </c>
      <c r="AP37" s="164">
        <v>16271.97</v>
      </c>
      <c r="AQ37" s="164">
        <v>0</v>
      </c>
      <c r="AR37" s="164">
        <v>0</v>
      </c>
      <c r="AS37" s="164">
        <v>-1577.02</v>
      </c>
      <c r="AT37" s="164">
        <v>0</v>
      </c>
      <c r="AU37" s="114">
        <v>277</v>
      </c>
      <c r="AV37" s="113">
        <v>0</v>
      </c>
      <c r="AW37" s="113">
        <v>0</v>
      </c>
      <c r="AX37" s="8">
        <f t="shared" si="18"/>
        <v>14971.949999999999</v>
      </c>
      <c r="AY37" s="24">
        <f t="shared" si="19"/>
        <v>-2243.9140000000025</v>
      </c>
      <c r="AZ37" s="7"/>
      <c r="BA37" s="98"/>
      <c r="BB37" s="126">
        <v>14971.949999999999</v>
      </c>
      <c r="BC37" s="123">
        <v>0</v>
      </c>
      <c r="BD37" s="115" cm="1">
        <f t="array" ref="BD37">_xlfn.IFS($B$3="LE1 2024",R37-BB37-BC37,$B$3="LE2 2024",AH37-BB37-BC37,$B$3="LE3 2024",AX37-BB37-BC37)</f>
        <v>0</v>
      </c>
      <c r="BE37" s="98"/>
      <c r="BF37" s="113">
        <v>0</v>
      </c>
      <c r="BG37" s="114">
        <v>0</v>
      </c>
      <c r="BH37" s="113">
        <v>0</v>
      </c>
      <c r="BI37" s="114">
        <v>0</v>
      </c>
      <c r="BJ37" s="113">
        <v>17800</v>
      </c>
      <c r="BK37" s="114">
        <v>0</v>
      </c>
      <c r="BL37" s="113">
        <v>0</v>
      </c>
      <c r="BM37" s="114">
        <v>0</v>
      </c>
      <c r="BN37" s="113">
        <v>0</v>
      </c>
      <c r="BO37" s="114">
        <v>0</v>
      </c>
      <c r="BP37" s="113">
        <v>0</v>
      </c>
      <c r="BQ37" s="114">
        <v>0</v>
      </c>
      <c r="BR37" s="8">
        <f t="shared" si="20"/>
        <v>17800</v>
      </c>
      <c r="BS37" s="24">
        <f t="shared" si="21"/>
        <v>584.1359999999986</v>
      </c>
      <c r="BT37" s="7"/>
    </row>
    <row r="38" spans="2:72" s="6" customFormat="1" ht="22.15" hidden="1" customHeight="1" outlineLevel="1" x14ac:dyDescent="0.25">
      <c r="B38" s="9" t="s">
        <v>27</v>
      </c>
      <c r="C38" s="9" t="str">
        <f t="shared" si="13"/>
        <v>147900706006200</v>
      </c>
      <c r="D38" s="112">
        <v>6276.1900000000005</v>
      </c>
      <c r="E38" s="112">
        <v>5466.6666666666661</v>
      </c>
      <c r="F38" s="113">
        <v>-753.8</v>
      </c>
      <c r="G38" s="114">
        <v>1107.25</v>
      </c>
      <c r="H38" s="113">
        <v>402.51</v>
      </c>
      <c r="I38" s="114">
        <v>519.84</v>
      </c>
      <c r="J38" s="113">
        <v>519.84</v>
      </c>
      <c r="K38" s="114">
        <v>519.84</v>
      </c>
      <c r="L38" s="113">
        <v>519.84</v>
      </c>
      <c r="M38" s="114">
        <v>519.84</v>
      </c>
      <c r="N38" s="113">
        <v>519.84</v>
      </c>
      <c r="O38" s="114">
        <v>519.84</v>
      </c>
      <c r="P38" s="113">
        <v>519.84</v>
      </c>
      <c r="Q38" s="114">
        <v>519.82000000000005</v>
      </c>
      <c r="R38" s="8">
        <f t="shared" si="22"/>
        <v>5434.5000000000009</v>
      </c>
      <c r="S38" s="24">
        <f t="shared" si="23"/>
        <v>-32.166666666665151</v>
      </c>
      <c r="T38" s="7"/>
      <c r="U38" s="5"/>
      <c r="V38" s="112">
        <v>-753.8</v>
      </c>
      <c r="W38" s="112">
        <v>1107.25</v>
      </c>
      <c r="X38" s="112">
        <v>402.51</v>
      </c>
      <c r="Y38" s="112">
        <v>864.19</v>
      </c>
      <c r="Z38" s="112">
        <v>0</v>
      </c>
      <c r="AA38" s="112">
        <v>971.04</v>
      </c>
      <c r="AB38" s="113">
        <v>605.64</v>
      </c>
      <c r="AC38" s="114">
        <v>605.64</v>
      </c>
      <c r="AD38" s="113">
        <v>605.64</v>
      </c>
      <c r="AE38" s="114">
        <v>605.64</v>
      </c>
      <c r="AF38" s="113">
        <v>605.64</v>
      </c>
      <c r="AG38" s="114">
        <v>605.60999999999967</v>
      </c>
      <c r="AH38" s="8">
        <f t="shared" si="16"/>
        <v>6225</v>
      </c>
      <c r="AI38" s="24">
        <f t="shared" si="17"/>
        <v>790.49999999999909</v>
      </c>
      <c r="AJ38" s="7"/>
      <c r="AK38" s="98"/>
      <c r="AL38" s="164">
        <v>-753.8</v>
      </c>
      <c r="AM38" s="164">
        <v>1107.25</v>
      </c>
      <c r="AN38" s="164">
        <v>402.51</v>
      </c>
      <c r="AO38" s="164">
        <v>864.19</v>
      </c>
      <c r="AP38" s="164">
        <v>0</v>
      </c>
      <c r="AQ38" s="164">
        <v>971.04</v>
      </c>
      <c r="AR38" s="164">
        <v>0</v>
      </c>
      <c r="AS38" s="164">
        <v>40.5</v>
      </c>
      <c r="AT38" s="164">
        <v>0</v>
      </c>
      <c r="AU38" s="114">
        <v>1172.77</v>
      </c>
      <c r="AV38" s="113">
        <v>1172.77</v>
      </c>
      <c r="AW38" s="113">
        <v>1172.7700000000004</v>
      </c>
      <c r="AX38" s="8">
        <f t="shared" si="18"/>
        <v>6150</v>
      </c>
      <c r="AY38" s="24">
        <f t="shared" si="19"/>
        <v>-75</v>
      </c>
      <c r="AZ38" s="7"/>
      <c r="BA38" s="98"/>
      <c r="BB38" s="126">
        <v>6177.2300000000005</v>
      </c>
      <c r="BC38" s="123">
        <v>0</v>
      </c>
      <c r="BD38" s="115" cm="1">
        <f t="array" ref="BD38">_xlfn.IFS($B$3="LE1 2024",R38-BB38-BC38,$B$3="LE2 2024",AH38-BB38-BC38,$B$3="LE3 2024",AX38-BB38-BC38)</f>
        <v>-27.230000000000473</v>
      </c>
      <c r="BE38" s="98"/>
      <c r="BF38" s="113">
        <v>475</v>
      </c>
      <c r="BG38" s="114">
        <v>475</v>
      </c>
      <c r="BH38" s="113">
        <v>475</v>
      </c>
      <c r="BI38" s="114">
        <v>475</v>
      </c>
      <c r="BJ38" s="113">
        <v>475</v>
      </c>
      <c r="BK38" s="114">
        <v>475</v>
      </c>
      <c r="BL38" s="113">
        <v>475</v>
      </c>
      <c r="BM38" s="114">
        <v>475</v>
      </c>
      <c r="BN38" s="113">
        <v>475</v>
      </c>
      <c r="BO38" s="114">
        <v>475</v>
      </c>
      <c r="BP38" s="113">
        <v>475</v>
      </c>
      <c r="BQ38" s="114">
        <v>475</v>
      </c>
      <c r="BR38" s="8">
        <f t="shared" si="20"/>
        <v>5700</v>
      </c>
      <c r="BS38" s="24">
        <f t="shared" si="21"/>
        <v>-525</v>
      </c>
      <c r="BT38" s="7"/>
    </row>
    <row r="39" spans="2:72" s="6" customFormat="1" ht="22.15" hidden="1" customHeight="1" outlineLevel="1" x14ac:dyDescent="0.25">
      <c r="B39" s="9" t="s">
        <v>26</v>
      </c>
      <c r="C39" s="9" t="str">
        <f t="shared" si="13"/>
        <v>147900706006210</v>
      </c>
      <c r="D39" s="112">
        <v>134.67999999999998</v>
      </c>
      <c r="E39" s="112">
        <v>4920</v>
      </c>
      <c r="F39" s="113">
        <v>31.66</v>
      </c>
      <c r="G39" s="114">
        <v>55.18</v>
      </c>
      <c r="H39" s="113">
        <v>58.06</v>
      </c>
      <c r="I39" s="114">
        <v>520.57000000000005</v>
      </c>
      <c r="J39" s="113">
        <v>520.57000000000005</v>
      </c>
      <c r="K39" s="114">
        <v>520.57000000000005</v>
      </c>
      <c r="L39" s="113">
        <v>520.57000000000005</v>
      </c>
      <c r="M39" s="114">
        <v>520.57000000000005</v>
      </c>
      <c r="N39" s="113">
        <v>520.57000000000005</v>
      </c>
      <c r="O39" s="114">
        <v>520.57000000000005</v>
      </c>
      <c r="P39" s="113">
        <v>520.57000000000005</v>
      </c>
      <c r="Q39" s="114">
        <v>520.54</v>
      </c>
      <c r="R39" s="8">
        <f t="shared" si="22"/>
        <v>4830.0000000000009</v>
      </c>
      <c r="S39" s="24">
        <f t="shared" si="23"/>
        <v>-89.999999999999091</v>
      </c>
      <c r="T39" s="7"/>
      <c r="U39" s="5"/>
      <c r="V39" s="112">
        <v>31.66</v>
      </c>
      <c r="W39" s="112">
        <v>55.18</v>
      </c>
      <c r="X39" s="112">
        <v>58.06</v>
      </c>
      <c r="Y39" s="112">
        <v>169.75</v>
      </c>
      <c r="Z39" s="112">
        <v>182.91</v>
      </c>
      <c r="AA39" s="112">
        <v>174.42999999999998</v>
      </c>
      <c r="AB39" s="113">
        <v>698</v>
      </c>
      <c r="AC39" s="114">
        <v>698</v>
      </c>
      <c r="AD39" s="113">
        <v>698</v>
      </c>
      <c r="AE39" s="114">
        <v>698</v>
      </c>
      <c r="AF39" s="113">
        <v>698</v>
      </c>
      <c r="AG39" s="114">
        <v>698.01000000000022</v>
      </c>
      <c r="AH39" s="8">
        <f t="shared" si="16"/>
        <v>4860</v>
      </c>
      <c r="AI39" s="24">
        <f t="shared" si="17"/>
        <v>29.999999999999091</v>
      </c>
      <c r="AJ39" s="7"/>
      <c r="AK39" s="98"/>
      <c r="AL39" s="164">
        <v>31.66</v>
      </c>
      <c r="AM39" s="164">
        <v>55.18</v>
      </c>
      <c r="AN39" s="164">
        <v>58.06</v>
      </c>
      <c r="AO39" s="164">
        <v>169.75</v>
      </c>
      <c r="AP39" s="164">
        <v>182.91</v>
      </c>
      <c r="AQ39" s="164">
        <v>174.43</v>
      </c>
      <c r="AR39" s="164">
        <v>49.11</v>
      </c>
      <c r="AS39" s="164">
        <v>46.44</v>
      </c>
      <c r="AT39" s="164">
        <v>92.74</v>
      </c>
      <c r="AU39" s="114">
        <v>1313.24</v>
      </c>
      <c r="AV39" s="113">
        <v>1313.24</v>
      </c>
      <c r="AW39" s="113">
        <v>1313.2399999999998</v>
      </c>
      <c r="AX39" s="8">
        <f t="shared" si="18"/>
        <v>4800</v>
      </c>
      <c r="AY39" s="24">
        <f t="shared" si="19"/>
        <v>-60</v>
      </c>
      <c r="AZ39" s="7"/>
      <c r="BA39" s="98"/>
      <c r="BB39" s="126">
        <v>1051.9000000000001</v>
      </c>
      <c r="BC39" s="123">
        <v>0</v>
      </c>
      <c r="BD39" s="115" cm="1">
        <f t="array" ref="BD39">_xlfn.IFS($B$3="LE1 2024",R39-BB39-BC39,$B$3="LE2 2024",AH39-BB39-BC39,$B$3="LE3 2024",AX39-BB39-BC39)</f>
        <v>3748.1</v>
      </c>
      <c r="BE39" s="98"/>
      <c r="BF39" s="113">
        <v>380</v>
      </c>
      <c r="BG39" s="114">
        <v>380</v>
      </c>
      <c r="BH39" s="113">
        <v>380</v>
      </c>
      <c r="BI39" s="114">
        <v>380</v>
      </c>
      <c r="BJ39" s="113">
        <v>380</v>
      </c>
      <c r="BK39" s="114">
        <v>380</v>
      </c>
      <c r="BL39" s="113">
        <v>380</v>
      </c>
      <c r="BM39" s="114">
        <v>380</v>
      </c>
      <c r="BN39" s="113">
        <v>380</v>
      </c>
      <c r="BO39" s="114">
        <v>380</v>
      </c>
      <c r="BP39" s="113">
        <v>380</v>
      </c>
      <c r="BQ39" s="114">
        <v>380</v>
      </c>
      <c r="BR39" s="8">
        <f t="shared" si="20"/>
        <v>4560</v>
      </c>
      <c r="BS39" s="24">
        <f t="shared" si="21"/>
        <v>-300</v>
      </c>
      <c r="BT39" s="7"/>
    </row>
    <row r="40" spans="2:72" s="6" customFormat="1" ht="22.15" hidden="1" customHeight="1" outlineLevel="1" x14ac:dyDescent="0.25">
      <c r="B40" s="9" t="s">
        <v>25</v>
      </c>
      <c r="C40" s="9" t="str">
        <f t="shared" si="13"/>
        <v>147900706006220</v>
      </c>
      <c r="D40" s="112">
        <v>34923.81</v>
      </c>
      <c r="E40" s="112">
        <v>35120</v>
      </c>
      <c r="F40" s="113">
        <v>2880</v>
      </c>
      <c r="G40" s="114">
        <v>2880</v>
      </c>
      <c r="H40" s="113">
        <v>2880</v>
      </c>
      <c r="I40" s="114">
        <v>2960</v>
      </c>
      <c r="J40" s="113">
        <v>2960</v>
      </c>
      <c r="K40" s="114">
        <v>2960</v>
      </c>
      <c r="L40" s="113">
        <v>2960</v>
      </c>
      <c r="M40" s="114">
        <v>2960</v>
      </c>
      <c r="N40" s="113">
        <v>2960</v>
      </c>
      <c r="O40" s="114">
        <v>2960</v>
      </c>
      <c r="P40" s="113">
        <v>2880</v>
      </c>
      <c r="Q40" s="114">
        <v>2880</v>
      </c>
      <c r="R40" s="8">
        <f t="shared" si="22"/>
        <v>35120</v>
      </c>
      <c r="S40" s="24">
        <f t="shared" si="23"/>
        <v>0</v>
      </c>
      <c r="T40" s="7"/>
      <c r="U40" s="5"/>
      <c r="V40" s="112">
        <v>2880</v>
      </c>
      <c r="W40" s="112">
        <v>2880</v>
      </c>
      <c r="X40" s="112">
        <v>2880</v>
      </c>
      <c r="Y40" s="112">
        <v>2923.64</v>
      </c>
      <c r="Z40" s="112">
        <v>2960</v>
      </c>
      <c r="AA40" s="112">
        <v>2960</v>
      </c>
      <c r="AB40" s="113">
        <v>2960</v>
      </c>
      <c r="AC40" s="114">
        <v>2960</v>
      </c>
      <c r="AD40" s="113">
        <v>2960</v>
      </c>
      <c r="AE40" s="114">
        <v>5718.666666666667</v>
      </c>
      <c r="AF40" s="113">
        <v>5718.666666666667</v>
      </c>
      <c r="AG40" s="114">
        <v>5719.0266666666648</v>
      </c>
      <c r="AH40" s="8">
        <f t="shared" si="16"/>
        <v>43520</v>
      </c>
      <c r="AI40" s="24">
        <f t="shared" si="17"/>
        <v>8400</v>
      </c>
      <c r="AJ40" s="7"/>
      <c r="AK40" s="98"/>
      <c r="AL40" s="164">
        <v>2880</v>
      </c>
      <c r="AM40" s="164">
        <v>2880</v>
      </c>
      <c r="AN40" s="164">
        <v>2880</v>
      </c>
      <c r="AO40" s="164">
        <v>2923.64</v>
      </c>
      <c r="AP40" s="164">
        <v>2960</v>
      </c>
      <c r="AQ40" s="164">
        <v>2960</v>
      </c>
      <c r="AR40" s="164">
        <v>2960</v>
      </c>
      <c r="AS40" s="164">
        <v>2960</v>
      </c>
      <c r="AT40" s="164">
        <v>2960</v>
      </c>
      <c r="AU40" s="114">
        <v>2960</v>
      </c>
      <c r="AV40" s="113">
        <v>2960</v>
      </c>
      <c r="AW40" s="113">
        <v>2836.3600000000006</v>
      </c>
      <c r="AX40" s="8">
        <f t="shared" si="18"/>
        <v>35120</v>
      </c>
      <c r="AY40" s="24">
        <f t="shared" si="19"/>
        <v>-8400</v>
      </c>
      <c r="AZ40" s="7"/>
      <c r="BA40" s="98"/>
      <c r="BB40" s="126">
        <v>35045.379999999997</v>
      </c>
      <c r="BC40" s="123">
        <v>0</v>
      </c>
      <c r="BD40" s="115" cm="1">
        <f t="array" ref="BD40">_xlfn.IFS($B$3="LE1 2024",R40-BB40-BC40,$B$3="LE2 2024",AH40-BB40-BC40,$B$3="LE3 2024",AX40-BB40-BC40)</f>
        <v>74.620000000002619</v>
      </c>
      <c r="BE40" s="98"/>
      <c r="BF40" s="113">
        <v>2880</v>
      </c>
      <c r="BG40" s="114">
        <v>2880</v>
      </c>
      <c r="BH40" s="113">
        <v>2880</v>
      </c>
      <c r="BI40" s="114">
        <v>2960</v>
      </c>
      <c r="BJ40" s="113">
        <v>2960</v>
      </c>
      <c r="BK40" s="114">
        <v>2960</v>
      </c>
      <c r="BL40" s="113">
        <v>2960</v>
      </c>
      <c r="BM40" s="114">
        <v>2960</v>
      </c>
      <c r="BN40" s="113">
        <v>2960</v>
      </c>
      <c r="BO40" s="114">
        <v>2880</v>
      </c>
      <c r="BP40" s="113">
        <v>2880</v>
      </c>
      <c r="BQ40" s="114">
        <v>2960</v>
      </c>
      <c r="BR40" s="8">
        <f t="shared" si="20"/>
        <v>35120</v>
      </c>
      <c r="BS40" s="24">
        <f t="shared" si="21"/>
        <v>-8400</v>
      </c>
      <c r="BT40" s="7"/>
    </row>
    <row r="41" spans="2:72" s="6" customFormat="1" ht="22.15" hidden="1" customHeight="1" outlineLevel="1" x14ac:dyDescent="0.25">
      <c r="B41" s="9" t="s">
        <v>24</v>
      </c>
      <c r="C41" s="9" t="str">
        <f t="shared" si="13"/>
        <v>147900706006240</v>
      </c>
      <c r="D41" s="112">
        <v>0</v>
      </c>
      <c r="E41" s="112">
        <v>0</v>
      </c>
      <c r="F41" s="113">
        <v>0</v>
      </c>
      <c r="G41" s="114">
        <v>0</v>
      </c>
      <c r="H41" s="113">
        <v>0</v>
      </c>
      <c r="I41" s="114">
        <v>0</v>
      </c>
      <c r="J41" s="113">
        <v>0</v>
      </c>
      <c r="K41" s="114">
        <v>0</v>
      </c>
      <c r="L41" s="113">
        <v>0</v>
      </c>
      <c r="M41" s="114">
        <v>0</v>
      </c>
      <c r="N41" s="113">
        <v>0</v>
      </c>
      <c r="O41" s="114">
        <v>0</v>
      </c>
      <c r="P41" s="113">
        <v>0</v>
      </c>
      <c r="Q41" s="114">
        <v>0</v>
      </c>
      <c r="R41" s="8">
        <f t="shared" si="22"/>
        <v>0</v>
      </c>
      <c r="S41" s="24">
        <f t="shared" si="23"/>
        <v>0</v>
      </c>
      <c r="T41" s="7"/>
      <c r="U41" s="5"/>
      <c r="V41" s="112">
        <v>0</v>
      </c>
      <c r="W41" s="112">
        <v>0</v>
      </c>
      <c r="X41" s="112">
        <v>0</v>
      </c>
      <c r="Y41" s="112">
        <v>0</v>
      </c>
      <c r="Z41" s="112">
        <v>0</v>
      </c>
      <c r="AA41" s="112">
        <v>0</v>
      </c>
      <c r="AB41" s="113">
        <v>0</v>
      </c>
      <c r="AC41" s="114">
        <v>0</v>
      </c>
      <c r="AD41" s="113">
        <v>0</v>
      </c>
      <c r="AE41" s="114">
        <v>0</v>
      </c>
      <c r="AF41" s="113">
        <v>0</v>
      </c>
      <c r="AG41" s="114">
        <v>0</v>
      </c>
      <c r="AH41" s="8">
        <f t="shared" si="16"/>
        <v>0</v>
      </c>
      <c r="AI41" s="24">
        <f t="shared" si="17"/>
        <v>0</v>
      </c>
      <c r="AJ41" s="7"/>
      <c r="AK41" s="98"/>
      <c r="AL41" s="164">
        <v>0</v>
      </c>
      <c r="AM41" s="164">
        <v>0</v>
      </c>
      <c r="AN41" s="164">
        <v>0</v>
      </c>
      <c r="AO41" s="164">
        <v>0</v>
      </c>
      <c r="AP41" s="164">
        <v>0</v>
      </c>
      <c r="AQ41" s="164">
        <v>0</v>
      </c>
      <c r="AR41" s="164">
        <v>0</v>
      </c>
      <c r="AS41" s="164">
        <v>0</v>
      </c>
      <c r="AT41" s="164">
        <v>0</v>
      </c>
      <c r="AU41" s="114">
        <v>0</v>
      </c>
      <c r="AV41" s="113">
        <v>0</v>
      </c>
      <c r="AW41" s="113">
        <v>0</v>
      </c>
      <c r="AX41" s="8">
        <f t="shared" si="18"/>
        <v>0</v>
      </c>
      <c r="AY41" s="24">
        <f t="shared" si="19"/>
        <v>0</v>
      </c>
      <c r="AZ41" s="7"/>
      <c r="BA41" s="98"/>
      <c r="BB41" s="126">
        <v>0</v>
      </c>
      <c r="BC41" s="123">
        <v>0</v>
      </c>
      <c r="BD41" s="115" cm="1">
        <f t="array" ref="BD41">_xlfn.IFS($B$3="LE1 2024",R41-BB41-BC41,$B$3="LE2 2024",AH41-BB41-BC41,$B$3="LE3 2024",AX41-BB41-BC41)</f>
        <v>0</v>
      </c>
      <c r="BE41" s="98"/>
      <c r="BF41" s="113">
        <v>0</v>
      </c>
      <c r="BG41" s="114">
        <v>0</v>
      </c>
      <c r="BH41" s="113">
        <v>0</v>
      </c>
      <c r="BI41" s="114">
        <v>0</v>
      </c>
      <c r="BJ41" s="113">
        <v>0</v>
      </c>
      <c r="BK41" s="114">
        <v>0</v>
      </c>
      <c r="BL41" s="113">
        <v>0</v>
      </c>
      <c r="BM41" s="114">
        <v>0</v>
      </c>
      <c r="BN41" s="113">
        <v>0</v>
      </c>
      <c r="BO41" s="114">
        <v>0</v>
      </c>
      <c r="BP41" s="113">
        <v>0</v>
      </c>
      <c r="BQ41" s="114">
        <v>0</v>
      </c>
      <c r="BR41" s="8">
        <f t="shared" si="20"/>
        <v>0</v>
      </c>
      <c r="BS41" s="24">
        <f t="shared" si="21"/>
        <v>0</v>
      </c>
      <c r="BT41" s="7"/>
    </row>
    <row r="42" spans="2:72" s="6" customFormat="1" ht="22.15" hidden="1" customHeight="1" outlineLevel="1" x14ac:dyDescent="0.25">
      <c r="B42" s="9" t="s">
        <v>23</v>
      </c>
      <c r="C42" s="9" t="str">
        <f t="shared" si="13"/>
        <v>147900706006250</v>
      </c>
      <c r="D42" s="112">
        <v>11111</v>
      </c>
      <c r="E42" s="112">
        <v>4000</v>
      </c>
      <c r="F42" s="113">
        <v>0</v>
      </c>
      <c r="G42" s="114">
        <v>0</v>
      </c>
      <c r="H42" s="113">
        <v>0</v>
      </c>
      <c r="I42" s="114">
        <v>0</v>
      </c>
      <c r="J42" s="113">
        <v>0</v>
      </c>
      <c r="K42" s="114">
        <v>0</v>
      </c>
      <c r="L42" s="113">
        <v>0</v>
      </c>
      <c r="M42" s="114">
        <v>0</v>
      </c>
      <c r="N42" s="113">
        <v>0</v>
      </c>
      <c r="O42" s="114">
        <v>0</v>
      </c>
      <c r="P42" s="113">
        <v>0</v>
      </c>
      <c r="Q42" s="114">
        <v>0</v>
      </c>
      <c r="R42" s="8">
        <f t="shared" si="22"/>
        <v>0</v>
      </c>
      <c r="S42" s="24">
        <f t="shared" si="23"/>
        <v>-4000</v>
      </c>
      <c r="T42" s="7"/>
      <c r="U42" s="5"/>
      <c r="V42" s="112">
        <v>0</v>
      </c>
      <c r="W42" s="112">
        <v>0</v>
      </c>
      <c r="X42" s="112">
        <v>0</v>
      </c>
      <c r="Y42" s="112">
        <v>0</v>
      </c>
      <c r="Z42" s="112">
        <v>0</v>
      </c>
      <c r="AA42" s="112">
        <v>0</v>
      </c>
      <c r="AB42" s="113">
        <v>0</v>
      </c>
      <c r="AC42" s="114">
        <v>0</v>
      </c>
      <c r="AD42" s="113">
        <v>0</v>
      </c>
      <c r="AE42" s="114">
        <v>0</v>
      </c>
      <c r="AF42" s="113">
        <v>0</v>
      </c>
      <c r="AG42" s="114">
        <v>0</v>
      </c>
      <c r="AH42" s="8">
        <f t="shared" si="16"/>
        <v>0</v>
      </c>
      <c r="AI42" s="24">
        <f t="shared" si="17"/>
        <v>0</v>
      </c>
      <c r="AJ42" s="7"/>
      <c r="AK42" s="98"/>
      <c r="AL42" s="164">
        <v>0</v>
      </c>
      <c r="AM42" s="164">
        <v>0</v>
      </c>
      <c r="AN42" s="164">
        <v>0</v>
      </c>
      <c r="AO42" s="164">
        <v>0</v>
      </c>
      <c r="AP42" s="164">
        <v>0</v>
      </c>
      <c r="AQ42" s="164">
        <v>0</v>
      </c>
      <c r="AR42" s="164">
        <v>0</v>
      </c>
      <c r="AS42" s="164">
        <v>0</v>
      </c>
      <c r="AT42" s="164">
        <v>0</v>
      </c>
      <c r="AU42" s="114">
        <v>0</v>
      </c>
      <c r="AV42" s="113">
        <v>0</v>
      </c>
      <c r="AW42" s="113">
        <v>0</v>
      </c>
      <c r="AX42" s="8">
        <f t="shared" si="18"/>
        <v>0</v>
      </c>
      <c r="AY42" s="24">
        <f t="shared" si="19"/>
        <v>0</v>
      </c>
      <c r="AZ42" s="7"/>
      <c r="BA42" s="98"/>
      <c r="BB42" s="126">
        <v>0</v>
      </c>
      <c r="BC42" s="123">
        <v>0</v>
      </c>
      <c r="BD42" s="115" cm="1">
        <f t="array" ref="BD42">_xlfn.IFS($B$3="LE1 2024",R42-BB42-BC42,$B$3="LE2 2024",AH42-BB42-BC42,$B$3="LE3 2024",AX42-BB42-BC42)</f>
        <v>0</v>
      </c>
      <c r="BE42" s="98"/>
      <c r="BF42" s="113">
        <v>0</v>
      </c>
      <c r="BG42" s="114">
        <v>0</v>
      </c>
      <c r="BH42" s="113">
        <v>0</v>
      </c>
      <c r="BI42" s="114">
        <v>0</v>
      </c>
      <c r="BJ42" s="113">
        <v>0</v>
      </c>
      <c r="BK42" s="114">
        <v>0</v>
      </c>
      <c r="BL42" s="113">
        <v>0</v>
      </c>
      <c r="BM42" s="114">
        <v>0</v>
      </c>
      <c r="BN42" s="113">
        <v>0</v>
      </c>
      <c r="BO42" s="114">
        <v>0</v>
      </c>
      <c r="BP42" s="113">
        <v>0</v>
      </c>
      <c r="BQ42" s="114">
        <v>0</v>
      </c>
      <c r="BR42" s="8">
        <f t="shared" si="20"/>
        <v>0</v>
      </c>
      <c r="BS42" s="24">
        <f t="shared" si="21"/>
        <v>0</v>
      </c>
      <c r="BT42" s="7"/>
    </row>
    <row r="43" spans="2:72" s="6" customFormat="1" ht="22.15" hidden="1" customHeight="1" outlineLevel="1" x14ac:dyDescent="0.25">
      <c r="B43" s="9" t="s">
        <v>22</v>
      </c>
      <c r="C43" s="9" t="str">
        <f t="shared" si="13"/>
        <v>147900706006260</v>
      </c>
      <c r="D43" s="112">
        <v>1750.81</v>
      </c>
      <c r="E43" s="112">
        <v>0</v>
      </c>
      <c r="F43" s="113">
        <v>0</v>
      </c>
      <c r="G43" s="114">
        <v>0</v>
      </c>
      <c r="H43" s="113">
        <v>0</v>
      </c>
      <c r="I43" s="114">
        <v>0</v>
      </c>
      <c r="J43" s="113">
        <v>0</v>
      </c>
      <c r="K43" s="114">
        <v>0</v>
      </c>
      <c r="L43" s="113">
        <v>0</v>
      </c>
      <c r="M43" s="114">
        <v>0</v>
      </c>
      <c r="N43" s="113">
        <v>0</v>
      </c>
      <c r="O43" s="114">
        <v>0</v>
      </c>
      <c r="P43" s="113">
        <v>0</v>
      </c>
      <c r="Q43" s="114">
        <v>0</v>
      </c>
      <c r="R43" s="8">
        <f t="shared" si="22"/>
        <v>0</v>
      </c>
      <c r="S43" s="24">
        <f t="shared" si="23"/>
        <v>0</v>
      </c>
      <c r="T43" s="7"/>
      <c r="U43" s="5"/>
      <c r="V43" s="112">
        <v>0</v>
      </c>
      <c r="W43" s="112">
        <v>0</v>
      </c>
      <c r="X43" s="112">
        <v>0</v>
      </c>
      <c r="Y43" s="112">
        <v>0</v>
      </c>
      <c r="Z43" s="112">
        <v>0</v>
      </c>
      <c r="AA43" s="112">
        <v>0</v>
      </c>
      <c r="AB43" s="113">
        <v>0</v>
      </c>
      <c r="AC43" s="114">
        <v>0</v>
      </c>
      <c r="AD43" s="113">
        <v>0</v>
      </c>
      <c r="AE43" s="114">
        <v>0</v>
      </c>
      <c r="AF43" s="113">
        <v>0</v>
      </c>
      <c r="AG43" s="114">
        <v>0</v>
      </c>
      <c r="AH43" s="8">
        <f t="shared" si="16"/>
        <v>0</v>
      </c>
      <c r="AI43" s="24">
        <f t="shared" si="17"/>
        <v>0</v>
      </c>
      <c r="AJ43" s="7"/>
      <c r="AK43" s="98"/>
      <c r="AL43" s="164">
        <v>0</v>
      </c>
      <c r="AM43" s="164">
        <v>0</v>
      </c>
      <c r="AN43" s="164">
        <v>0</v>
      </c>
      <c r="AO43" s="164">
        <v>0</v>
      </c>
      <c r="AP43" s="164">
        <v>0</v>
      </c>
      <c r="AQ43" s="164">
        <v>0</v>
      </c>
      <c r="AR43" s="164">
        <v>0</v>
      </c>
      <c r="AS43" s="164">
        <v>0</v>
      </c>
      <c r="AT43" s="164">
        <v>0</v>
      </c>
      <c r="AU43" s="114">
        <v>0</v>
      </c>
      <c r="AV43" s="113">
        <v>0</v>
      </c>
      <c r="AW43" s="113">
        <v>0</v>
      </c>
      <c r="AX43" s="8">
        <f t="shared" si="18"/>
        <v>0</v>
      </c>
      <c r="AY43" s="24">
        <f t="shared" si="19"/>
        <v>0</v>
      </c>
      <c r="AZ43" s="7"/>
      <c r="BA43" s="98"/>
      <c r="BB43" s="126">
        <v>1326.61</v>
      </c>
      <c r="BC43" s="123">
        <v>0</v>
      </c>
      <c r="BD43" s="115" cm="1">
        <f t="array" ref="BD43">_xlfn.IFS($B$3="LE1 2024",R43-BB43-BC43,$B$3="LE2 2024",AH43-BB43-BC43,$B$3="LE3 2024",AX43-BB43-BC43)</f>
        <v>-1326.61</v>
      </c>
      <c r="BE43" s="98"/>
      <c r="BF43" s="113">
        <v>0</v>
      </c>
      <c r="BG43" s="114">
        <v>0</v>
      </c>
      <c r="BH43" s="113">
        <v>0</v>
      </c>
      <c r="BI43" s="114">
        <v>0</v>
      </c>
      <c r="BJ43" s="113">
        <v>0</v>
      </c>
      <c r="BK43" s="114">
        <v>0</v>
      </c>
      <c r="BL43" s="113">
        <v>0</v>
      </c>
      <c r="BM43" s="114">
        <v>0</v>
      </c>
      <c r="BN43" s="113">
        <v>0</v>
      </c>
      <c r="BO43" s="114">
        <v>0</v>
      </c>
      <c r="BP43" s="113">
        <v>0</v>
      </c>
      <c r="BQ43" s="114">
        <v>0</v>
      </c>
      <c r="BR43" s="8">
        <f t="shared" si="20"/>
        <v>0</v>
      </c>
      <c r="BS43" s="24">
        <f t="shared" si="21"/>
        <v>0</v>
      </c>
      <c r="BT43" s="7"/>
    </row>
    <row r="44" spans="2:72" s="6" customFormat="1" ht="22.15" hidden="1" customHeight="1" outlineLevel="1" x14ac:dyDescent="0.25">
      <c r="B44" s="9" t="s">
        <v>21</v>
      </c>
      <c r="C44" s="9" t="str">
        <f t="shared" si="13"/>
        <v>147900706006270</v>
      </c>
      <c r="D44" s="112">
        <v>0</v>
      </c>
      <c r="E44" s="112">
        <v>0</v>
      </c>
      <c r="F44" s="113">
        <v>0</v>
      </c>
      <c r="G44" s="114">
        <v>0</v>
      </c>
      <c r="H44" s="113">
        <v>0</v>
      </c>
      <c r="I44" s="114">
        <v>0</v>
      </c>
      <c r="J44" s="113">
        <v>0</v>
      </c>
      <c r="K44" s="114">
        <v>0</v>
      </c>
      <c r="L44" s="113">
        <v>0</v>
      </c>
      <c r="M44" s="114">
        <v>0</v>
      </c>
      <c r="N44" s="113">
        <v>0</v>
      </c>
      <c r="O44" s="114">
        <v>0</v>
      </c>
      <c r="P44" s="113">
        <v>0</v>
      </c>
      <c r="Q44" s="114">
        <v>0</v>
      </c>
      <c r="R44" s="8">
        <f t="shared" si="22"/>
        <v>0</v>
      </c>
      <c r="S44" s="24">
        <f t="shared" si="23"/>
        <v>0</v>
      </c>
      <c r="T44" s="7"/>
      <c r="U44" s="5"/>
      <c r="V44" s="112">
        <v>0</v>
      </c>
      <c r="W44" s="112">
        <v>0</v>
      </c>
      <c r="X44" s="112">
        <v>0</v>
      </c>
      <c r="Y44" s="112">
        <v>0</v>
      </c>
      <c r="Z44" s="112">
        <v>0</v>
      </c>
      <c r="AA44" s="112">
        <v>0</v>
      </c>
      <c r="AB44" s="113">
        <v>0</v>
      </c>
      <c r="AC44" s="114">
        <v>0</v>
      </c>
      <c r="AD44" s="113">
        <v>0</v>
      </c>
      <c r="AE44" s="114">
        <v>0</v>
      </c>
      <c r="AF44" s="113">
        <v>0</v>
      </c>
      <c r="AG44" s="114">
        <v>0</v>
      </c>
      <c r="AH44" s="8">
        <f t="shared" si="16"/>
        <v>0</v>
      </c>
      <c r="AI44" s="24">
        <f t="shared" si="17"/>
        <v>0</v>
      </c>
      <c r="AJ44" s="7"/>
      <c r="AK44" s="98"/>
      <c r="AL44" s="164">
        <v>0</v>
      </c>
      <c r="AM44" s="164">
        <v>0</v>
      </c>
      <c r="AN44" s="164">
        <v>0</v>
      </c>
      <c r="AO44" s="164">
        <v>0</v>
      </c>
      <c r="AP44" s="164">
        <v>0</v>
      </c>
      <c r="AQ44" s="164">
        <v>0</v>
      </c>
      <c r="AR44" s="164">
        <v>0</v>
      </c>
      <c r="AS44" s="164">
        <v>0</v>
      </c>
      <c r="AT44" s="164">
        <v>0</v>
      </c>
      <c r="AU44" s="114">
        <v>0</v>
      </c>
      <c r="AV44" s="113">
        <v>0</v>
      </c>
      <c r="AW44" s="113">
        <v>0</v>
      </c>
      <c r="AX44" s="8">
        <f t="shared" si="18"/>
        <v>0</v>
      </c>
      <c r="AY44" s="24">
        <f t="shared" si="19"/>
        <v>0</v>
      </c>
      <c r="AZ44" s="7"/>
      <c r="BA44" s="98"/>
      <c r="BB44" s="126">
        <v>0</v>
      </c>
      <c r="BC44" s="123">
        <v>0</v>
      </c>
      <c r="BD44" s="115" cm="1">
        <f t="array" ref="BD44">_xlfn.IFS($B$3="LE1 2024",R44-BB44-BC44,$B$3="LE2 2024",AH44-BB44-BC44,$B$3="LE3 2024",AX44-BB44-BC44)</f>
        <v>0</v>
      </c>
      <c r="BE44" s="98"/>
      <c r="BF44" s="113">
        <v>0</v>
      </c>
      <c r="BG44" s="114">
        <v>0</v>
      </c>
      <c r="BH44" s="113">
        <v>0</v>
      </c>
      <c r="BI44" s="114">
        <v>0</v>
      </c>
      <c r="BJ44" s="113">
        <v>0</v>
      </c>
      <c r="BK44" s="114">
        <v>0</v>
      </c>
      <c r="BL44" s="113">
        <v>0</v>
      </c>
      <c r="BM44" s="114">
        <v>0</v>
      </c>
      <c r="BN44" s="113">
        <v>0</v>
      </c>
      <c r="BO44" s="114">
        <v>0</v>
      </c>
      <c r="BP44" s="113">
        <v>0</v>
      </c>
      <c r="BQ44" s="114">
        <v>0</v>
      </c>
      <c r="BR44" s="8">
        <f t="shared" si="20"/>
        <v>0</v>
      </c>
      <c r="BS44" s="24">
        <f t="shared" si="21"/>
        <v>0</v>
      </c>
      <c r="BT44" s="7"/>
    </row>
    <row r="45" spans="2:72" s="6" customFormat="1" ht="22.15" hidden="1" customHeight="1" outlineLevel="1" x14ac:dyDescent="0.25">
      <c r="B45" s="9" t="s">
        <v>20</v>
      </c>
      <c r="C45" s="9" t="str">
        <f t="shared" si="13"/>
        <v>147900706006280</v>
      </c>
      <c r="D45" s="112">
        <v>10</v>
      </c>
      <c r="E45" s="112">
        <v>640</v>
      </c>
      <c r="F45" s="113">
        <v>0</v>
      </c>
      <c r="G45" s="114">
        <v>76</v>
      </c>
      <c r="H45" s="113">
        <v>0</v>
      </c>
      <c r="I45" s="114">
        <v>17.11</v>
      </c>
      <c r="J45" s="113">
        <v>17.11</v>
      </c>
      <c r="K45" s="114">
        <v>17.11</v>
      </c>
      <c r="L45" s="113">
        <v>17.11</v>
      </c>
      <c r="M45" s="114">
        <v>17.11</v>
      </c>
      <c r="N45" s="113">
        <v>17.11</v>
      </c>
      <c r="O45" s="114">
        <v>17.11</v>
      </c>
      <c r="P45" s="113">
        <v>17.11</v>
      </c>
      <c r="Q45" s="114">
        <v>17.12</v>
      </c>
      <c r="R45" s="8">
        <f t="shared" si="22"/>
        <v>230.00000000000006</v>
      </c>
      <c r="S45" s="24">
        <f t="shared" si="23"/>
        <v>-409.99999999999994</v>
      </c>
      <c r="T45" s="7"/>
      <c r="U45" s="5"/>
      <c r="V45" s="112">
        <v>0</v>
      </c>
      <c r="W45" s="112">
        <v>76</v>
      </c>
      <c r="X45" s="112">
        <v>0</v>
      </c>
      <c r="Y45" s="112">
        <v>0</v>
      </c>
      <c r="Z45" s="112">
        <v>0</v>
      </c>
      <c r="AA45" s="112">
        <v>0</v>
      </c>
      <c r="AB45" s="113">
        <v>26.5</v>
      </c>
      <c r="AC45" s="114">
        <v>26.5</v>
      </c>
      <c r="AD45" s="113">
        <v>26.5</v>
      </c>
      <c r="AE45" s="114">
        <v>26.5</v>
      </c>
      <c r="AF45" s="113">
        <v>26.5</v>
      </c>
      <c r="AG45" s="114">
        <v>26.5</v>
      </c>
      <c r="AH45" s="8">
        <f t="shared" si="16"/>
        <v>235</v>
      </c>
      <c r="AI45" s="24">
        <f t="shared" si="17"/>
        <v>4.9999999999999432</v>
      </c>
      <c r="AJ45" s="7"/>
      <c r="AK45" s="98"/>
      <c r="AL45" s="164">
        <v>0</v>
      </c>
      <c r="AM45" s="164">
        <v>76</v>
      </c>
      <c r="AN45" s="164">
        <v>0</v>
      </c>
      <c r="AO45" s="164">
        <v>0</v>
      </c>
      <c r="AP45" s="164">
        <v>0</v>
      </c>
      <c r="AQ45" s="164">
        <v>0</v>
      </c>
      <c r="AR45" s="164">
        <v>0</v>
      </c>
      <c r="AS45" s="164">
        <v>0</v>
      </c>
      <c r="AT45" s="164">
        <v>0</v>
      </c>
      <c r="AU45" s="114">
        <v>-6</v>
      </c>
      <c r="AV45" s="113">
        <v>0</v>
      </c>
      <c r="AW45" s="113">
        <v>0</v>
      </c>
      <c r="AX45" s="8">
        <f t="shared" si="18"/>
        <v>70</v>
      </c>
      <c r="AY45" s="24">
        <f t="shared" si="19"/>
        <v>-165</v>
      </c>
      <c r="AZ45" s="7"/>
      <c r="BA45" s="98"/>
      <c r="BB45" s="126">
        <v>76</v>
      </c>
      <c r="BC45" s="123">
        <v>0</v>
      </c>
      <c r="BD45" s="115" cm="1">
        <f t="array" ref="BD45">_xlfn.IFS($B$3="LE1 2024",R45-BB45-BC45,$B$3="LE2 2024",AH45-BB45-BC45,$B$3="LE3 2024",AX45-BB45-BC45)</f>
        <v>-6</v>
      </c>
      <c r="BE45" s="98"/>
      <c r="BF45" s="113">
        <v>0</v>
      </c>
      <c r="BG45" s="114">
        <v>0</v>
      </c>
      <c r="BH45" s="113">
        <v>0</v>
      </c>
      <c r="BI45" s="114">
        <v>0</v>
      </c>
      <c r="BJ45" s="113">
        <v>0</v>
      </c>
      <c r="BK45" s="114">
        <v>0</v>
      </c>
      <c r="BL45" s="113">
        <v>0</v>
      </c>
      <c r="BM45" s="114">
        <v>0</v>
      </c>
      <c r="BN45" s="113">
        <v>0</v>
      </c>
      <c r="BO45" s="114">
        <v>0</v>
      </c>
      <c r="BP45" s="113">
        <v>0</v>
      </c>
      <c r="BQ45" s="114">
        <v>0</v>
      </c>
      <c r="BR45" s="8">
        <f t="shared" si="20"/>
        <v>0</v>
      </c>
      <c r="BS45" s="24">
        <f t="shared" si="21"/>
        <v>-235</v>
      </c>
      <c r="BT45" s="7"/>
    </row>
    <row r="46" spans="2:72" s="6" customFormat="1" ht="22.15" hidden="1" customHeight="1" outlineLevel="1" x14ac:dyDescent="0.25">
      <c r="B46" s="9" t="s">
        <v>19</v>
      </c>
      <c r="C46" s="9" t="str">
        <f t="shared" si="13"/>
        <v>147900706006290</v>
      </c>
      <c r="D46" s="112">
        <v>717.04</v>
      </c>
      <c r="E46" s="112">
        <v>0</v>
      </c>
      <c r="F46" s="113">
        <v>50</v>
      </c>
      <c r="G46" s="114">
        <v>50</v>
      </c>
      <c r="H46" s="113">
        <v>50</v>
      </c>
      <c r="I46" s="114">
        <v>27.78</v>
      </c>
      <c r="J46" s="113">
        <v>27.78</v>
      </c>
      <c r="K46" s="114">
        <v>27.78</v>
      </c>
      <c r="L46" s="113">
        <v>27.78</v>
      </c>
      <c r="M46" s="114">
        <v>27.78</v>
      </c>
      <c r="N46" s="113">
        <v>27.78</v>
      </c>
      <c r="O46" s="114">
        <v>27.78</v>
      </c>
      <c r="P46" s="113">
        <v>27.78</v>
      </c>
      <c r="Q46" s="114">
        <v>27.76</v>
      </c>
      <c r="R46" s="8">
        <f t="shared" si="22"/>
        <v>399.99999999999989</v>
      </c>
      <c r="S46" s="24">
        <f t="shared" si="23"/>
        <v>399.99999999999989</v>
      </c>
      <c r="T46" s="7"/>
      <c r="U46" s="5"/>
      <c r="V46" s="112">
        <v>50</v>
      </c>
      <c r="W46" s="112">
        <v>50</v>
      </c>
      <c r="X46" s="112">
        <v>50</v>
      </c>
      <c r="Y46" s="112">
        <v>94.15</v>
      </c>
      <c r="Z46" s="112">
        <v>55</v>
      </c>
      <c r="AA46" s="112">
        <v>50</v>
      </c>
      <c r="AB46" s="113">
        <v>8.48</v>
      </c>
      <c r="AC46" s="114">
        <v>8.48</v>
      </c>
      <c r="AD46" s="113">
        <v>8.48</v>
      </c>
      <c r="AE46" s="114">
        <v>8.48</v>
      </c>
      <c r="AF46" s="113">
        <v>8.48</v>
      </c>
      <c r="AG46" s="114">
        <v>8.4499999999999318</v>
      </c>
      <c r="AH46" s="8">
        <f t="shared" si="16"/>
        <v>400</v>
      </c>
      <c r="AI46" s="24">
        <f t="shared" si="17"/>
        <v>0</v>
      </c>
      <c r="AJ46" s="7"/>
      <c r="AK46" s="98"/>
      <c r="AL46" s="164">
        <v>50</v>
      </c>
      <c r="AM46" s="164">
        <v>50</v>
      </c>
      <c r="AN46" s="164">
        <v>50</v>
      </c>
      <c r="AO46" s="164">
        <v>94.15</v>
      </c>
      <c r="AP46" s="164">
        <v>55</v>
      </c>
      <c r="AQ46" s="164">
        <v>50</v>
      </c>
      <c r="AR46" s="164">
        <v>96.2</v>
      </c>
      <c r="AS46" s="164">
        <v>55</v>
      </c>
      <c r="AT46" s="164">
        <v>55</v>
      </c>
      <c r="AU46" s="114">
        <v>-0.35</v>
      </c>
      <c r="AV46" s="113">
        <v>0</v>
      </c>
      <c r="AW46" s="113">
        <v>0</v>
      </c>
      <c r="AX46" s="8">
        <f t="shared" si="18"/>
        <v>554.99999999999989</v>
      </c>
      <c r="AY46" s="24">
        <f t="shared" si="19"/>
        <v>154.99999999999989</v>
      </c>
      <c r="AZ46" s="7"/>
      <c r="BA46" s="98"/>
      <c r="BB46" s="126">
        <v>707.96</v>
      </c>
      <c r="BC46" s="123">
        <v>0</v>
      </c>
      <c r="BD46" s="115" cm="1">
        <f t="array" ref="BD46">_xlfn.IFS($B$3="LE1 2024",R46-BB46-BC46,$B$3="LE2 2024",AH46-BB46-BC46,$B$3="LE3 2024",AX46-BB46-BC46)</f>
        <v>-152.96000000000015</v>
      </c>
      <c r="BE46" s="98"/>
      <c r="BF46" s="113">
        <v>48.33</v>
      </c>
      <c r="BG46" s="114">
        <v>48.33</v>
      </c>
      <c r="BH46" s="113">
        <v>48.33</v>
      </c>
      <c r="BI46" s="114">
        <v>48.33</v>
      </c>
      <c r="BJ46" s="113">
        <v>48.33</v>
      </c>
      <c r="BK46" s="114">
        <v>48.33</v>
      </c>
      <c r="BL46" s="113">
        <v>48.33</v>
      </c>
      <c r="BM46" s="114">
        <v>48.33</v>
      </c>
      <c r="BN46" s="113">
        <v>48.33</v>
      </c>
      <c r="BO46" s="114">
        <v>48.33</v>
      </c>
      <c r="BP46" s="113">
        <v>48.33</v>
      </c>
      <c r="BQ46" s="114">
        <v>48.37</v>
      </c>
      <c r="BR46" s="8">
        <f t="shared" si="20"/>
        <v>579.99999999999989</v>
      </c>
      <c r="BS46" s="24">
        <f t="shared" si="21"/>
        <v>179.99999999999989</v>
      </c>
      <c r="BT46" s="7"/>
    </row>
    <row r="47" spans="2:72" s="6" customFormat="1" ht="22.15" hidden="1" customHeight="1" outlineLevel="1" x14ac:dyDescent="0.25">
      <c r="B47" s="9" t="s">
        <v>18</v>
      </c>
      <c r="C47" s="9" t="str">
        <f t="shared" ref="C47:C65" si="24">LEFT($B$4,8)&amp;LEFT(B47,7)</f>
        <v>147900706006300</v>
      </c>
      <c r="D47" s="112">
        <v>0</v>
      </c>
      <c r="E47" s="112">
        <v>0</v>
      </c>
      <c r="F47" s="113">
        <v>0</v>
      </c>
      <c r="G47" s="114">
        <v>0</v>
      </c>
      <c r="H47" s="113">
        <v>0</v>
      </c>
      <c r="I47" s="114">
        <v>0</v>
      </c>
      <c r="J47" s="113">
        <v>0</v>
      </c>
      <c r="K47" s="114">
        <v>0</v>
      </c>
      <c r="L47" s="113">
        <v>0</v>
      </c>
      <c r="M47" s="114">
        <v>0</v>
      </c>
      <c r="N47" s="113">
        <v>0</v>
      </c>
      <c r="O47" s="114">
        <v>0</v>
      </c>
      <c r="P47" s="113">
        <v>0</v>
      </c>
      <c r="Q47" s="114">
        <v>0</v>
      </c>
      <c r="R47" s="8">
        <f t="shared" si="22"/>
        <v>0</v>
      </c>
      <c r="S47" s="24">
        <f t="shared" si="23"/>
        <v>0</v>
      </c>
      <c r="T47" s="7"/>
      <c r="U47" s="5"/>
      <c r="V47" s="112">
        <v>0</v>
      </c>
      <c r="W47" s="112">
        <v>0</v>
      </c>
      <c r="X47" s="112">
        <v>0</v>
      </c>
      <c r="Y47" s="112">
        <v>0</v>
      </c>
      <c r="Z47" s="112">
        <v>0</v>
      </c>
      <c r="AA47" s="112">
        <v>0</v>
      </c>
      <c r="AB47" s="113">
        <v>0</v>
      </c>
      <c r="AC47" s="114">
        <v>0</v>
      </c>
      <c r="AD47" s="113">
        <v>0</v>
      </c>
      <c r="AE47" s="114">
        <v>0</v>
      </c>
      <c r="AF47" s="113">
        <v>0</v>
      </c>
      <c r="AG47" s="114">
        <v>0</v>
      </c>
      <c r="AH47" s="8">
        <f t="shared" si="16"/>
        <v>0</v>
      </c>
      <c r="AI47" s="24">
        <f t="shared" si="17"/>
        <v>0</v>
      </c>
      <c r="AJ47" s="7"/>
      <c r="AK47" s="98"/>
      <c r="AL47" s="164">
        <v>0</v>
      </c>
      <c r="AM47" s="164">
        <v>0</v>
      </c>
      <c r="AN47" s="164">
        <v>0</v>
      </c>
      <c r="AO47" s="164">
        <v>0</v>
      </c>
      <c r="AP47" s="164">
        <v>0</v>
      </c>
      <c r="AQ47" s="164">
        <v>0</v>
      </c>
      <c r="AR47" s="164">
        <v>0</v>
      </c>
      <c r="AS47" s="164">
        <v>0</v>
      </c>
      <c r="AT47" s="164">
        <v>0</v>
      </c>
      <c r="AU47" s="114">
        <v>0</v>
      </c>
      <c r="AV47" s="113">
        <v>0</v>
      </c>
      <c r="AW47" s="113">
        <v>0</v>
      </c>
      <c r="AX47" s="8">
        <f t="shared" si="18"/>
        <v>0</v>
      </c>
      <c r="AY47" s="24">
        <f t="shared" si="19"/>
        <v>0</v>
      </c>
      <c r="AZ47" s="7"/>
      <c r="BA47" s="98"/>
      <c r="BB47" s="126">
        <v>0</v>
      </c>
      <c r="BC47" s="123">
        <v>0</v>
      </c>
      <c r="BD47" s="115" cm="1">
        <f t="array" ref="BD47">_xlfn.IFS($B$3="LE1 2024",R47-BB47-BC47,$B$3="LE2 2024",AH47-BB47-BC47,$B$3="LE3 2024",AX47-BB47-BC47)</f>
        <v>0</v>
      </c>
      <c r="BE47" s="98"/>
      <c r="BF47" s="113">
        <v>0</v>
      </c>
      <c r="BG47" s="114">
        <v>0</v>
      </c>
      <c r="BH47" s="113">
        <v>0</v>
      </c>
      <c r="BI47" s="114">
        <v>0</v>
      </c>
      <c r="BJ47" s="113">
        <v>0</v>
      </c>
      <c r="BK47" s="114">
        <v>0</v>
      </c>
      <c r="BL47" s="113">
        <v>0</v>
      </c>
      <c r="BM47" s="114">
        <v>0</v>
      </c>
      <c r="BN47" s="113">
        <v>0</v>
      </c>
      <c r="BO47" s="114">
        <v>0</v>
      </c>
      <c r="BP47" s="113">
        <v>0</v>
      </c>
      <c r="BQ47" s="114">
        <v>0</v>
      </c>
      <c r="BR47" s="8">
        <f t="shared" si="20"/>
        <v>0</v>
      </c>
      <c r="BS47" s="24">
        <f t="shared" si="21"/>
        <v>0</v>
      </c>
      <c r="BT47" s="7"/>
    </row>
    <row r="48" spans="2:72" s="6" customFormat="1" ht="22.15" hidden="1" customHeight="1" outlineLevel="1" x14ac:dyDescent="0.25">
      <c r="B48" s="9" t="s">
        <v>17</v>
      </c>
      <c r="C48" s="9" t="str">
        <f t="shared" si="24"/>
        <v>147900706006310</v>
      </c>
      <c r="D48" s="112">
        <v>0</v>
      </c>
      <c r="E48" s="112">
        <v>0</v>
      </c>
      <c r="F48" s="113">
        <v>0</v>
      </c>
      <c r="G48" s="114">
        <v>0</v>
      </c>
      <c r="H48" s="113">
        <v>0</v>
      </c>
      <c r="I48" s="114">
        <v>0</v>
      </c>
      <c r="J48" s="113">
        <v>0</v>
      </c>
      <c r="K48" s="114">
        <v>0</v>
      </c>
      <c r="L48" s="113">
        <v>0</v>
      </c>
      <c r="M48" s="114">
        <v>0</v>
      </c>
      <c r="N48" s="113">
        <v>0</v>
      </c>
      <c r="O48" s="114">
        <v>0</v>
      </c>
      <c r="P48" s="113">
        <v>0</v>
      </c>
      <c r="Q48" s="114">
        <v>0</v>
      </c>
      <c r="R48" s="8">
        <f t="shared" si="22"/>
        <v>0</v>
      </c>
      <c r="S48" s="24">
        <f t="shared" si="23"/>
        <v>0</v>
      </c>
      <c r="T48" s="7"/>
      <c r="U48" s="5"/>
      <c r="V48" s="112">
        <v>0</v>
      </c>
      <c r="W48" s="112">
        <v>0</v>
      </c>
      <c r="X48" s="112">
        <v>0</v>
      </c>
      <c r="Y48" s="112">
        <v>0</v>
      </c>
      <c r="Z48" s="112">
        <v>0</v>
      </c>
      <c r="AA48" s="112">
        <v>0</v>
      </c>
      <c r="AB48" s="113">
        <v>0</v>
      </c>
      <c r="AC48" s="114">
        <v>0</v>
      </c>
      <c r="AD48" s="113">
        <v>0</v>
      </c>
      <c r="AE48" s="114">
        <v>0</v>
      </c>
      <c r="AF48" s="113">
        <v>0</v>
      </c>
      <c r="AG48" s="114">
        <v>0</v>
      </c>
      <c r="AH48" s="8">
        <f t="shared" si="16"/>
        <v>0</v>
      </c>
      <c r="AI48" s="24">
        <f t="shared" si="17"/>
        <v>0</v>
      </c>
      <c r="AJ48" s="7"/>
      <c r="AK48" s="98"/>
      <c r="AL48" s="164">
        <v>0</v>
      </c>
      <c r="AM48" s="164">
        <v>0</v>
      </c>
      <c r="AN48" s="164">
        <v>0</v>
      </c>
      <c r="AO48" s="164">
        <v>0</v>
      </c>
      <c r="AP48" s="164">
        <v>0</v>
      </c>
      <c r="AQ48" s="164">
        <v>0</v>
      </c>
      <c r="AR48" s="164">
        <v>0</v>
      </c>
      <c r="AS48" s="164">
        <v>0</v>
      </c>
      <c r="AT48" s="164">
        <v>0</v>
      </c>
      <c r="AU48" s="114">
        <v>0</v>
      </c>
      <c r="AV48" s="113">
        <v>0</v>
      </c>
      <c r="AW48" s="113">
        <v>0</v>
      </c>
      <c r="AX48" s="8">
        <f t="shared" si="18"/>
        <v>0</v>
      </c>
      <c r="AY48" s="24">
        <f t="shared" si="19"/>
        <v>0</v>
      </c>
      <c r="AZ48" s="7"/>
      <c r="BA48" s="98"/>
      <c r="BB48" s="126">
        <v>0</v>
      </c>
      <c r="BC48" s="123">
        <v>0</v>
      </c>
      <c r="BD48" s="115" cm="1">
        <f t="array" ref="BD48">_xlfn.IFS($B$3="LE1 2024",R48-BB48-BC48,$B$3="LE2 2024",AH48-BB48-BC48,$B$3="LE3 2024",AX48-BB48-BC48)</f>
        <v>0</v>
      </c>
      <c r="BE48" s="98"/>
      <c r="BF48" s="113">
        <v>0</v>
      </c>
      <c r="BG48" s="114">
        <v>0</v>
      </c>
      <c r="BH48" s="113">
        <v>0</v>
      </c>
      <c r="BI48" s="114">
        <v>0</v>
      </c>
      <c r="BJ48" s="113">
        <v>0</v>
      </c>
      <c r="BK48" s="114">
        <v>0</v>
      </c>
      <c r="BL48" s="113">
        <v>0</v>
      </c>
      <c r="BM48" s="114">
        <v>0</v>
      </c>
      <c r="BN48" s="113">
        <v>0</v>
      </c>
      <c r="BO48" s="114">
        <v>0</v>
      </c>
      <c r="BP48" s="113">
        <v>0</v>
      </c>
      <c r="BQ48" s="114">
        <v>0</v>
      </c>
      <c r="BR48" s="8">
        <f t="shared" si="20"/>
        <v>0</v>
      </c>
      <c r="BS48" s="24">
        <f t="shared" si="21"/>
        <v>0</v>
      </c>
      <c r="BT48" s="7"/>
    </row>
    <row r="49" spans="2:72" s="6" customFormat="1" ht="22.15" hidden="1" customHeight="1" outlineLevel="1" x14ac:dyDescent="0.25">
      <c r="B49" s="9" t="s">
        <v>16</v>
      </c>
      <c r="C49" s="9" t="str">
        <f t="shared" si="24"/>
        <v>147900706006500</v>
      </c>
      <c r="D49" s="112">
        <v>294429.98</v>
      </c>
      <c r="E49" s="112">
        <v>320540.28320999997</v>
      </c>
      <c r="F49" s="113">
        <v>41527.339999999997</v>
      </c>
      <c r="G49" s="114">
        <v>2945.47</v>
      </c>
      <c r="H49" s="113">
        <v>16641.61</v>
      </c>
      <c r="I49" s="114">
        <v>20097.73</v>
      </c>
      <c r="J49" s="113">
        <v>20097.73</v>
      </c>
      <c r="K49" s="114">
        <v>20097.73</v>
      </c>
      <c r="L49" s="113">
        <v>20097.73</v>
      </c>
      <c r="M49" s="114">
        <v>20097.73</v>
      </c>
      <c r="N49" s="113">
        <v>20097.73</v>
      </c>
      <c r="O49" s="114">
        <v>20097.73</v>
      </c>
      <c r="P49" s="113">
        <v>20097.73</v>
      </c>
      <c r="Q49" s="114">
        <v>20097.72</v>
      </c>
      <c r="R49" s="8">
        <f t="shared" si="22"/>
        <v>241993.98000000004</v>
      </c>
      <c r="S49" s="24">
        <f t="shared" si="23"/>
        <v>-78546.303209999925</v>
      </c>
      <c r="T49" s="7"/>
      <c r="U49" s="5"/>
      <c r="V49" s="112">
        <v>41527.339999999997</v>
      </c>
      <c r="W49" s="112">
        <v>2945.47</v>
      </c>
      <c r="X49" s="112">
        <v>16641.61</v>
      </c>
      <c r="Y49" s="112">
        <v>18704.73</v>
      </c>
      <c r="Z49" s="112">
        <v>19356</v>
      </c>
      <c r="AA49" s="112">
        <v>22355.03</v>
      </c>
      <c r="AB49" s="113">
        <v>18000</v>
      </c>
      <c r="AC49" s="114">
        <v>18000</v>
      </c>
      <c r="AD49" s="113">
        <v>18000</v>
      </c>
      <c r="AE49" s="114">
        <v>18099.62</v>
      </c>
      <c r="AF49" s="113">
        <v>18300</v>
      </c>
      <c r="AG49" s="114">
        <v>20650</v>
      </c>
      <c r="AH49" s="8">
        <f t="shared" si="16"/>
        <v>232579.8</v>
      </c>
      <c r="AI49" s="24">
        <f t="shared" si="17"/>
        <v>-9414.1800000000512</v>
      </c>
      <c r="AJ49" s="7"/>
      <c r="AK49" s="98"/>
      <c r="AL49" s="164">
        <v>41527.339999999997</v>
      </c>
      <c r="AM49" s="164">
        <v>2945.47</v>
      </c>
      <c r="AN49" s="164">
        <v>16641.61</v>
      </c>
      <c r="AO49" s="164">
        <v>18704.73</v>
      </c>
      <c r="AP49" s="164">
        <v>19356</v>
      </c>
      <c r="AQ49" s="164">
        <v>22355.03</v>
      </c>
      <c r="AR49" s="164">
        <v>33008.57</v>
      </c>
      <c r="AS49" s="164">
        <v>19999.89</v>
      </c>
      <c r="AT49" s="164">
        <v>20021.11</v>
      </c>
      <c r="AU49" s="114">
        <v>26574.17</v>
      </c>
      <c r="AV49" s="113">
        <v>17292.12</v>
      </c>
      <c r="AW49" s="113">
        <v>19642.12</v>
      </c>
      <c r="AX49" s="8">
        <f t="shared" si="18"/>
        <v>258068.15999999997</v>
      </c>
      <c r="AY49" s="24">
        <f t="shared" si="19"/>
        <v>25488.359999999986</v>
      </c>
      <c r="AZ49" s="7"/>
      <c r="BA49" s="98"/>
      <c r="BB49" s="126">
        <v>0</v>
      </c>
      <c r="BC49" s="123">
        <v>0</v>
      </c>
      <c r="BD49" s="115" cm="1">
        <f t="array" ref="BD49">_xlfn.IFS($B$3="LE1 2024",R49-BB49-BC49,$B$3="LE2 2024",AH49-BB49-BC49,$B$3="LE3 2024",AX49-BB49-BC49)</f>
        <v>258068.15999999997</v>
      </c>
      <c r="BE49" s="98"/>
      <c r="BF49" s="113">
        <v>21356.929999999997</v>
      </c>
      <c r="BG49" s="114">
        <v>21356.989999999998</v>
      </c>
      <c r="BH49" s="113">
        <v>21552.16</v>
      </c>
      <c r="BI49" s="114">
        <v>22431.41</v>
      </c>
      <c r="BJ49" s="113">
        <v>22139.54</v>
      </c>
      <c r="BK49" s="114">
        <v>21465.38</v>
      </c>
      <c r="BL49" s="113">
        <v>21465.38</v>
      </c>
      <c r="BM49" s="114">
        <v>21307.69</v>
      </c>
      <c r="BN49" s="113">
        <v>21141.919999999998</v>
      </c>
      <c r="BO49" s="114">
        <v>21168</v>
      </c>
      <c r="BP49" s="113">
        <v>21168</v>
      </c>
      <c r="BQ49" s="114">
        <v>21111.965440000098</v>
      </c>
      <c r="BR49" s="8">
        <f t="shared" si="20"/>
        <v>257665.36544000011</v>
      </c>
      <c r="BS49" s="24">
        <f t="shared" si="21"/>
        <v>25085.565440000122</v>
      </c>
      <c r="BT49" s="7"/>
    </row>
    <row r="50" spans="2:72" s="6" customFormat="1" ht="22.15" hidden="1" customHeight="1" outlineLevel="1" x14ac:dyDescent="0.25">
      <c r="B50" s="9" t="s">
        <v>15</v>
      </c>
      <c r="C50" s="9" t="str">
        <f t="shared" si="24"/>
        <v>147900706006510</v>
      </c>
      <c r="D50" s="112">
        <v>0</v>
      </c>
      <c r="E50" s="112">
        <v>0</v>
      </c>
      <c r="F50" s="113">
        <v>0</v>
      </c>
      <c r="G50" s="114">
        <v>0</v>
      </c>
      <c r="H50" s="113">
        <v>0</v>
      </c>
      <c r="I50" s="114">
        <v>0</v>
      </c>
      <c r="J50" s="113">
        <v>0</v>
      </c>
      <c r="K50" s="114">
        <v>0</v>
      </c>
      <c r="L50" s="113">
        <v>0</v>
      </c>
      <c r="M50" s="114">
        <v>0</v>
      </c>
      <c r="N50" s="113">
        <v>0</v>
      </c>
      <c r="O50" s="114">
        <v>0</v>
      </c>
      <c r="P50" s="113">
        <v>0</v>
      </c>
      <c r="Q50" s="114">
        <v>0</v>
      </c>
      <c r="R50" s="8">
        <f t="shared" si="22"/>
        <v>0</v>
      </c>
      <c r="S50" s="24">
        <f t="shared" si="23"/>
        <v>0</v>
      </c>
      <c r="T50" s="7"/>
      <c r="U50" s="5"/>
      <c r="V50" s="112">
        <v>0</v>
      </c>
      <c r="W50" s="112">
        <v>0</v>
      </c>
      <c r="X50" s="112">
        <v>0</v>
      </c>
      <c r="Y50" s="112">
        <v>0</v>
      </c>
      <c r="Z50" s="112">
        <v>0</v>
      </c>
      <c r="AA50" s="112">
        <v>0</v>
      </c>
      <c r="AB50" s="113">
        <v>0</v>
      </c>
      <c r="AC50" s="114">
        <v>0</v>
      </c>
      <c r="AD50" s="113">
        <v>0</v>
      </c>
      <c r="AE50" s="114">
        <v>0</v>
      </c>
      <c r="AF50" s="113">
        <v>0</v>
      </c>
      <c r="AG50" s="114">
        <v>0</v>
      </c>
      <c r="AH50" s="8">
        <f t="shared" si="16"/>
        <v>0</v>
      </c>
      <c r="AI50" s="24">
        <f t="shared" si="17"/>
        <v>0</v>
      </c>
      <c r="AJ50" s="7"/>
      <c r="AK50" s="98"/>
      <c r="AL50" s="164">
        <v>0</v>
      </c>
      <c r="AM50" s="164">
        <v>0</v>
      </c>
      <c r="AN50" s="164">
        <v>0</v>
      </c>
      <c r="AO50" s="164">
        <v>0</v>
      </c>
      <c r="AP50" s="164">
        <v>0</v>
      </c>
      <c r="AQ50" s="164">
        <v>0</v>
      </c>
      <c r="AR50" s="164">
        <v>0</v>
      </c>
      <c r="AS50" s="164">
        <v>0</v>
      </c>
      <c r="AT50" s="164">
        <v>0</v>
      </c>
      <c r="AU50" s="114">
        <v>0</v>
      </c>
      <c r="AV50" s="113">
        <v>0</v>
      </c>
      <c r="AW50" s="113">
        <v>0</v>
      </c>
      <c r="AX50" s="8">
        <f t="shared" si="18"/>
        <v>0</v>
      </c>
      <c r="AY50" s="24">
        <f t="shared" si="19"/>
        <v>0</v>
      </c>
      <c r="AZ50" s="7"/>
      <c r="BA50" s="98"/>
      <c r="BB50" s="126">
        <v>0</v>
      </c>
      <c r="BC50" s="123">
        <v>0</v>
      </c>
      <c r="BD50" s="115" cm="1">
        <f t="array" ref="BD50">_xlfn.IFS($B$3="LE1 2024",R50-BB50-BC50,$B$3="LE2 2024",AH50-BB50-BC50,$B$3="LE3 2024",AX50-BB50-BC50)</f>
        <v>0</v>
      </c>
      <c r="BE50" s="98"/>
      <c r="BF50" s="113">
        <v>0</v>
      </c>
      <c r="BG50" s="114">
        <v>0</v>
      </c>
      <c r="BH50" s="113">
        <v>0</v>
      </c>
      <c r="BI50" s="114">
        <v>0</v>
      </c>
      <c r="BJ50" s="113">
        <v>0</v>
      </c>
      <c r="BK50" s="114">
        <v>0</v>
      </c>
      <c r="BL50" s="113">
        <v>0</v>
      </c>
      <c r="BM50" s="114">
        <v>0</v>
      </c>
      <c r="BN50" s="113">
        <v>0</v>
      </c>
      <c r="BO50" s="114">
        <v>0</v>
      </c>
      <c r="BP50" s="113">
        <v>0</v>
      </c>
      <c r="BQ50" s="114">
        <v>0</v>
      </c>
      <c r="BR50" s="8">
        <f t="shared" si="20"/>
        <v>0</v>
      </c>
      <c r="BS50" s="24">
        <f t="shared" si="21"/>
        <v>0</v>
      </c>
      <c r="BT50" s="7"/>
    </row>
    <row r="51" spans="2:72" s="6" customFormat="1" ht="22.15" hidden="1" customHeight="1" outlineLevel="1" x14ac:dyDescent="0.25">
      <c r="B51" s="9" t="s">
        <v>14</v>
      </c>
      <c r="C51" s="9" t="str">
        <f t="shared" si="24"/>
        <v>147900706006520</v>
      </c>
      <c r="D51" s="112">
        <v>0</v>
      </c>
      <c r="E51" s="112">
        <v>0</v>
      </c>
      <c r="F51" s="113">
        <v>0</v>
      </c>
      <c r="G51" s="114">
        <v>0</v>
      </c>
      <c r="H51" s="113">
        <v>0</v>
      </c>
      <c r="I51" s="114">
        <v>0</v>
      </c>
      <c r="J51" s="113">
        <v>0</v>
      </c>
      <c r="K51" s="114">
        <v>0</v>
      </c>
      <c r="L51" s="113">
        <v>0</v>
      </c>
      <c r="M51" s="114">
        <v>0</v>
      </c>
      <c r="N51" s="113">
        <v>0</v>
      </c>
      <c r="O51" s="114">
        <v>0</v>
      </c>
      <c r="P51" s="113">
        <v>0</v>
      </c>
      <c r="Q51" s="114">
        <v>0</v>
      </c>
      <c r="R51" s="8">
        <f t="shared" si="22"/>
        <v>0</v>
      </c>
      <c r="S51" s="24">
        <f t="shared" si="23"/>
        <v>0</v>
      </c>
      <c r="T51" s="7"/>
      <c r="U51" s="5"/>
      <c r="V51" s="112">
        <v>0</v>
      </c>
      <c r="W51" s="112">
        <v>0</v>
      </c>
      <c r="X51" s="112">
        <v>0</v>
      </c>
      <c r="Y51" s="112">
        <v>0</v>
      </c>
      <c r="Z51" s="112">
        <v>0</v>
      </c>
      <c r="AA51" s="112">
        <v>0</v>
      </c>
      <c r="AB51" s="113">
        <v>0</v>
      </c>
      <c r="AC51" s="114">
        <v>0</v>
      </c>
      <c r="AD51" s="113">
        <v>0</v>
      </c>
      <c r="AE51" s="114">
        <v>0</v>
      </c>
      <c r="AF51" s="113">
        <v>0</v>
      </c>
      <c r="AG51" s="114">
        <v>0</v>
      </c>
      <c r="AH51" s="8">
        <f t="shared" si="16"/>
        <v>0</v>
      </c>
      <c r="AI51" s="24">
        <f t="shared" si="17"/>
        <v>0</v>
      </c>
      <c r="AJ51" s="7"/>
      <c r="AK51" s="98"/>
      <c r="AL51" s="164">
        <v>0</v>
      </c>
      <c r="AM51" s="164">
        <v>0</v>
      </c>
      <c r="AN51" s="164">
        <v>0</v>
      </c>
      <c r="AO51" s="164">
        <v>0</v>
      </c>
      <c r="AP51" s="164">
        <v>0</v>
      </c>
      <c r="AQ51" s="164">
        <v>0</v>
      </c>
      <c r="AR51" s="164">
        <v>0</v>
      </c>
      <c r="AS51" s="164">
        <v>0</v>
      </c>
      <c r="AT51" s="164">
        <v>0</v>
      </c>
      <c r="AU51" s="114">
        <v>0</v>
      </c>
      <c r="AV51" s="113">
        <v>0</v>
      </c>
      <c r="AW51" s="113">
        <v>0</v>
      </c>
      <c r="AX51" s="8">
        <f t="shared" si="18"/>
        <v>0</v>
      </c>
      <c r="AY51" s="24">
        <f t="shared" si="19"/>
        <v>0</v>
      </c>
      <c r="AZ51" s="7"/>
      <c r="BA51" s="98"/>
      <c r="BB51" s="126">
        <v>269998.78000000003</v>
      </c>
      <c r="BC51" s="123">
        <v>0</v>
      </c>
      <c r="BD51" s="115" cm="1">
        <f t="array" ref="BD51">_xlfn.IFS($B$3="LE1 2024",R51-BB51-BC51,$B$3="LE2 2024",AH51-BB51-BC51,$B$3="LE3 2024",AX51-BB51-BC51)</f>
        <v>-269998.78000000003</v>
      </c>
      <c r="BE51" s="98"/>
      <c r="BF51" s="113">
        <v>0</v>
      </c>
      <c r="BG51" s="114">
        <v>0</v>
      </c>
      <c r="BH51" s="113">
        <v>0</v>
      </c>
      <c r="BI51" s="114">
        <v>0</v>
      </c>
      <c r="BJ51" s="113">
        <v>0</v>
      </c>
      <c r="BK51" s="114">
        <v>0</v>
      </c>
      <c r="BL51" s="113">
        <v>0</v>
      </c>
      <c r="BM51" s="114">
        <v>0</v>
      </c>
      <c r="BN51" s="113">
        <v>0</v>
      </c>
      <c r="BO51" s="114">
        <v>0</v>
      </c>
      <c r="BP51" s="113">
        <v>0</v>
      </c>
      <c r="BQ51" s="114">
        <v>0</v>
      </c>
      <c r="BR51" s="8">
        <f t="shared" si="20"/>
        <v>0</v>
      </c>
      <c r="BS51" s="24">
        <f t="shared" si="21"/>
        <v>0</v>
      </c>
      <c r="BT51" s="7"/>
    </row>
    <row r="52" spans="2:72" s="6" customFormat="1" ht="22.15" hidden="1" customHeight="1" outlineLevel="1" x14ac:dyDescent="0.25">
      <c r="B52" s="9" t="s">
        <v>13</v>
      </c>
      <c r="C52" s="9" t="str">
        <f t="shared" si="24"/>
        <v>147900706010010</v>
      </c>
      <c r="D52" s="112">
        <v>-49549.19</v>
      </c>
      <c r="E52" s="112">
        <v>0</v>
      </c>
      <c r="F52" s="113">
        <v>0</v>
      </c>
      <c r="G52" s="114">
        <v>0</v>
      </c>
      <c r="H52" s="113">
        <v>-29999.51</v>
      </c>
      <c r="I52" s="114">
        <v>0</v>
      </c>
      <c r="J52" s="113">
        <v>0</v>
      </c>
      <c r="K52" s="114">
        <v>0</v>
      </c>
      <c r="L52" s="113">
        <v>11098</v>
      </c>
      <c r="M52" s="114">
        <v>0</v>
      </c>
      <c r="N52" s="113">
        <v>0</v>
      </c>
      <c r="O52" s="114">
        <v>0</v>
      </c>
      <c r="P52" s="113">
        <v>0</v>
      </c>
      <c r="Q52" s="114">
        <v>0</v>
      </c>
      <c r="R52" s="8">
        <f t="shared" si="22"/>
        <v>-18901.509999999998</v>
      </c>
      <c r="S52" s="24">
        <f t="shared" si="23"/>
        <v>-18901.509999999998</v>
      </c>
      <c r="T52" s="7"/>
      <c r="U52" s="5"/>
      <c r="V52" s="112">
        <v>0</v>
      </c>
      <c r="W52" s="112">
        <v>0</v>
      </c>
      <c r="X52" s="112">
        <v>-29999.51</v>
      </c>
      <c r="Y52" s="112">
        <v>0</v>
      </c>
      <c r="Z52" s="112">
        <v>0</v>
      </c>
      <c r="AA52" s="112">
        <v>0</v>
      </c>
      <c r="AB52" s="113">
        <v>11098</v>
      </c>
      <c r="AC52" s="114">
        <v>0</v>
      </c>
      <c r="AD52" s="113">
        <v>0</v>
      </c>
      <c r="AE52" s="114">
        <v>0</v>
      </c>
      <c r="AF52" s="113">
        <v>0</v>
      </c>
      <c r="AG52" s="114">
        <v>0</v>
      </c>
      <c r="AH52" s="8">
        <f t="shared" si="16"/>
        <v>-18901.509999999998</v>
      </c>
      <c r="AI52" s="24">
        <f t="shared" si="17"/>
        <v>0</v>
      </c>
      <c r="AJ52" s="7"/>
      <c r="AK52" s="98"/>
      <c r="AL52" s="164">
        <v>0</v>
      </c>
      <c r="AM52" s="164">
        <v>0</v>
      </c>
      <c r="AN52" s="164">
        <v>-29999.51</v>
      </c>
      <c r="AO52" s="164">
        <v>0</v>
      </c>
      <c r="AP52" s="164">
        <v>0</v>
      </c>
      <c r="AQ52" s="164">
        <v>0</v>
      </c>
      <c r="AR52" s="164">
        <v>11098</v>
      </c>
      <c r="AS52" s="164">
        <v>0</v>
      </c>
      <c r="AT52" s="164">
        <v>0</v>
      </c>
      <c r="AU52" s="114">
        <v>0</v>
      </c>
      <c r="AV52" s="113">
        <v>0</v>
      </c>
      <c r="AW52" s="113">
        <v>0</v>
      </c>
      <c r="AX52" s="8">
        <f t="shared" si="18"/>
        <v>-18901.509999999998</v>
      </c>
      <c r="AY52" s="24">
        <f t="shared" si="19"/>
        <v>0</v>
      </c>
      <c r="AZ52" s="7"/>
      <c r="BA52" s="98"/>
      <c r="BB52" s="126">
        <v>-18901.510000000009</v>
      </c>
      <c r="BC52" s="123">
        <v>0</v>
      </c>
      <c r="BD52" s="115" cm="1">
        <f t="array" ref="BD52">_xlfn.IFS($B$3="LE1 2024",R52-BB52-BC52,$B$3="LE2 2024",AH52-BB52-BC52,$B$3="LE3 2024",AX52-BB52-BC52)</f>
        <v>1.0913936421275139E-11</v>
      </c>
      <c r="BE52" s="98"/>
      <c r="BF52" s="113">
        <v>0</v>
      </c>
      <c r="BG52" s="114">
        <v>0</v>
      </c>
      <c r="BH52" s="113">
        <v>0</v>
      </c>
      <c r="BI52" s="114">
        <v>0</v>
      </c>
      <c r="BJ52" s="113">
        <v>0</v>
      </c>
      <c r="BK52" s="114">
        <v>0</v>
      </c>
      <c r="BL52" s="113">
        <v>0</v>
      </c>
      <c r="BM52" s="114">
        <v>0</v>
      </c>
      <c r="BN52" s="113">
        <v>0</v>
      </c>
      <c r="BO52" s="114">
        <v>0</v>
      </c>
      <c r="BP52" s="113">
        <v>0</v>
      </c>
      <c r="BQ52" s="114">
        <v>0</v>
      </c>
      <c r="BR52" s="8">
        <f t="shared" si="20"/>
        <v>0</v>
      </c>
      <c r="BS52" s="24">
        <f t="shared" si="21"/>
        <v>18901.509999999998</v>
      </c>
      <c r="BT52" s="7"/>
    </row>
    <row r="53" spans="2:72" s="6" customFormat="1" ht="22.15" hidden="1" customHeight="1" outlineLevel="1" x14ac:dyDescent="0.25">
      <c r="B53" s="9" t="s">
        <v>12</v>
      </c>
      <c r="C53" s="9" t="str">
        <f t="shared" si="24"/>
        <v>147900706010020</v>
      </c>
      <c r="D53" s="112">
        <v>165064.51</v>
      </c>
      <c r="E53" s="112">
        <v>163864.31633333332</v>
      </c>
      <c r="F53" s="113">
        <v>13655.36</v>
      </c>
      <c r="G53" s="114">
        <v>13655.36</v>
      </c>
      <c r="H53" s="113">
        <v>13655.36</v>
      </c>
      <c r="I53" s="114">
        <v>13812.9</v>
      </c>
      <c r="J53" s="113">
        <v>13694.74</v>
      </c>
      <c r="K53" s="114">
        <v>13694.74</v>
      </c>
      <c r="L53" s="113">
        <v>13694.74</v>
      </c>
      <c r="M53" s="114">
        <v>13694.74</v>
      </c>
      <c r="N53" s="113">
        <v>13694.74</v>
      </c>
      <c r="O53" s="114">
        <v>13694.74</v>
      </c>
      <c r="P53" s="113">
        <v>13694.74</v>
      </c>
      <c r="Q53" s="114">
        <v>13694.74</v>
      </c>
      <c r="R53" s="8">
        <f t="shared" si="22"/>
        <v>164336.9</v>
      </c>
      <c r="S53" s="24">
        <f t="shared" si="23"/>
        <v>472.5836666666728</v>
      </c>
      <c r="T53" s="7"/>
      <c r="U53" s="5"/>
      <c r="V53" s="112">
        <v>13655.36</v>
      </c>
      <c r="W53" s="112">
        <v>13655.36</v>
      </c>
      <c r="X53" s="112">
        <v>13655.36</v>
      </c>
      <c r="Y53" s="112">
        <v>13812.9</v>
      </c>
      <c r="Z53" s="112">
        <v>13694.74</v>
      </c>
      <c r="AA53" s="112">
        <v>13694.74</v>
      </c>
      <c r="AB53" s="113">
        <v>12831.660833333357</v>
      </c>
      <c r="AC53" s="114">
        <v>12831.65</v>
      </c>
      <c r="AD53" s="113">
        <v>12831.65</v>
      </c>
      <c r="AE53" s="114">
        <v>12831.65</v>
      </c>
      <c r="AF53" s="113">
        <v>12831.65</v>
      </c>
      <c r="AG53" s="114">
        <v>12831.65</v>
      </c>
      <c r="AH53" s="8">
        <f t="shared" si="16"/>
        <v>159158.37083333335</v>
      </c>
      <c r="AI53" s="24">
        <f t="shared" si="17"/>
        <v>-5178.5291666666453</v>
      </c>
      <c r="AJ53" s="7"/>
      <c r="AK53" s="98"/>
      <c r="AL53" s="164">
        <v>13655.36</v>
      </c>
      <c r="AM53" s="164">
        <v>13655.36</v>
      </c>
      <c r="AN53" s="164">
        <v>13655.36</v>
      </c>
      <c r="AO53" s="164">
        <v>13812.9</v>
      </c>
      <c r="AP53" s="164">
        <v>13694.74</v>
      </c>
      <c r="AQ53" s="164">
        <v>13694.74</v>
      </c>
      <c r="AR53" s="164">
        <v>10673.91</v>
      </c>
      <c r="AS53" s="164">
        <v>13263.2</v>
      </c>
      <c r="AT53" s="164">
        <v>13263.2</v>
      </c>
      <c r="AU53" s="114">
        <v>9745.34083333335</v>
      </c>
      <c r="AV53" s="113">
        <v>12911.41</v>
      </c>
      <c r="AW53" s="113">
        <v>12911.41</v>
      </c>
      <c r="AX53" s="8">
        <f t="shared" si="18"/>
        <v>154936.93083333335</v>
      </c>
      <c r="AY53" s="24">
        <f t="shared" si="19"/>
        <v>-4221.4400000000023</v>
      </c>
      <c r="AZ53" s="7"/>
      <c r="BA53" s="98"/>
      <c r="BB53" s="126">
        <v>154936.93</v>
      </c>
      <c r="BC53" s="123">
        <v>0</v>
      </c>
      <c r="BD53" s="115" cm="1">
        <f t="array" ref="BD53">_xlfn.IFS($B$3="LE1 2024",R53-BB53-BC53,$B$3="LE2 2024",AH53-BB53-BC53,$B$3="LE3 2024",AX53-BB53-BC53)</f>
        <v>8.3333335351198912E-4</v>
      </c>
      <c r="BE53" s="98"/>
      <c r="BF53" s="113">
        <v>14069.2</v>
      </c>
      <c r="BG53" s="114">
        <v>14069.2</v>
      </c>
      <c r="BH53" s="113">
        <v>14069.2</v>
      </c>
      <c r="BI53" s="114">
        <v>14069.2</v>
      </c>
      <c r="BJ53" s="113">
        <v>14069.2</v>
      </c>
      <c r="BK53" s="114">
        <v>14069.2</v>
      </c>
      <c r="BL53" s="113">
        <v>14069.2</v>
      </c>
      <c r="BM53" s="114">
        <v>14069.2</v>
      </c>
      <c r="BN53" s="113">
        <v>14069.2</v>
      </c>
      <c r="BO53" s="114">
        <v>14069.2</v>
      </c>
      <c r="BP53" s="113">
        <v>14069.2</v>
      </c>
      <c r="BQ53" s="114">
        <v>14069.211266666651</v>
      </c>
      <c r="BR53" s="8">
        <f t="shared" si="20"/>
        <v>168830.41126666666</v>
      </c>
      <c r="BS53" s="24">
        <f t="shared" si="21"/>
        <v>9672.0404333333136</v>
      </c>
      <c r="BT53" s="7"/>
    </row>
    <row r="54" spans="2:72" s="6" customFormat="1" ht="22.15" hidden="1" customHeight="1" outlineLevel="1" x14ac:dyDescent="0.25">
      <c r="B54" s="9" t="s">
        <v>11</v>
      </c>
      <c r="C54" s="9" t="str">
        <f t="shared" si="24"/>
        <v>147900706010030</v>
      </c>
      <c r="D54" s="112">
        <v>0</v>
      </c>
      <c r="E54" s="112">
        <v>0</v>
      </c>
      <c r="F54" s="113">
        <v>0</v>
      </c>
      <c r="G54" s="114">
        <v>0</v>
      </c>
      <c r="H54" s="113">
        <v>0</v>
      </c>
      <c r="I54" s="114">
        <v>0</v>
      </c>
      <c r="J54" s="113">
        <v>0</v>
      </c>
      <c r="K54" s="114">
        <v>0</v>
      </c>
      <c r="L54" s="113">
        <v>0</v>
      </c>
      <c r="M54" s="114">
        <v>0</v>
      </c>
      <c r="N54" s="113">
        <v>0</v>
      </c>
      <c r="O54" s="114">
        <v>0</v>
      </c>
      <c r="P54" s="113">
        <v>0</v>
      </c>
      <c r="Q54" s="114">
        <v>0</v>
      </c>
      <c r="R54" s="8">
        <f t="shared" si="22"/>
        <v>0</v>
      </c>
      <c r="S54" s="24">
        <f t="shared" si="23"/>
        <v>0</v>
      </c>
      <c r="T54" s="7"/>
      <c r="U54" s="5"/>
      <c r="V54" s="112">
        <v>0</v>
      </c>
      <c r="W54" s="112">
        <v>0</v>
      </c>
      <c r="X54" s="112">
        <v>0</v>
      </c>
      <c r="Y54" s="112">
        <v>0</v>
      </c>
      <c r="Z54" s="112">
        <v>0</v>
      </c>
      <c r="AA54" s="112">
        <v>0</v>
      </c>
      <c r="AB54" s="113">
        <v>0</v>
      </c>
      <c r="AC54" s="114">
        <v>0</v>
      </c>
      <c r="AD54" s="113">
        <v>0</v>
      </c>
      <c r="AE54" s="114">
        <v>0</v>
      </c>
      <c r="AF54" s="113">
        <v>0</v>
      </c>
      <c r="AG54" s="114">
        <v>0</v>
      </c>
      <c r="AH54" s="8">
        <f t="shared" si="16"/>
        <v>0</v>
      </c>
      <c r="AI54" s="24">
        <f t="shared" si="17"/>
        <v>0</v>
      </c>
      <c r="AJ54" s="7"/>
      <c r="AK54" s="98"/>
      <c r="AL54" s="164">
        <v>0</v>
      </c>
      <c r="AM54" s="164">
        <v>0</v>
      </c>
      <c r="AN54" s="164">
        <v>0</v>
      </c>
      <c r="AO54" s="164">
        <v>0</v>
      </c>
      <c r="AP54" s="164">
        <v>0</v>
      </c>
      <c r="AQ54" s="164">
        <v>0</v>
      </c>
      <c r="AR54" s="164">
        <v>0</v>
      </c>
      <c r="AS54" s="164">
        <v>0</v>
      </c>
      <c r="AT54" s="164">
        <v>0</v>
      </c>
      <c r="AU54" s="114">
        <v>0</v>
      </c>
      <c r="AV54" s="113">
        <v>0</v>
      </c>
      <c r="AW54" s="113">
        <v>0</v>
      </c>
      <c r="AX54" s="8">
        <f t="shared" si="18"/>
        <v>0</v>
      </c>
      <c r="AY54" s="24">
        <f t="shared" si="19"/>
        <v>0</v>
      </c>
      <c r="AZ54" s="7"/>
      <c r="BA54" s="98"/>
      <c r="BB54" s="126">
        <v>0</v>
      </c>
      <c r="BC54" s="123">
        <v>0</v>
      </c>
      <c r="BD54" s="115" cm="1">
        <f t="array" ref="BD54">_xlfn.IFS($B$3="LE1 2024",R54-BB54-BC54,$B$3="LE2 2024",AH54-BB54-BC54,$B$3="LE3 2024",AX54-BB54-BC54)</f>
        <v>0</v>
      </c>
      <c r="BE54" s="98"/>
      <c r="BF54" s="113">
        <v>0</v>
      </c>
      <c r="BG54" s="114">
        <v>0</v>
      </c>
      <c r="BH54" s="113">
        <v>0</v>
      </c>
      <c r="BI54" s="114">
        <v>0</v>
      </c>
      <c r="BJ54" s="113">
        <v>0</v>
      </c>
      <c r="BK54" s="114">
        <v>0</v>
      </c>
      <c r="BL54" s="113">
        <v>0</v>
      </c>
      <c r="BM54" s="114">
        <v>0</v>
      </c>
      <c r="BN54" s="113">
        <v>0</v>
      </c>
      <c r="BO54" s="114">
        <v>0</v>
      </c>
      <c r="BP54" s="113">
        <v>0</v>
      </c>
      <c r="BQ54" s="114">
        <v>0</v>
      </c>
      <c r="BR54" s="8">
        <f t="shared" si="20"/>
        <v>0</v>
      </c>
      <c r="BS54" s="24">
        <f t="shared" si="21"/>
        <v>0</v>
      </c>
      <c r="BT54" s="7"/>
    </row>
    <row r="55" spans="2:72" s="6" customFormat="1" ht="22.15" hidden="1" customHeight="1" outlineLevel="1" x14ac:dyDescent="0.25">
      <c r="B55" s="9" t="s">
        <v>10</v>
      </c>
      <c r="C55" s="9" t="str">
        <f t="shared" si="24"/>
        <v>147900706013050</v>
      </c>
      <c r="D55" s="112">
        <v>0</v>
      </c>
      <c r="E55" s="112">
        <v>0</v>
      </c>
      <c r="F55" s="113">
        <v>0</v>
      </c>
      <c r="G55" s="114">
        <v>0</v>
      </c>
      <c r="H55" s="113">
        <v>0</v>
      </c>
      <c r="I55" s="114">
        <v>0</v>
      </c>
      <c r="J55" s="113">
        <v>0</v>
      </c>
      <c r="K55" s="114">
        <v>0</v>
      </c>
      <c r="L55" s="113">
        <v>0</v>
      </c>
      <c r="M55" s="114">
        <v>0</v>
      </c>
      <c r="N55" s="113">
        <v>0</v>
      </c>
      <c r="O55" s="114">
        <v>0</v>
      </c>
      <c r="P55" s="113">
        <v>0</v>
      </c>
      <c r="Q55" s="114">
        <v>0</v>
      </c>
      <c r="R55" s="8">
        <f t="shared" si="22"/>
        <v>0</v>
      </c>
      <c r="S55" s="24">
        <f t="shared" si="23"/>
        <v>0</v>
      </c>
      <c r="T55" s="7"/>
      <c r="U55" s="5"/>
      <c r="V55" s="112">
        <v>0</v>
      </c>
      <c r="W55" s="112">
        <v>0</v>
      </c>
      <c r="X55" s="112">
        <v>0</v>
      </c>
      <c r="Y55" s="112">
        <v>0</v>
      </c>
      <c r="Z55" s="112">
        <v>0</v>
      </c>
      <c r="AA55" s="112">
        <v>0</v>
      </c>
      <c r="AB55" s="113">
        <v>0</v>
      </c>
      <c r="AC55" s="114">
        <v>0</v>
      </c>
      <c r="AD55" s="113">
        <v>0</v>
      </c>
      <c r="AE55" s="114">
        <v>0</v>
      </c>
      <c r="AF55" s="113">
        <v>0</v>
      </c>
      <c r="AG55" s="114">
        <v>0</v>
      </c>
      <c r="AH55" s="8">
        <f t="shared" si="16"/>
        <v>0</v>
      </c>
      <c r="AI55" s="24">
        <f t="shared" si="17"/>
        <v>0</v>
      </c>
      <c r="AJ55" s="7"/>
      <c r="AK55" s="98"/>
      <c r="AL55" s="164">
        <v>0</v>
      </c>
      <c r="AM55" s="164">
        <v>0</v>
      </c>
      <c r="AN55" s="164">
        <v>0</v>
      </c>
      <c r="AO55" s="164">
        <v>0</v>
      </c>
      <c r="AP55" s="164">
        <v>0</v>
      </c>
      <c r="AQ55" s="164">
        <v>0</v>
      </c>
      <c r="AR55" s="164">
        <v>0</v>
      </c>
      <c r="AS55" s="164">
        <v>0</v>
      </c>
      <c r="AT55" s="164">
        <v>0</v>
      </c>
      <c r="AU55" s="114">
        <v>0</v>
      </c>
      <c r="AV55" s="113">
        <v>0</v>
      </c>
      <c r="AW55" s="113">
        <v>0</v>
      </c>
      <c r="AX55" s="8">
        <f t="shared" si="18"/>
        <v>0</v>
      </c>
      <c r="AY55" s="24">
        <f t="shared" si="19"/>
        <v>0</v>
      </c>
      <c r="AZ55" s="7"/>
      <c r="BA55" s="98"/>
      <c r="BB55" s="126">
        <v>0</v>
      </c>
      <c r="BC55" s="123">
        <v>0</v>
      </c>
      <c r="BD55" s="115" cm="1">
        <f t="array" ref="BD55">_xlfn.IFS($B$3="LE1 2024",R55-BB55-BC55,$B$3="LE2 2024",AH55-BB55-BC55,$B$3="LE3 2024",AX55-BB55-BC55)</f>
        <v>0</v>
      </c>
      <c r="BE55" s="98"/>
      <c r="BF55" s="113">
        <v>0</v>
      </c>
      <c r="BG55" s="114">
        <v>0</v>
      </c>
      <c r="BH55" s="113">
        <v>0</v>
      </c>
      <c r="BI55" s="114">
        <v>0</v>
      </c>
      <c r="BJ55" s="113">
        <v>0</v>
      </c>
      <c r="BK55" s="114">
        <v>0</v>
      </c>
      <c r="BL55" s="113">
        <v>0</v>
      </c>
      <c r="BM55" s="114">
        <v>0</v>
      </c>
      <c r="BN55" s="113">
        <v>0</v>
      </c>
      <c r="BO55" s="114">
        <v>0</v>
      </c>
      <c r="BP55" s="113">
        <v>0</v>
      </c>
      <c r="BQ55" s="114">
        <v>0</v>
      </c>
      <c r="BR55" s="8">
        <f t="shared" si="20"/>
        <v>0</v>
      </c>
      <c r="BS55" s="24">
        <f t="shared" si="21"/>
        <v>0</v>
      </c>
      <c r="BT55" s="7"/>
    </row>
    <row r="56" spans="2:72" s="6" customFormat="1" ht="22.15" hidden="1" customHeight="1" outlineLevel="1" x14ac:dyDescent="0.25">
      <c r="B56" s="9" t="s">
        <v>9</v>
      </c>
      <c r="C56" s="9" t="str">
        <f t="shared" si="24"/>
        <v>147900706019000</v>
      </c>
      <c r="D56" s="112">
        <v>0</v>
      </c>
      <c r="E56" s="112">
        <v>0</v>
      </c>
      <c r="F56" s="113">
        <v>0</v>
      </c>
      <c r="G56" s="114">
        <v>0</v>
      </c>
      <c r="H56" s="113">
        <v>0</v>
      </c>
      <c r="I56" s="114">
        <v>0</v>
      </c>
      <c r="J56" s="113">
        <v>0</v>
      </c>
      <c r="K56" s="114">
        <v>0</v>
      </c>
      <c r="L56" s="113">
        <v>0</v>
      </c>
      <c r="M56" s="114">
        <v>0</v>
      </c>
      <c r="N56" s="113">
        <v>0</v>
      </c>
      <c r="O56" s="114">
        <v>0</v>
      </c>
      <c r="P56" s="113">
        <v>0</v>
      </c>
      <c r="Q56" s="114">
        <v>0</v>
      </c>
      <c r="R56" s="8">
        <f t="shared" si="22"/>
        <v>0</v>
      </c>
      <c r="S56" s="24">
        <f t="shared" si="23"/>
        <v>0</v>
      </c>
      <c r="T56" s="7"/>
      <c r="U56" s="5"/>
      <c r="V56" s="112">
        <v>0</v>
      </c>
      <c r="W56" s="112">
        <v>0</v>
      </c>
      <c r="X56" s="112">
        <v>0</v>
      </c>
      <c r="Y56" s="112">
        <v>0</v>
      </c>
      <c r="Z56" s="112">
        <v>0</v>
      </c>
      <c r="AA56" s="112">
        <v>0</v>
      </c>
      <c r="AB56" s="113">
        <v>0</v>
      </c>
      <c r="AC56" s="114">
        <v>0</v>
      </c>
      <c r="AD56" s="113">
        <v>0</v>
      </c>
      <c r="AE56" s="114">
        <v>0</v>
      </c>
      <c r="AF56" s="113">
        <v>0</v>
      </c>
      <c r="AG56" s="114">
        <v>0</v>
      </c>
      <c r="AH56" s="8">
        <f t="shared" si="16"/>
        <v>0</v>
      </c>
      <c r="AI56" s="24">
        <f t="shared" si="17"/>
        <v>0</v>
      </c>
      <c r="AJ56" s="7"/>
      <c r="AK56" s="98"/>
      <c r="AL56" s="164">
        <v>0</v>
      </c>
      <c r="AM56" s="164">
        <v>0</v>
      </c>
      <c r="AN56" s="164">
        <v>0</v>
      </c>
      <c r="AO56" s="164">
        <v>0</v>
      </c>
      <c r="AP56" s="164">
        <v>0</v>
      </c>
      <c r="AQ56" s="164">
        <v>0</v>
      </c>
      <c r="AR56" s="164">
        <v>0</v>
      </c>
      <c r="AS56" s="164">
        <v>0</v>
      </c>
      <c r="AT56" s="164">
        <v>0</v>
      </c>
      <c r="AU56" s="114">
        <v>0</v>
      </c>
      <c r="AV56" s="113">
        <v>0</v>
      </c>
      <c r="AW56" s="113">
        <v>0</v>
      </c>
      <c r="AX56" s="8">
        <f t="shared" si="18"/>
        <v>0</v>
      </c>
      <c r="AY56" s="24">
        <f t="shared" si="19"/>
        <v>0</v>
      </c>
      <c r="AZ56" s="7"/>
      <c r="BA56" s="98"/>
      <c r="BB56" s="126">
        <v>0</v>
      </c>
      <c r="BC56" s="123">
        <v>0</v>
      </c>
      <c r="BD56" s="115" cm="1">
        <f t="array" ref="BD56">_xlfn.IFS($B$3="LE1 2024",R56-BB56-BC56,$B$3="LE2 2024",AH56-BB56-BC56,$B$3="LE3 2024",AX56-BB56-BC56)</f>
        <v>0</v>
      </c>
      <c r="BE56" s="98"/>
      <c r="BF56" s="113">
        <v>0</v>
      </c>
      <c r="BG56" s="114">
        <v>0</v>
      </c>
      <c r="BH56" s="113">
        <v>0</v>
      </c>
      <c r="BI56" s="114">
        <v>0</v>
      </c>
      <c r="BJ56" s="113">
        <v>0</v>
      </c>
      <c r="BK56" s="114">
        <v>0</v>
      </c>
      <c r="BL56" s="113">
        <v>0</v>
      </c>
      <c r="BM56" s="114">
        <v>0</v>
      </c>
      <c r="BN56" s="113">
        <v>0</v>
      </c>
      <c r="BO56" s="114">
        <v>0</v>
      </c>
      <c r="BP56" s="113">
        <v>0</v>
      </c>
      <c r="BQ56" s="114">
        <v>0</v>
      </c>
      <c r="BR56" s="8">
        <f t="shared" si="20"/>
        <v>0</v>
      </c>
      <c r="BS56" s="24">
        <f t="shared" si="21"/>
        <v>0</v>
      </c>
      <c r="BT56" s="7"/>
    </row>
    <row r="57" spans="2:72" s="6" customFormat="1" ht="22.15" hidden="1" customHeight="1" outlineLevel="1" x14ac:dyDescent="0.25">
      <c r="B57" s="9" t="s">
        <v>8</v>
      </c>
      <c r="C57" s="9" t="str">
        <f t="shared" si="24"/>
        <v>147900706019010</v>
      </c>
      <c r="D57" s="112">
        <v>0</v>
      </c>
      <c r="E57" s="112">
        <v>0</v>
      </c>
      <c r="F57" s="113">
        <v>0</v>
      </c>
      <c r="G57" s="114">
        <v>0</v>
      </c>
      <c r="H57" s="113">
        <v>0</v>
      </c>
      <c r="I57" s="114">
        <v>0</v>
      </c>
      <c r="J57" s="113">
        <v>0</v>
      </c>
      <c r="K57" s="114">
        <v>0</v>
      </c>
      <c r="L57" s="113">
        <v>0</v>
      </c>
      <c r="M57" s="114">
        <v>0</v>
      </c>
      <c r="N57" s="113">
        <v>0</v>
      </c>
      <c r="O57" s="114">
        <v>0</v>
      </c>
      <c r="P57" s="113">
        <v>0</v>
      </c>
      <c r="Q57" s="114">
        <v>0</v>
      </c>
      <c r="R57" s="8">
        <f t="shared" si="22"/>
        <v>0</v>
      </c>
      <c r="S57" s="24">
        <f t="shared" si="23"/>
        <v>0</v>
      </c>
      <c r="T57" s="7"/>
      <c r="U57" s="5"/>
      <c r="V57" s="112">
        <v>0</v>
      </c>
      <c r="W57" s="112">
        <v>0</v>
      </c>
      <c r="X57" s="112">
        <v>0</v>
      </c>
      <c r="Y57" s="112">
        <v>0</v>
      </c>
      <c r="Z57" s="112">
        <v>0</v>
      </c>
      <c r="AA57" s="112">
        <v>0</v>
      </c>
      <c r="AB57" s="113">
        <v>0</v>
      </c>
      <c r="AC57" s="114">
        <v>0</v>
      </c>
      <c r="AD57" s="113">
        <v>0</v>
      </c>
      <c r="AE57" s="114">
        <v>0</v>
      </c>
      <c r="AF57" s="113">
        <v>0</v>
      </c>
      <c r="AG57" s="114">
        <v>0</v>
      </c>
      <c r="AH57" s="8">
        <f t="shared" si="16"/>
        <v>0</v>
      </c>
      <c r="AI57" s="24">
        <f t="shared" si="17"/>
        <v>0</v>
      </c>
      <c r="AJ57" s="7"/>
      <c r="AK57" s="98"/>
      <c r="AL57" s="164">
        <v>0</v>
      </c>
      <c r="AM57" s="164">
        <v>0</v>
      </c>
      <c r="AN57" s="164">
        <v>0</v>
      </c>
      <c r="AO57" s="164">
        <v>0</v>
      </c>
      <c r="AP57" s="164">
        <v>0</v>
      </c>
      <c r="AQ57" s="164">
        <v>0</v>
      </c>
      <c r="AR57" s="164">
        <v>0</v>
      </c>
      <c r="AS57" s="164">
        <v>0</v>
      </c>
      <c r="AT57" s="164">
        <v>0</v>
      </c>
      <c r="AU57" s="114">
        <v>0</v>
      </c>
      <c r="AV57" s="113">
        <v>0</v>
      </c>
      <c r="AW57" s="113">
        <v>0</v>
      </c>
      <c r="AX57" s="8">
        <f t="shared" si="18"/>
        <v>0</v>
      </c>
      <c r="AY57" s="24">
        <f t="shared" si="19"/>
        <v>0</v>
      </c>
      <c r="AZ57" s="7"/>
      <c r="BA57" s="98"/>
      <c r="BB57" s="126">
        <v>0</v>
      </c>
      <c r="BC57" s="123">
        <v>0</v>
      </c>
      <c r="BD57" s="115" cm="1">
        <f t="array" ref="BD57">_xlfn.IFS($B$3="LE1 2024",R57-BB57-BC57,$B$3="LE2 2024",AH57-BB57-BC57,$B$3="LE3 2024",AX57-BB57-BC57)</f>
        <v>0</v>
      </c>
      <c r="BE57" s="98"/>
      <c r="BF57" s="113">
        <v>0</v>
      </c>
      <c r="BG57" s="114">
        <v>0</v>
      </c>
      <c r="BH57" s="113">
        <v>0</v>
      </c>
      <c r="BI57" s="114">
        <v>0</v>
      </c>
      <c r="BJ57" s="113">
        <v>0</v>
      </c>
      <c r="BK57" s="114">
        <v>0</v>
      </c>
      <c r="BL57" s="113">
        <v>0</v>
      </c>
      <c r="BM57" s="114">
        <v>0</v>
      </c>
      <c r="BN57" s="113">
        <v>0</v>
      </c>
      <c r="BO57" s="114">
        <v>0</v>
      </c>
      <c r="BP57" s="113">
        <v>0</v>
      </c>
      <c r="BQ57" s="114">
        <v>0</v>
      </c>
      <c r="BR57" s="8">
        <f t="shared" si="20"/>
        <v>0</v>
      </c>
      <c r="BS57" s="24">
        <f t="shared" si="21"/>
        <v>0</v>
      </c>
      <c r="BT57" s="7"/>
    </row>
    <row r="58" spans="2:72" s="6" customFormat="1" ht="22.15" hidden="1" customHeight="1" outlineLevel="1" x14ac:dyDescent="0.25">
      <c r="B58" s="9" t="s">
        <v>7</v>
      </c>
      <c r="C58" s="9" t="str">
        <f t="shared" si="24"/>
        <v>147900706022000</v>
      </c>
      <c r="D58" s="112">
        <v>0</v>
      </c>
      <c r="E58" s="112">
        <v>0</v>
      </c>
      <c r="F58" s="113">
        <v>0</v>
      </c>
      <c r="G58" s="114">
        <v>0</v>
      </c>
      <c r="H58" s="113">
        <v>0</v>
      </c>
      <c r="I58" s="114">
        <v>0</v>
      </c>
      <c r="J58" s="113">
        <v>0</v>
      </c>
      <c r="K58" s="114">
        <v>0</v>
      </c>
      <c r="L58" s="113">
        <v>0</v>
      </c>
      <c r="M58" s="114">
        <v>0</v>
      </c>
      <c r="N58" s="113">
        <v>0</v>
      </c>
      <c r="O58" s="114">
        <v>0</v>
      </c>
      <c r="P58" s="113">
        <v>0</v>
      </c>
      <c r="Q58" s="114">
        <v>0</v>
      </c>
      <c r="R58" s="8">
        <f t="shared" si="22"/>
        <v>0</v>
      </c>
      <c r="S58" s="24">
        <f t="shared" si="23"/>
        <v>0</v>
      </c>
      <c r="T58" s="7"/>
      <c r="U58" s="5"/>
      <c r="V58" s="112">
        <v>0</v>
      </c>
      <c r="W58" s="112">
        <v>0</v>
      </c>
      <c r="X58" s="112">
        <v>0</v>
      </c>
      <c r="Y58" s="112">
        <v>0</v>
      </c>
      <c r="Z58" s="112">
        <v>0</v>
      </c>
      <c r="AA58" s="112">
        <v>0</v>
      </c>
      <c r="AB58" s="113">
        <v>0</v>
      </c>
      <c r="AC58" s="114">
        <v>0</v>
      </c>
      <c r="AD58" s="113">
        <v>0</v>
      </c>
      <c r="AE58" s="114">
        <v>0</v>
      </c>
      <c r="AF58" s="113">
        <v>0</v>
      </c>
      <c r="AG58" s="114">
        <v>0</v>
      </c>
      <c r="AH58" s="8">
        <f t="shared" si="16"/>
        <v>0</v>
      </c>
      <c r="AI58" s="24">
        <f t="shared" si="17"/>
        <v>0</v>
      </c>
      <c r="AJ58" s="7"/>
      <c r="AK58" s="98"/>
      <c r="AL58" s="164">
        <v>0</v>
      </c>
      <c r="AM58" s="164">
        <v>0</v>
      </c>
      <c r="AN58" s="164">
        <v>0</v>
      </c>
      <c r="AO58" s="164">
        <v>0</v>
      </c>
      <c r="AP58" s="164">
        <v>0</v>
      </c>
      <c r="AQ58" s="164">
        <v>0</v>
      </c>
      <c r="AR58" s="164">
        <v>0</v>
      </c>
      <c r="AS58" s="164">
        <v>0</v>
      </c>
      <c r="AT58" s="164">
        <v>0</v>
      </c>
      <c r="AU58" s="114">
        <v>0</v>
      </c>
      <c r="AV58" s="113">
        <v>0</v>
      </c>
      <c r="AW58" s="113">
        <v>0</v>
      </c>
      <c r="AX58" s="8">
        <f t="shared" si="18"/>
        <v>0</v>
      </c>
      <c r="AY58" s="24">
        <f t="shared" si="19"/>
        <v>0</v>
      </c>
      <c r="AZ58" s="7"/>
      <c r="BA58" s="98"/>
      <c r="BB58" s="126">
        <v>0</v>
      </c>
      <c r="BC58" s="123">
        <v>0</v>
      </c>
      <c r="BD58" s="115" cm="1">
        <f t="array" ref="BD58">_xlfn.IFS($B$3="LE1 2024",R58-BB58-BC58,$B$3="LE2 2024",AH58-BB58-BC58,$B$3="LE3 2024",AX58-BB58-BC58)</f>
        <v>0</v>
      </c>
      <c r="BE58" s="98"/>
      <c r="BF58" s="113">
        <v>0</v>
      </c>
      <c r="BG58" s="114">
        <v>0</v>
      </c>
      <c r="BH58" s="113">
        <v>0</v>
      </c>
      <c r="BI58" s="114">
        <v>0</v>
      </c>
      <c r="BJ58" s="113">
        <v>0</v>
      </c>
      <c r="BK58" s="114">
        <v>0</v>
      </c>
      <c r="BL58" s="113">
        <v>0</v>
      </c>
      <c r="BM58" s="114">
        <v>0</v>
      </c>
      <c r="BN58" s="113">
        <v>0</v>
      </c>
      <c r="BO58" s="114">
        <v>0</v>
      </c>
      <c r="BP58" s="113">
        <v>0</v>
      </c>
      <c r="BQ58" s="114">
        <v>0</v>
      </c>
      <c r="BR58" s="8">
        <f t="shared" si="20"/>
        <v>0</v>
      </c>
      <c r="BS58" s="24">
        <f t="shared" si="21"/>
        <v>0</v>
      </c>
      <c r="BT58" s="7"/>
    </row>
    <row r="59" spans="2:72" s="6" customFormat="1" ht="22.15" hidden="1" customHeight="1" outlineLevel="1" x14ac:dyDescent="0.25">
      <c r="B59" s="9" t="s">
        <v>6</v>
      </c>
      <c r="C59" s="9" t="str">
        <f t="shared" si="24"/>
        <v>147900706022010</v>
      </c>
      <c r="D59" s="112">
        <v>0</v>
      </c>
      <c r="E59" s="112">
        <v>0</v>
      </c>
      <c r="F59" s="113">
        <v>0</v>
      </c>
      <c r="G59" s="114">
        <v>0</v>
      </c>
      <c r="H59" s="113">
        <v>0</v>
      </c>
      <c r="I59" s="114">
        <v>0</v>
      </c>
      <c r="J59" s="113">
        <v>0</v>
      </c>
      <c r="K59" s="114">
        <v>0</v>
      </c>
      <c r="L59" s="113">
        <v>0</v>
      </c>
      <c r="M59" s="114">
        <v>0</v>
      </c>
      <c r="N59" s="113">
        <v>0</v>
      </c>
      <c r="O59" s="114">
        <v>0</v>
      </c>
      <c r="P59" s="113">
        <v>0</v>
      </c>
      <c r="Q59" s="114">
        <v>0</v>
      </c>
      <c r="R59" s="8">
        <f t="shared" si="22"/>
        <v>0</v>
      </c>
      <c r="S59" s="24">
        <f t="shared" si="23"/>
        <v>0</v>
      </c>
      <c r="T59" s="7"/>
      <c r="U59" s="5"/>
      <c r="V59" s="112">
        <v>0</v>
      </c>
      <c r="W59" s="112">
        <v>0</v>
      </c>
      <c r="X59" s="112">
        <v>0</v>
      </c>
      <c r="Y59" s="112">
        <v>0</v>
      </c>
      <c r="Z59" s="112">
        <v>0</v>
      </c>
      <c r="AA59" s="112">
        <v>0</v>
      </c>
      <c r="AB59" s="113">
        <v>0</v>
      </c>
      <c r="AC59" s="114">
        <v>0</v>
      </c>
      <c r="AD59" s="113">
        <v>0</v>
      </c>
      <c r="AE59" s="114">
        <v>0</v>
      </c>
      <c r="AF59" s="113">
        <v>0</v>
      </c>
      <c r="AG59" s="114">
        <v>0</v>
      </c>
      <c r="AH59" s="8">
        <f t="shared" si="16"/>
        <v>0</v>
      </c>
      <c r="AI59" s="24">
        <f t="shared" si="17"/>
        <v>0</v>
      </c>
      <c r="AJ59" s="7"/>
      <c r="AK59" s="98"/>
      <c r="AL59" s="164">
        <v>0</v>
      </c>
      <c r="AM59" s="164">
        <v>0</v>
      </c>
      <c r="AN59" s="164">
        <v>0</v>
      </c>
      <c r="AO59" s="164">
        <v>0</v>
      </c>
      <c r="AP59" s="164">
        <v>0</v>
      </c>
      <c r="AQ59" s="164">
        <v>0</v>
      </c>
      <c r="AR59" s="164">
        <v>0</v>
      </c>
      <c r="AS59" s="164">
        <v>0</v>
      </c>
      <c r="AT59" s="164">
        <v>0</v>
      </c>
      <c r="AU59" s="114">
        <v>0</v>
      </c>
      <c r="AV59" s="113">
        <v>0</v>
      </c>
      <c r="AW59" s="113">
        <v>0</v>
      </c>
      <c r="AX59" s="8">
        <f t="shared" si="18"/>
        <v>0</v>
      </c>
      <c r="AY59" s="24">
        <f t="shared" si="19"/>
        <v>0</v>
      </c>
      <c r="AZ59" s="7"/>
      <c r="BA59" s="98"/>
      <c r="BB59" s="126">
        <v>0</v>
      </c>
      <c r="BC59" s="123">
        <v>0</v>
      </c>
      <c r="BD59" s="115" cm="1">
        <f t="array" ref="BD59">_xlfn.IFS($B$3="LE1 2024",R59-BB59-BC59,$B$3="LE2 2024",AH59-BB59-BC59,$B$3="LE3 2024",AX59-BB59-BC59)</f>
        <v>0</v>
      </c>
      <c r="BE59" s="98"/>
      <c r="BF59" s="113">
        <v>0</v>
      </c>
      <c r="BG59" s="114">
        <v>0</v>
      </c>
      <c r="BH59" s="113">
        <v>0</v>
      </c>
      <c r="BI59" s="114">
        <v>0</v>
      </c>
      <c r="BJ59" s="113">
        <v>0</v>
      </c>
      <c r="BK59" s="114">
        <v>0</v>
      </c>
      <c r="BL59" s="113">
        <v>0</v>
      </c>
      <c r="BM59" s="114">
        <v>0</v>
      </c>
      <c r="BN59" s="113">
        <v>0</v>
      </c>
      <c r="BO59" s="114">
        <v>0</v>
      </c>
      <c r="BP59" s="113">
        <v>0</v>
      </c>
      <c r="BQ59" s="114">
        <v>0</v>
      </c>
      <c r="BR59" s="8">
        <f t="shared" si="20"/>
        <v>0</v>
      </c>
      <c r="BS59" s="24">
        <f t="shared" si="21"/>
        <v>0</v>
      </c>
      <c r="BT59" s="7"/>
    </row>
    <row r="60" spans="2:72" s="6" customFormat="1" ht="22.15" hidden="1" customHeight="1" outlineLevel="1" x14ac:dyDescent="0.25">
      <c r="B60" s="9" t="s">
        <v>5</v>
      </c>
      <c r="C60" s="9" t="str">
        <f t="shared" si="24"/>
        <v>147900706022040</v>
      </c>
      <c r="D60" s="112">
        <v>0</v>
      </c>
      <c r="E60" s="112">
        <v>0</v>
      </c>
      <c r="F60" s="113">
        <v>0</v>
      </c>
      <c r="G60" s="114">
        <v>0</v>
      </c>
      <c r="H60" s="113">
        <v>0</v>
      </c>
      <c r="I60" s="114">
        <v>0</v>
      </c>
      <c r="J60" s="113">
        <v>0</v>
      </c>
      <c r="K60" s="114">
        <v>0</v>
      </c>
      <c r="L60" s="113">
        <v>0</v>
      </c>
      <c r="M60" s="114">
        <v>0</v>
      </c>
      <c r="N60" s="113">
        <v>0</v>
      </c>
      <c r="O60" s="114">
        <v>0</v>
      </c>
      <c r="P60" s="113">
        <v>0</v>
      </c>
      <c r="Q60" s="114">
        <v>0</v>
      </c>
      <c r="R60" s="8">
        <f t="shared" si="22"/>
        <v>0</v>
      </c>
      <c r="S60" s="24">
        <f t="shared" si="23"/>
        <v>0</v>
      </c>
      <c r="T60" s="7"/>
      <c r="U60" s="5"/>
      <c r="V60" s="112">
        <v>0</v>
      </c>
      <c r="W60" s="112">
        <v>0</v>
      </c>
      <c r="X60" s="112">
        <v>0</v>
      </c>
      <c r="Y60" s="112">
        <v>0</v>
      </c>
      <c r="Z60" s="112">
        <v>0</v>
      </c>
      <c r="AA60" s="112">
        <v>0</v>
      </c>
      <c r="AB60" s="113">
        <v>0</v>
      </c>
      <c r="AC60" s="114">
        <v>0</v>
      </c>
      <c r="AD60" s="113">
        <v>0</v>
      </c>
      <c r="AE60" s="114">
        <v>0</v>
      </c>
      <c r="AF60" s="113">
        <v>0</v>
      </c>
      <c r="AG60" s="114">
        <v>0</v>
      </c>
      <c r="AH60" s="8">
        <f t="shared" si="16"/>
        <v>0</v>
      </c>
      <c r="AI60" s="24">
        <f t="shared" si="17"/>
        <v>0</v>
      </c>
      <c r="AJ60" s="7"/>
      <c r="AK60" s="98"/>
      <c r="AL60" s="164">
        <v>0</v>
      </c>
      <c r="AM60" s="164">
        <v>0</v>
      </c>
      <c r="AN60" s="164">
        <v>0</v>
      </c>
      <c r="AO60" s="164">
        <v>0</v>
      </c>
      <c r="AP60" s="164">
        <v>0</v>
      </c>
      <c r="AQ60" s="164">
        <v>0</v>
      </c>
      <c r="AR60" s="164">
        <v>0</v>
      </c>
      <c r="AS60" s="164">
        <v>0</v>
      </c>
      <c r="AT60" s="164">
        <v>0</v>
      </c>
      <c r="AU60" s="114">
        <v>0</v>
      </c>
      <c r="AV60" s="113">
        <v>0</v>
      </c>
      <c r="AW60" s="113">
        <v>0</v>
      </c>
      <c r="AX60" s="8">
        <f t="shared" si="18"/>
        <v>0</v>
      </c>
      <c r="AY60" s="24">
        <f t="shared" si="19"/>
        <v>0</v>
      </c>
      <c r="AZ60" s="7"/>
      <c r="BA60" s="98"/>
      <c r="BB60" s="126">
        <v>0</v>
      </c>
      <c r="BC60" s="123">
        <v>0</v>
      </c>
      <c r="BD60" s="115" cm="1">
        <f t="array" ref="BD60">_xlfn.IFS($B$3="LE1 2024",R60-BB60-BC60,$B$3="LE2 2024",AH60-BB60-BC60,$B$3="LE3 2024",AX60-BB60-BC60)</f>
        <v>0</v>
      </c>
      <c r="BE60" s="98"/>
      <c r="BF60" s="113">
        <v>0</v>
      </c>
      <c r="BG60" s="114">
        <v>0</v>
      </c>
      <c r="BH60" s="113">
        <v>0</v>
      </c>
      <c r="BI60" s="114">
        <v>0</v>
      </c>
      <c r="BJ60" s="113">
        <v>0</v>
      </c>
      <c r="BK60" s="114">
        <v>0</v>
      </c>
      <c r="BL60" s="113">
        <v>0</v>
      </c>
      <c r="BM60" s="114">
        <v>0</v>
      </c>
      <c r="BN60" s="113">
        <v>0</v>
      </c>
      <c r="BO60" s="114">
        <v>0</v>
      </c>
      <c r="BP60" s="113">
        <v>0</v>
      </c>
      <c r="BQ60" s="114">
        <v>0</v>
      </c>
      <c r="BR60" s="8">
        <f t="shared" si="20"/>
        <v>0</v>
      </c>
      <c r="BS60" s="24">
        <f t="shared" si="21"/>
        <v>0</v>
      </c>
      <c r="BT60" s="7"/>
    </row>
    <row r="61" spans="2:72" s="6" customFormat="1" ht="22.15" hidden="1" customHeight="1" outlineLevel="1" x14ac:dyDescent="0.25">
      <c r="B61" s="9" t="s">
        <v>4</v>
      </c>
      <c r="C61" s="9" t="str">
        <f t="shared" si="24"/>
        <v>147900706024030</v>
      </c>
      <c r="D61" s="112">
        <v>-4151.2900000000009</v>
      </c>
      <c r="E61" s="112">
        <v>16500</v>
      </c>
      <c r="F61" s="113">
        <v>0</v>
      </c>
      <c r="G61" s="114">
        <v>12838</v>
      </c>
      <c r="H61" s="113">
        <v>7621.34</v>
      </c>
      <c r="I61" s="114">
        <v>40.659999999999997</v>
      </c>
      <c r="J61" s="113">
        <v>0</v>
      </c>
      <c r="K61" s="114">
        <v>0</v>
      </c>
      <c r="L61" s="113">
        <v>0</v>
      </c>
      <c r="M61" s="114">
        <v>0</v>
      </c>
      <c r="N61" s="113">
        <v>0</v>
      </c>
      <c r="O61" s="114">
        <v>0</v>
      </c>
      <c r="P61" s="113">
        <v>0</v>
      </c>
      <c r="Q61" s="114">
        <v>0</v>
      </c>
      <c r="R61" s="8">
        <f t="shared" si="22"/>
        <v>20500</v>
      </c>
      <c r="S61" s="24">
        <f t="shared" si="23"/>
        <v>4000</v>
      </c>
      <c r="T61" s="7"/>
      <c r="U61" s="5"/>
      <c r="V61" s="112">
        <v>0</v>
      </c>
      <c r="W61" s="112">
        <v>12838</v>
      </c>
      <c r="X61" s="112">
        <v>7621.34</v>
      </c>
      <c r="Y61" s="112">
        <v>10186.69</v>
      </c>
      <c r="Z61" s="112">
        <v>18539.68</v>
      </c>
      <c r="AA61" s="112">
        <v>0</v>
      </c>
      <c r="AB61" s="113">
        <v>0</v>
      </c>
      <c r="AC61" s="114">
        <v>0</v>
      </c>
      <c r="AD61" s="113">
        <v>0</v>
      </c>
      <c r="AE61" s="114">
        <v>0</v>
      </c>
      <c r="AF61" s="113">
        <v>0</v>
      </c>
      <c r="AG61" s="114">
        <v>314.29000000000002</v>
      </c>
      <c r="AH61" s="8">
        <f t="shared" si="16"/>
        <v>49500</v>
      </c>
      <c r="AI61" s="24">
        <f t="shared" si="17"/>
        <v>29000</v>
      </c>
      <c r="AJ61" s="7"/>
      <c r="AK61" s="98"/>
      <c r="AL61" s="164">
        <v>0</v>
      </c>
      <c r="AM61" s="164">
        <v>12838</v>
      </c>
      <c r="AN61" s="164">
        <v>7621.34</v>
      </c>
      <c r="AO61" s="164">
        <v>10186.69</v>
      </c>
      <c r="AP61" s="164">
        <v>18539.68</v>
      </c>
      <c r="AQ61" s="164">
        <v>0</v>
      </c>
      <c r="AR61" s="164">
        <v>0</v>
      </c>
      <c r="AS61" s="164">
        <v>0</v>
      </c>
      <c r="AT61" s="164">
        <v>0</v>
      </c>
      <c r="AU61" s="114">
        <v>0</v>
      </c>
      <c r="AV61" s="113">
        <v>0</v>
      </c>
      <c r="AW61" s="113">
        <v>314.29000000000002</v>
      </c>
      <c r="AX61" s="8">
        <f t="shared" si="18"/>
        <v>49500</v>
      </c>
      <c r="AY61" s="24">
        <f t="shared" si="19"/>
        <v>0</v>
      </c>
      <c r="AZ61" s="7"/>
      <c r="BA61" s="98"/>
      <c r="BB61" s="126">
        <v>49185.709999999992</v>
      </c>
      <c r="BC61" s="123">
        <v>0</v>
      </c>
      <c r="BD61" s="115" cm="1">
        <f t="array" ref="BD61">_xlfn.IFS($B$3="LE1 2024",R61-BB61-BC61,$B$3="LE2 2024",AH61-BB61-BC61,$B$3="LE3 2024",AX61-BB61-BC61)</f>
        <v>314.29000000000815</v>
      </c>
      <c r="BE61" s="98"/>
      <c r="BF61" s="113">
        <v>0</v>
      </c>
      <c r="BG61" s="114">
        <v>0</v>
      </c>
      <c r="BH61" s="113">
        <v>0</v>
      </c>
      <c r="BI61" s="114">
        <v>0</v>
      </c>
      <c r="BJ61" s="113">
        <v>0</v>
      </c>
      <c r="BK61" s="114">
        <v>0</v>
      </c>
      <c r="BL61" s="113">
        <v>0</v>
      </c>
      <c r="BM61" s="114">
        <v>0</v>
      </c>
      <c r="BN61" s="113">
        <v>0</v>
      </c>
      <c r="BO61" s="114">
        <v>0</v>
      </c>
      <c r="BP61" s="113">
        <v>0</v>
      </c>
      <c r="BQ61" s="114">
        <v>0</v>
      </c>
      <c r="BR61" s="8">
        <f t="shared" si="20"/>
        <v>0</v>
      </c>
      <c r="BS61" s="24">
        <f t="shared" si="21"/>
        <v>-49500</v>
      </c>
      <c r="BT61" s="7"/>
    </row>
    <row r="62" spans="2:72" s="6" customFormat="1" ht="22.15" hidden="1" customHeight="1" outlineLevel="1" x14ac:dyDescent="0.25">
      <c r="B62" s="9" t="s">
        <v>3</v>
      </c>
      <c r="C62" s="9" t="str">
        <f t="shared" si="24"/>
        <v>147900706024040</v>
      </c>
      <c r="D62" s="112">
        <v>50907.990000000005</v>
      </c>
      <c r="E62" s="112">
        <v>40000</v>
      </c>
      <c r="F62" s="113">
        <v>760</v>
      </c>
      <c r="G62" s="114">
        <v>-2965.96</v>
      </c>
      <c r="H62" s="113">
        <v>-201.39</v>
      </c>
      <c r="I62" s="114">
        <v>11000</v>
      </c>
      <c r="J62" s="113">
        <v>20000</v>
      </c>
      <c r="K62" s="114">
        <v>10000</v>
      </c>
      <c r="L62" s="113">
        <v>10000</v>
      </c>
      <c r="M62" s="114">
        <v>10000</v>
      </c>
      <c r="N62" s="113">
        <v>8000</v>
      </c>
      <c r="O62" s="114">
        <v>0</v>
      </c>
      <c r="P62" s="113">
        <v>0</v>
      </c>
      <c r="Q62" s="114">
        <v>4852.3500000000004</v>
      </c>
      <c r="R62" s="8">
        <f t="shared" si="22"/>
        <v>71445</v>
      </c>
      <c r="S62" s="24">
        <f t="shared" si="23"/>
        <v>31445</v>
      </c>
      <c r="T62" s="7"/>
      <c r="U62" s="5"/>
      <c r="V62" s="112">
        <v>760</v>
      </c>
      <c r="W62" s="112">
        <v>-2965.96</v>
      </c>
      <c r="X62" s="112">
        <v>-201.39</v>
      </c>
      <c r="Y62" s="112">
        <v>118.8</v>
      </c>
      <c r="Z62" s="112">
        <v>2866.11</v>
      </c>
      <c r="AA62" s="112">
        <v>0</v>
      </c>
      <c r="AB62" s="113">
        <v>10000</v>
      </c>
      <c r="AC62" s="114">
        <v>10000</v>
      </c>
      <c r="AD62" s="113">
        <v>8000</v>
      </c>
      <c r="AE62" s="114">
        <v>9365.09</v>
      </c>
      <c r="AF62" s="113">
        <v>0</v>
      </c>
      <c r="AG62" s="114">
        <v>4852.3500000000004</v>
      </c>
      <c r="AH62" s="8">
        <f t="shared" si="16"/>
        <v>42795</v>
      </c>
      <c r="AI62" s="24">
        <f t="shared" si="17"/>
        <v>-28650</v>
      </c>
      <c r="AJ62" s="7"/>
      <c r="AK62" s="98"/>
      <c r="AL62" s="164">
        <v>760</v>
      </c>
      <c r="AM62" s="164">
        <v>-2965.96</v>
      </c>
      <c r="AN62" s="164">
        <v>-201.39</v>
      </c>
      <c r="AO62" s="164">
        <v>118.8</v>
      </c>
      <c r="AP62" s="164">
        <v>2866.11</v>
      </c>
      <c r="AQ62" s="164">
        <v>0</v>
      </c>
      <c r="AR62" s="164">
        <v>0</v>
      </c>
      <c r="AS62" s="164">
        <v>323.73</v>
      </c>
      <c r="AT62" s="164">
        <v>479.6</v>
      </c>
      <c r="AU62" s="114">
        <v>16885.489999999998</v>
      </c>
      <c r="AV62" s="113">
        <v>14676.27</v>
      </c>
      <c r="AW62" s="113">
        <v>4852.3500000000004</v>
      </c>
      <c r="AX62" s="8">
        <f t="shared" si="18"/>
        <v>37794.999999999993</v>
      </c>
      <c r="AY62" s="24">
        <f t="shared" si="19"/>
        <v>-5000.0000000000073</v>
      </c>
      <c r="AZ62" s="7"/>
      <c r="BA62" s="98"/>
      <c r="BB62" s="126">
        <v>21817.99</v>
      </c>
      <c r="BC62" s="123">
        <v>0</v>
      </c>
      <c r="BD62" s="115" cm="1">
        <f t="array" ref="BD62">_xlfn.IFS($B$3="LE1 2024",R62-BB62-BC62,$B$3="LE2 2024",AH62-BB62-BC62,$B$3="LE3 2024",AX62-BB62-BC62)</f>
        <v>15977.009999999991</v>
      </c>
      <c r="BE62" s="98"/>
      <c r="BF62" s="113">
        <v>0</v>
      </c>
      <c r="BG62" s="114">
        <v>0</v>
      </c>
      <c r="BH62" s="113">
        <v>0</v>
      </c>
      <c r="BI62" s="114">
        <v>0</v>
      </c>
      <c r="BJ62" s="113">
        <v>0</v>
      </c>
      <c r="BK62" s="114">
        <v>0</v>
      </c>
      <c r="BL62" s="113">
        <v>0</v>
      </c>
      <c r="BM62" s="114">
        <v>0</v>
      </c>
      <c r="BN62" s="113">
        <v>0</v>
      </c>
      <c r="BO62" s="114">
        <v>0</v>
      </c>
      <c r="BP62" s="113">
        <v>0</v>
      </c>
      <c r="BQ62" s="114">
        <v>0</v>
      </c>
      <c r="BR62" s="8">
        <f t="shared" si="20"/>
        <v>0</v>
      </c>
      <c r="BS62" s="24">
        <f t="shared" si="21"/>
        <v>-42795</v>
      </c>
      <c r="BT62" s="7"/>
    </row>
    <row r="63" spans="2:72" s="6" customFormat="1" ht="22.15" hidden="1" customHeight="1" outlineLevel="1" x14ac:dyDescent="0.25">
      <c r="B63" s="9" t="s">
        <v>2</v>
      </c>
      <c r="C63" s="9" t="str">
        <f t="shared" si="24"/>
        <v>147900706024050</v>
      </c>
      <c r="D63" s="112">
        <v>1838.97</v>
      </c>
      <c r="E63" s="112">
        <v>6680</v>
      </c>
      <c r="F63" s="113">
        <v>0</v>
      </c>
      <c r="G63" s="114">
        <v>0</v>
      </c>
      <c r="H63" s="113">
        <v>378.23</v>
      </c>
      <c r="I63" s="114">
        <v>0</v>
      </c>
      <c r="J63" s="113">
        <v>3000</v>
      </c>
      <c r="K63" s="114">
        <v>0</v>
      </c>
      <c r="L63" s="113">
        <v>0</v>
      </c>
      <c r="M63" s="114">
        <v>0</v>
      </c>
      <c r="N63" s="113">
        <v>1090</v>
      </c>
      <c r="O63" s="114">
        <v>1090</v>
      </c>
      <c r="P63" s="113">
        <v>1090</v>
      </c>
      <c r="Q63" s="114">
        <v>2131.77</v>
      </c>
      <c r="R63" s="8">
        <f t="shared" si="22"/>
        <v>8780</v>
      </c>
      <c r="S63" s="24">
        <f t="shared" si="23"/>
        <v>2100</v>
      </c>
      <c r="T63" s="7"/>
      <c r="U63" s="5"/>
      <c r="V63" s="112">
        <v>0</v>
      </c>
      <c r="W63" s="112">
        <v>0</v>
      </c>
      <c r="X63" s="112">
        <v>378.23</v>
      </c>
      <c r="Y63" s="112">
        <v>0</v>
      </c>
      <c r="Z63" s="112">
        <v>992.99</v>
      </c>
      <c r="AA63" s="112">
        <v>0</v>
      </c>
      <c r="AB63" s="113">
        <v>1000</v>
      </c>
      <c r="AC63" s="114">
        <v>1000</v>
      </c>
      <c r="AD63" s="113">
        <v>1090</v>
      </c>
      <c r="AE63" s="114">
        <v>1090</v>
      </c>
      <c r="AF63" s="113">
        <v>1090</v>
      </c>
      <c r="AG63" s="114">
        <v>3138.78</v>
      </c>
      <c r="AH63" s="8">
        <f t="shared" si="16"/>
        <v>9780</v>
      </c>
      <c r="AI63" s="24">
        <f t="shared" si="17"/>
        <v>1000</v>
      </c>
      <c r="AJ63" s="7"/>
      <c r="AK63" s="98"/>
      <c r="AL63" s="164">
        <v>0</v>
      </c>
      <c r="AM63" s="164">
        <v>0</v>
      </c>
      <c r="AN63" s="164">
        <v>378.23</v>
      </c>
      <c r="AO63" s="164">
        <v>0</v>
      </c>
      <c r="AP63" s="164">
        <v>992.99</v>
      </c>
      <c r="AQ63" s="164">
        <v>0</v>
      </c>
      <c r="AR63" s="164">
        <v>5487.41</v>
      </c>
      <c r="AS63" s="164">
        <v>688.41</v>
      </c>
      <c r="AT63" s="164">
        <v>0</v>
      </c>
      <c r="AU63" s="114">
        <v>744.32</v>
      </c>
      <c r="AV63" s="113">
        <v>744.32</v>
      </c>
      <c r="AW63" s="113">
        <v>744.31999999999971</v>
      </c>
      <c r="AX63" s="8">
        <f t="shared" si="18"/>
        <v>9780</v>
      </c>
      <c r="AY63" s="24">
        <f t="shared" si="19"/>
        <v>0</v>
      </c>
      <c r="AZ63" s="7"/>
      <c r="BA63" s="98"/>
      <c r="BB63" s="126">
        <v>7547.0400000000009</v>
      </c>
      <c r="BC63" s="123">
        <v>0</v>
      </c>
      <c r="BD63" s="115" cm="1">
        <f t="array" ref="BD63">_xlfn.IFS($B$3="LE1 2024",R63-BB63-BC63,$B$3="LE2 2024",AH63-BB63-BC63,$B$3="LE3 2024",AX63-BB63-BC63)</f>
        <v>2232.9599999999991</v>
      </c>
      <c r="BE63" s="98"/>
      <c r="BF63" s="113">
        <v>0</v>
      </c>
      <c r="BG63" s="114">
        <v>0</v>
      </c>
      <c r="BH63" s="113">
        <v>0</v>
      </c>
      <c r="BI63" s="114">
        <v>0</v>
      </c>
      <c r="BJ63" s="113">
        <v>0</v>
      </c>
      <c r="BK63" s="114">
        <v>0</v>
      </c>
      <c r="BL63" s="113">
        <v>0</v>
      </c>
      <c r="BM63" s="114">
        <v>0</v>
      </c>
      <c r="BN63" s="113">
        <v>0</v>
      </c>
      <c r="BO63" s="114">
        <v>0</v>
      </c>
      <c r="BP63" s="113">
        <v>0</v>
      </c>
      <c r="BQ63" s="114">
        <v>2725</v>
      </c>
      <c r="BR63" s="8">
        <f t="shared" si="20"/>
        <v>2725</v>
      </c>
      <c r="BS63" s="24">
        <f t="shared" si="21"/>
        <v>-7055</v>
      </c>
      <c r="BT63" s="7"/>
    </row>
    <row r="64" spans="2:72" s="6" customFormat="1" ht="22.15" hidden="1" customHeight="1" outlineLevel="1" x14ac:dyDescent="0.25">
      <c r="B64" s="9" t="s">
        <v>1</v>
      </c>
      <c r="C64" s="9" t="str">
        <f t="shared" si="24"/>
        <v>147900706026010</v>
      </c>
      <c r="D64" s="112">
        <v>764123.34000000008</v>
      </c>
      <c r="E64" s="112">
        <v>750666</v>
      </c>
      <c r="F64" s="113">
        <v>45808.5</v>
      </c>
      <c r="G64" s="114">
        <v>41430.99</v>
      </c>
      <c r="H64" s="113">
        <v>93059.99</v>
      </c>
      <c r="I64" s="114">
        <v>59095.5</v>
      </c>
      <c r="J64" s="113">
        <v>59095.5</v>
      </c>
      <c r="K64" s="114">
        <v>59095.5</v>
      </c>
      <c r="L64" s="113">
        <v>59095.5</v>
      </c>
      <c r="M64" s="114">
        <v>59095.5</v>
      </c>
      <c r="N64" s="113">
        <v>59095.5</v>
      </c>
      <c r="O64" s="114">
        <v>59095.5</v>
      </c>
      <c r="P64" s="113">
        <v>59095.5</v>
      </c>
      <c r="Q64" s="114">
        <v>59095.519999999997</v>
      </c>
      <c r="R64" s="8">
        <f t="shared" si="22"/>
        <v>712159</v>
      </c>
      <c r="S64" s="24">
        <f t="shared" si="23"/>
        <v>-38507</v>
      </c>
      <c r="T64" s="7"/>
      <c r="U64" s="5"/>
      <c r="V64" s="112">
        <v>45808.5</v>
      </c>
      <c r="W64" s="112">
        <v>41430.99</v>
      </c>
      <c r="X64" s="112">
        <v>93059.99</v>
      </c>
      <c r="Y64" s="112">
        <v>62146.67</v>
      </c>
      <c r="Z64" s="112">
        <v>64626.69</v>
      </c>
      <c r="AA64" s="112">
        <v>62846.66</v>
      </c>
      <c r="AB64" s="113">
        <v>55822.419999999925</v>
      </c>
      <c r="AC64" s="114">
        <v>57000</v>
      </c>
      <c r="AD64" s="113">
        <v>57000</v>
      </c>
      <c r="AE64" s="114">
        <v>57000</v>
      </c>
      <c r="AF64" s="113">
        <v>57000</v>
      </c>
      <c r="AG64" s="114">
        <v>57000</v>
      </c>
      <c r="AH64" s="8">
        <f t="shared" si="16"/>
        <v>710741.91999999993</v>
      </c>
      <c r="AI64" s="24">
        <f t="shared" si="17"/>
        <v>-1417.0800000000745</v>
      </c>
      <c r="AJ64" s="7"/>
      <c r="AK64" s="98"/>
      <c r="AL64" s="164">
        <v>45808.5</v>
      </c>
      <c r="AM64" s="164">
        <v>41430.99</v>
      </c>
      <c r="AN64" s="164">
        <v>93059.99</v>
      </c>
      <c r="AO64" s="164">
        <v>62146.67</v>
      </c>
      <c r="AP64" s="164">
        <v>64626.69</v>
      </c>
      <c r="AQ64" s="164">
        <v>62846.66</v>
      </c>
      <c r="AR64" s="164">
        <v>63105.41</v>
      </c>
      <c r="AS64" s="164">
        <v>55476.02</v>
      </c>
      <c r="AT64" s="164">
        <v>56967.270000000004</v>
      </c>
      <c r="AU64" s="114">
        <v>107316.05</v>
      </c>
      <c r="AV64" s="113">
        <v>58666.66</v>
      </c>
      <c r="AW64" s="113">
        <v>69716.010000000009</v>
      </c>
      <c r="AX64" s="8">
        <f t="shared" si="18"/>
        <v>781166.92000000016</v>
      </c>
      <c r="AY64" s="24">
        <f t="shared" si="19"/>
        <v>70425.000000000233</v>
      </c>
      <c r="AZ64" s="7"/>
      <c r="BA64" s="98"/>
      <c r="BB64" s="126">
        <v>776682.60000000021</v>
      </c>
      <c r="BC64" s="123">
        <v>0</v>
      </c>
      <c r="BD64" s="115" cm="1">
        <f t="array" ref="BD64">_xlfn.IFS($B$3="LE1 2024",R64-BB64-BC64,$B$3="LE2 2024",AH64-BB64-BC64,$B$3="LE3 2024",AX64-BB64-BC64)</f>
        <v>4484.3199999999488</v>
      </c>
      <c r="BE64" s="98"/>
      <c r="BF64" s="113">
        <v>61559.17</v>
      </c>
      <c r="BG64" s="114">
        <v>61559.17</v>
      </c>
      <c r="BH64" s="113">
        <v>61559.17</v>
      </c>
      <c r="BI64" s="114">
        <v>61559.17</v>
      </c>
      <c r="BJ64" s="113">
        <v>61559.17</v>
      </c>
      <c r="BK64" s="114">
        <v>61559.17</v>
      </c>
      <c r="BL64" s="113">
        <v>61559.17</v>
      </c>
      <c r="BM64" s="114">
        <v>61559.17</v>
      </c>
      <c r="BN64" s="113">
        <v>61559.17</v>
      </c>
      <c r="BO64" s="114">
        <v>61559.17</v>
      </c>
      <c r="BP64" s="113">
        <v>61559.17</v>
      </c>
      <c r="BQ64" s="114">
        <v>61559.13</v>
      </c>
      <c r="BR64" s="8">
        <f t="shared" si="20"/>
        <v>738710</v>
      </c>
      <c r="BS64" s="24">
        <f t="shared" si="21"/>
        <v>27968.080000000075</v>
      </c>
      <c r="BT64" s="7"/>
    </row>
    <row r="65" spans="2:72" s="6" customFormat="1" ht="22.15" hidden="1" customHeight="1" outlineLevel="1" x14ac:dyDescent="0.25">
      <c r="B65" s="9" t="s">
        <v>0</v>
      </c>
      <c r="C65" s="9" t="str">
        <f t="shared" si="24"/>
        <v>147900706030020</v>
      </c>
      <c r="D65" s="112">
        <v>0</v>
      </c>
      <c r="E65" s="112">
        <v>0</v>
      </c>
      <c r="F65" s="113">
        <v>0</v>
      </c>
      <c r="G65" s="114">
        <v>0</v>
      </c>
      <c r="H65" s="113">
        <v>0</v>
      </c>
      <c r="I65" s="114">
        <v>0</v>
      </c>
      <c r="J65" s="113">
        <v>0</v>
      </c>
      <c r="K65" s="114">
        <v>0</v>
      </c>
      <c r="L65" s="113">
        <v>0</v>
      </c>
      <c r="M65" s="114">
        <v>0</v>
      </c>
      <c r="N65" s="113">
        <v>0</v>
      </c>
      <c r="O65" s="114">
        <v>0</v>
      </c>
      <c r="P65" s="113">
        <v>0</v>
      </c>
      <c r="Q65" s="114">
        <v>0</v>
      </c>
      <c r="R65" s="8">
        <f t="shared" si="22"/>
        <v>0</v>
      </c>
      <c r="S65" s="24">
        <f t="shared" si="23"/>
        <v>0</v>
      </c>
      <c r="T65" s="7"/>
      <c r="U65" s="5"/>
      <c r="V65" s="112">
        <v>0</v>
      </c>
      <c r="W65" s="112">
        <v>0</v>
      </c>
      <c r="X65" s="112">
        <v>0</v>
      </c>
      <c r="Y65" s="112">
        <v>0</v>
      </c>
      <c r="Z65" s="112">
        <v>0</v>
      </c>
      <c r="AA65" s="112">
        <v>0</v>
      </c>
      <c r="AB65" s="113">
        <v>0</v>
      </c>
      <c r="AC65" s="114">
        <v>0</v>
      </c>
      <c r="AD65" s="113">
        <v>0</v>
      </c>
      <c r="AE65" s="114">
        <v>0</v>
      </c>
      <c r="AF65" s="113">
        <v>0</v>
      </c>
      <c r="AG65" s="114">
        <v>0</v>
      </c>
      <c r="AH65" s="8">
        <f t="shared" si="16"/>
        <v>0</v>
      </c>
      <c r="AI65" s="24">
        <f t="shared" si="17"/>
        <v>0</v>
      </c>
      <c r="AJ65" s="7"/>
      <c r="AK65" s="98"/>
      <c r="AL65" s="164">
        <v>0</v>
      </c>
      <c r="AM65" s="164">
        <v>0</v>
      </c>
      <c r="AN65" s="164">
        <v>0</v>
      </c>
      <c r="AO65" s="164">
        <v>0</v>
      </c>
      <c r="AP65" s="164">
        <v>0</v>
      </c>
      <c r="AQ65" s="164">
        <v>0</v>
      </c>
      <c r="AR65" s="164">
        <v>0</v>
      </c>
      <c r="AS65" s="164">
        <v>0</v>
      </c>
      <c r="AT65" s="164">
        <v>0</v>
      </c>
      <c r="AU65" s="114">
        <v>0</v>
      </c>
      <c r="AV65" s="113">
        <v>0</v>
      </c>
      <c r="AW65" s="113">
        <v>0</v>
      </c>
      <c r="AX65" s="8">
        <f t="shared" si="18"/>
        <v>0</v>
      </c>
      <c r="AY65" s="24">
        <f t="shared" si="19"/>
        <v>0</v>
      </c>
      <c r="AZ65" s="7"/>
      <c r="BA65" s="98"/>
      <c r="BB65" s="126">
        <v>0</v>
      </c>
      <c r="BC65" s="123">
        <v>0</v>
      </c>
      <c r="BD65" s="115" cm="1">
        <f t="array" ref="BD65">_xlfn.IFS($B$3="LE1 2024",R65-BB65-BC65,$B$3="LE2 2024",AH65-BB65-BC65,$B$3="LE3 2024",AX65-BB65-BC65)</f>
        <v>0</v>
      </c>
      <c r="BE65" s="98"/>
      <c r="BF65" s="113">
        <v>0</v>
      </c>
      <c r="BG65" s="114">
        <v>0</v>
      </c>
      <c r="BH65" s="113">
        <v>0</v>
      </c>
      <c r="BI65" s="114">
        <v>0</v>
      </c>
      <c r="BJ65" s="113">
        <v>0</v>
      </c>
      <c r="BK65" s="114">
        <v>0</v>
      </c>
      <c r="BL65" s="113">
        <v>0</v>
      </c>
      <c r="BM65" s="114">
        <v>0</v>
      </c>
      <c r="BN65" s="113">
        <v>0</v>
      </c>
      <c r="BO65" s="114">
        <v>0</v>
      </c>
      <c r="BP65" s="113">
        <v>0</v>
      </c>
      <c r="BQ65" s="114">
        <v>0</v>
      </c>
      <c r="BR65" s="8">
        <f t="shared" si="20"/>
        <v>0</v>
      </c>
      <c r="BS65" s="24">
        <f t="shared" si="21"/>
        <v>0</v>
      </c>
      <c r="BT65" s="7"/>
    </row>
    <row r="66" spans="2:72" s="1" customFormat="1" ht="22.15" customHeight="1" collapsed="1" x14ac:dyDescent="0.25">
      <c r="B66" s="4" t="s">
        <v>66</v>
      </c>
      <c r="C66" s="4"/>
      <c r="D66" s="3">
        <f>SUBTOTAL(9,D15:D65)</f>
        <v>2705313.3600000003</v>
      </c>
      <c r="E66" s="3">
        <f t="shared" ref="E66:S66" si="25">SUBTOTAL(9,E15:E65)</f>
        <v>2893086.6717121331</v>
      </c>
      <c r="F66" s="3">
        <f t="shared" si="25"/>
        <v>175875.21</v>
      </c>
      <c r="G66" s="3">
        <f t="shared" si="25"/>
        <v>204567.44999999998</v>
      </c>
      <c r="H66" s="3">
        <f t="shared" si="25"/>
        <v>223187.21999999997</v>
      </c>
      <c r="I66" s="3">
        <f t="shared" si="25"/>
        <v>279249.36</v>
      </c>
      <c r="J66" s="3">
        <f t="shared" si="25"/>
        <v>250940.58000000002</v>
      </c>
      <c r="K66" s="3">
        <f t="shared" si="25"/>
        <v>237940.58000000002</v>
      </c>
      <c r="L66" s="3">
        <f t="shared" si="25"/>
        <v>249038.58000000002</v>
      </c>
      <c r="M66" s="3">
        <f t="shared" si="25"/>
        <v>236983.69999999998</v>
      </c>
      <c r="N66" s="3">
        <f t="shared" si="25"/>
        <v>236073.69999999998</v>
      </c>
      <c r="O66" s="3">
        <f t="shared" si="25"/>
        <v>234975.94</v>
      </c>
      <c r="P66" s="3">
        <f t="shared" si="25"/>
        <v>228883.94</v>
      </c>
      <c r="Q66" s="3">
        <f t="shared" si="25"/>
        <v>376.45999999999913</v>
      </c>
      <c r="R66" s="3">
        <f t="shared" si="25"/>
        <v>2558092.7199999997</v>
      </c>
      <c r="S66" s="3">
        <f t="shared" si="25"/>
        <v>-334993.95171213348</v>
      </c>
      <c r="T66" s="2"/>
      <c r="U66" s="5"/>
      <c r="V66" s="3">
        <f t="shared" ref="V66:AI66" si="26">SUBTOTAL(9,V15:V65)</f>
        <v>175875.21</v>
      </c>
      <c r="W66" s="3">
        <f t="shared" si="26"/>
        <v>204567.44999999998</v>
      </c>
      <c r="X66" s="3">
        <f t="shared" si="26"/>
        <v>223187.21999999997</v>
      </c>
      <c r="Y66" s="3">
        <f t="shared" si="26"/>
        <v>231515.05</v>
      </c>
      <c r="Z66" s="3">
        <f t="shared" si="26"/>
        <v>265850.61</v>
      </c>
      <c r="AA66" s="3">
        <f t="shared" si="26"/>
        <v>216895.52999999997</v>
      </c>
      <c r="AB66" s="3">
        <f t="shared" si="26"/>
        <v>270396.98483333329</v>
      </c>
      <c r="AC66" s="3">
        <f t="shared" si="26"/>
        <v>225580.22333333333</v>
      </c>
      <c r="AD66" s="3">
        <f t="shared" si="26"/>
        <v>223670.22333333333</v>
      </c>
      <c r="AE66" s="3">
        <f t="shared" si="26"/>
        <v>234130.84</v>
      </c>
      <c r="AF66" s="3">
        <f t="shared" si="26"/>
        <v>218954.12999999998</v>
      </c>
      <c r="AG66" s="3">
        <f t="shared" si="26"/>
        <v>285265.6399999999</v>
      </c>
      <c r="AH66" s="3">
        <f t="shared" si="26"/>
        <v>2775889.1115000001</v>
      </c>
      <c r="AI66" s="3">
        <f t="shared" si="26"/>
        <v>217796.39150000006</v>
      </c>
      <c r="AJ66" s="2"/>
      <c r="AK66" s="98"/>
      <c r="AL66" s="3">
        <f t="shared" ref="AL66:AY66" si="27">SUBTOTAL(9,AL15:AL65)</f>
        <v>175875.21</v>
      </c>
      <c r="AM66" s="3">
        <f t="shared" si="27"/>
        <v>204567.44999999998</v>
      </c>
      <c r="AN66" s="3">
        <f t="shared" si="27"/>
        <v>223187.21999999997</v>
      </c>
      <c r="AO66" s="3">
        <f t="shared" si="27"/>
        <v>231515.05</v>
      </c>
      <c r="AP66" s="3">
        <f t="shared" si="27"/>
        <v>265850.61</v>
      </c>
      <c r="AQ66" s="3">
        <f t="shared" si="27"/>
        <v>216895.52999999997</v>
      </c>
      <c r="AR66" s="3">
        <f t="shared" si="27"/>
        <v>255128.47000000003</v>
      </c>
      <c r="AS66" s="3">
        <f t="shared" si="27"/>
        <v>206670.79</v>
      </c>
      <c r="AT66" s="3">
        <f t="shared" si="27"/>
        <v>214613.57</v>
      </c>
      <c r="AU66" s="3">
        <f t="shared" si="27"/>
        <v>179192.6841666667</v>
      </c>
      <c r="AV66" s="3">
        <f t="shared" si="27"/>
        <v>236800.30000000002</v>
      </c>
      <c r="AW66" s="3">
        <f t="shared" si="27"/>
        <v>282216.06000000006</v>
      </c>
      <c r="AX66" s="3">
        <f t="shared" si="27"/>
        <v>2692512.9441666668</v>
      </c>
      <c r="AY66" s="3">
        <f t="shared" si="27"/>
        <v>-83376.167333333142</v>
      </c>
      <c r="AZ66" s="2"/>
      <c r="BA66" s="98"/>
      <c r="BB66" s="3">
        <f t="shared" ref="BB66:BD66" si="28">SUBTOTAL(9,BB15:BB65)</f>
        <v>2716528.58</v>
      </c>
      <c r="BC66" s="3">
        <f t="shared" si="28"/>
        <v>0</v>
      </c>
      <c r="BD66" s="3">
        <f t="shared" si="28"/>
        <v>-24015.635833333446</v>
      </c>
      <c r="BE66" s="98"/>
      <c r="BF66" s="3">
        <f t="shared" ref="BF66:BS66" si="29">SUBTOTAL(9,BF15:BF65)</f>
        <v>215805.06</v>
      </c>
      <c r="BG66" s="3">
        <f t="shared" si="29"/>
        <v>215505.12</v>
      </c>
      <c r="BH66" s="3">
        <f t="shared" si="29"/>
        <v>268526.69</v>
      </c>
      <c r="BI66" s="3">
        <f t="shared" si="29"/>
        <v>226064.77000000002</v>
      </c>
      <c r="BJ66" s="3">
        <f t="shared" si="29"/>
        <v>243572.90000000002</v>
      </c>
      <c r="BK66" s="3">
        <f t="shared" si="29"/>
        <v>225098.74</v>
      </c>
      <c r="BL66" s="3">
        <f t="shared" si="29"/>
        <v>226298.74</v>
      </c>
      <c r="BM66" s="3">
        <f t="shared" si="29"/>
        <v>224941.05</v>
      </c>
      <c r="BN66" s="3">
        <f t="shared" si="29"/>
        <v>224775.28000000003</v>
      </c>
      <c r="BO66" s="3">
        <f t="shared" si="29"/>
        <v>225874.49</v>
      </c>
      <c r="BP66" s="3">
        <f t="shared" si="29"/>
        <v>224974.49</v>
      </c>
      <c r="BQ66" s="3">
        <f t="shared" si="29"/>
        <v>231064.13201916675</v>
      </c>
      <c r="BR66" s="3">
        <f t="shared" si="29"/>
        <v>2752501.4620191669</v>
      </c>
      <c r="BS66" s="3">
        <f t="shared" si="29"/>
        <v>-23387.649480832886</v>
      </c>
      <c r="BT66" s="2"/>
    </row>
    <row r="67" spans="2:72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3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3"/>
      <c r="AI67" s="5"/>
      <c r="AJ67" s="5"/>
      <c r="AK67" s="98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3"/>
      <c r="AY67" s="5"/>
      <c r="AZ67" s="5"/>
      <c r="BA67" s="98"/>
      <c r="BB67" s="5"/>
      <c r="BC67" s="5"/>
      <c r="BD67" s="5"/>
      <c r="BE67" s="98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3"/>
      <c r="BS67" s="5"/>
      <c r="BT67" s="5"/>
    </row>
    <row r="68" spans="2:72" s="10" customFormat="1" ht="75" x14ac:dyDescent="0.25">
      <c r="B68" s="151" t="s">
        <v>193</v>
      </c>
      <c r="C68" s="151" t="s">
        <v>69</v>
      </c>
      <c r="D68" s="152" t="s">
        <v>367</v>
      </c>
      <c r="E68" s="36" t="s">
        <v>186</v>
      </c>
      <c r="F68" s="11" t="s">
        <v>64</v>
      </c>
      <c r="G68" s="11" t="s">
        <v>63</v>
      </c>
      <c r="H68" s="11" t="s">
        <v>62</v>
      </c>
      <c r="I68" s="11" t="s">
        <v>61</v>
      </c>
      <c r="J68" s="11" t="s">
        <v>60</v>
      </c>
      <c r="K68" s="11" t="s">
        <v>59</v>
      </c>
      <c r="L68" s="11" t="s">
        <v>58</v>
      </c>
      <c r="M68" s="11" t="s">
        <v>57</v>
      </c>
      <c r="N68" s="11" t="s">
        <v>56</v>
      </c>
      <c r="O68" s="11" t="s">
        <v>55</v>
      </c>
      <c r="P68" s="11" t="s">
        <v>54</v>
      </c>
      <c r="Q68" s="11" t="s">
        <v>53</v>
      </c>
      <c r="R68" s="47" t="s">
        <v>364</v>
      </c>
      <c r="S68" s="109" t="s">
        <v>368</v>
      </c>
      <c r="T68" s="11" t="s">
        <v>51</v>
      </c>
      <c r="U68" s="5"/>
      <c r="V68" s="149" t="s">
        <v>64</v>
      </c>
      <c r="W68" s="149" t="s">
        <v>63</v>
      </c>
      <c r="X68" s="149" t="s">
        <v>62</v>
      </c>
      <c r="Y68" s="149" t="s">
        <v>61</v>
      </c>
      <c r="Z68" s="149" t="s">
        <v>60</v>
      </c>
      <c r="AA68" s="149" t="s">
        <v>59</v>
      </c>
      <c r="AB68" s="11" t="s">
        <v>58</v>
      </c>
      <c r="AC68" s="11" t="s">
        <v>57</v>
      </c>
      <c r="AD68" s="11" t="s">
        <v>56</v>
      </c>
      <c r="AE68" s="11" t="s">
        <v>55</v>
      </c>
      <c r="AF68" s="11" t="s">
        <v>54</v>
      </c>
      <c r="AG68" s="11" t="s">
        <v>53</v>
      </c>
      <c r="AH68" s="108" t="s">
        <v>365</v>
      </c>
      <c r="AI68" s="109" t="s">
        <v>369</v>
      </c>
      <c r="AJ68" s="11" t="s">
        <v>51</v>
      </c>
      <c r="AK68" s="98"/>
      <c r="AL68" s="97" t="s">
        <v>64</v>
      </c>
      <c r="AM68" s="97" t="s">
        <v>63</v>
      </c>
      <c r="AN68" s="97" t="s">
        <v>62</v>
      </c>
      <c r="AO68" s="97" t="s">
        <v>61</v>
      </c>
      <c r="AP68" s="97" t="s">
        <v>60</v>
      </c>
      <c r="AQ68" s="97" t="s">
        <v>59</v>
      </c>
      <c r="AR68" s="97" t="s">
        <v>58</v>
      </c>
      <c r="AS68" s="97" t="s">
        <v>57</v>
      </c>
      <c r="AT68" s="97" t="s">
        <v>56</v>
      </c>
      <c r="AU68" s="11" t="s">
        <v>55</v>
      </c>
      <c r="AV68" s="11" t="s">
        <v>54</v>
      </c>
      <c r="AW68" s="11" t="s">
        <v>53</v>
      </c>
      <c r="AX68" s="108" t="s">
        <v>366</v>
      </c>
      <c r="AY68" s="109" t="s">
        <v>370</v>
      </c>
      <c r="AZ68" s="11" t="s">
        <v>51</v>
      </c>
      <c r="BA68" s="98"/>
      <c r="BB68" s="127" t="s">
        <v>371</v>
      </c>
      <c r="BC68" s="127" t="s">
        <v>355</v>
      </c>
      <c r="BD68" s="128" t="s">
        <v>356</v>
      </c>
      <c r="BE68" s="98"/>
      <c r="BF68" s="11" t="s">
        <v>64</v>
      </c>
      <c r="BG68" s="11" t="s">
        <v>63</v>
      </c>
      <c r="BH68" s="11" t="s">
        <v>62</v>
      </c>
      <c r="BI68" s="11" t="s">
        <v>61</v>
      </c>
      <c r="BJ68" s="11" t="s">
        <v>60</v>
      </c>
      <c r="BK68" s="11" t="s">
        <v>59</v>
      </c>
      <c r="BL68" s="11" t="s">
        <v>58</v>
      </c>
      <c r="BM68" s="11" t="s">
        <v>57</v>
      </c>
      <c r="BN68" s="11" t="s">
        <v>56</v>
      </c>
      <c r="BO68" s="11" t="s">
        <v>55</v>
      </c>
      <c r="BP68" s="11" t="s">
        <v>54</v>
      </c>
      <c r="BQ68" s="11" t="s">
        <v>53</v>
      </c>
      <c r="BR68" s="108" t="s">
        <v>389</v>
      </c>
      <c r="BS68" s="109" t="s">
        <v>390</v>
      </c>
      <c r="BT68" s="11" t="s">
        <v>51</v>
      </c>
    </row>
    <row r="69" spans="2:72" s="6" customFormat="1" ht="22.15" hidden="1" customHeight="1" outlineLevel="1" x14ac:dyDescent="0.25">
      <c r="B69" s="52" t="s">
        <v>84</v>
      </c>
      <c r="C69" s="52" t="str">
        <f t="shared" ref="C69:C75" si="30">LEFT($B$4,8)&amp;LEFT(B69,7)</f>
        <v>147900705034010</v>
      </c>
      <c r="D69" s="112">
        <v>32131.230000000003</v>
      </c>
      <c r="E69" s="112">
        <v>20000</v>
      </c>
      <c r="F69" s="113">
        <v>261.67</v>
      </c>
      <c r="G69" s="114">
        <v>1036.94</v>
      </c>
      <c r="H69" s="113">
        <v>-542.78</v>
      </c>
      <c r="I69" s="114">
        <v>1171.42</v>
      </c>
      <c r="J69" s="113">
        <v>1171.42</v>
      </c>
      <c r="K69" s="114">
        <v>1171.42</v>
      </c>
      <c r="L69" s="113">
        <v>1171.42</v>
      </c>
      <c r="M69" s="114">
        <v>1171.42</v>
      </c>
      <c r="N69" s="113">
        <v>1171.42</v>
      </c>
      <c r="O69" s="114">
        <v>1171.42</v>
      </c>
      <c r="P69" s="113">
        <v>1171.42</v>
      </c>
      <c r="Q69" s="114">
        <v>1171.42</v>
      </c>
      <c r="R69" s="8">
        <f t="shared" ref="R69:R75" si="31">SUM(F69:Q69)</f>
        <v>11298.61</v>
      </c>
      <c r="S69" s="24">
        <f t="shared" ref="S69:S75" si="32">R69-E69</f>
        <v>-8701.39</v>
      </c>
      <c r="T69" s="7"/>
      <c r="U69" s="5"/>
      <c r="V69" s="112">
        <v>261.67</v>
      </c>
      <c r="W69" s="112">
        <v>1036.94</v>
      </c>
      <c r="X69" s="112">
        <v>-542.78</v>
      </c>
      <c r="Y69" s="112">
        <v>1335.75</v>
      </c>
      <c r="Z69" s="112">
        <v>226.18</v>
      </c>
      <c r="AA69" s="112">
        <v>278.04000000000002</v>
      </c>
      <c r="AB69" s="113">
        <v>1120.33</v>
      </c>
      <c r="AC69" s="114">
        <v>1120.33</v>
      </c>
      <c r="AD69" s="113">
        <v>1120.33</v>
      </c>
      <c r="AE69" s="114">
        <v>1120.33</v>
      </c>
      <c r="AF69" s="113">
        <v>1120.33</v>
      </c>
      <c r="AG69" s="114">
        <v>1120.31</v>
      </c>
      <c r="AH69" s="8">
        <f t="shared" ref="AH69:AH75" si="33">SUM(V69:AG69)</f>
        <v>9317.7599999999984</v>
      </c>
      <c r="AI69" s="24">
        <f t="shared" ref="AI69:AI75" si="34">AH69-R69</f>
        <v>-1980.8500000000022</v>
      </c>
      <c r="AJ69" s="7"/>
      <c r="AK69" s="98"/>
      <c r="AL69" s="164">
        <v>261.67</v>
      </c>
      <c r="AM69" s="164">
        <v>1036.94</v>
      </c>
      <c r="AN69" s="164">
        <v>-542.78</v>
      </c>
      <c r="AO69" s="164">
        <v>1335.75</v>
      </c>
      <c r="AP69" s="164">
        <v>226.18</v>
      </c>
      <c r="AQ69" s="164">
        <v>278.04000000000002</v>
      </c>
      <c r="AR69" s="164">
        <v>2220</v>
      </c>
      <c r="AS69" s="164">
        <v>140</v>
      </c>
      <c r="AT69" s="164">
        <v>1135.5</v>
      </c>
      <c r="AU69" s="114">
        <v>1226.46</v>
      </c>
      <c r="AV69" s="113">
        <v>1000</v>
      </c>
      <c r="AW69" s="113">
        <v>1000</v>
      </c>
      <c r="AX69" s="8">
        <f t="shared" ref="AX69:AX75" si="35">SUM(AL69:AW69)</f>
        <v>9317.7599999999984</v>
      </c>
      <c r="AY69" s="24">
        <f t="shared" ref="AY69:AY75" si="36">AX69-AH69</f>
        <v>0</v>
      </c>
      <c r="AZ69" s="7"/>
      <c r="BA69" s="98"/>
      <c r="BB69" s="126">
        <v>21897.79</v>
      </c>
      <c r="BC69" s="133">
        <v>0</v>
      </c>
      <c r="BD69" s="115" cm="1">
        <f t="array" ref="BD69">_xlfn.IFS($B$3="LE1 2024",R69-BB69-BC69,$B$3="LE2 2024",AH69-BB69-BC69,$B$3="LE3 2024",AX69-BB69-BC69)</f>
        <v>-12580.030000000002</v>
      </c>
      <c r="BE69" s="98"/>
      <c r="BF69" s="113">
        <v>200</v>
      </c>
      <c r="BG69" s="114">
        <v>500</v>
      </c>
      <c r="BH69" s="113">
        <v>500</v>
      </c>
      <c r="BI69" s="114">
        <v>1000</v>
      </c>
      <c r="BJ69" s="113">
        <v>500</v>
      </c>
      <c r="BK69" s="114">
        <v>500</v>
      </c>
      <c r="BL69" s="113">
        <v>1000</v>
      </c>
      <c r="BM69" s="114">
        <v>500</v>
      </c>
      <c r="BN69" s="113">
        <v>500</v>
      </c>
      <c r="BO69" s="114">
        <v>1000</v>
      </c>
      <c r="BP69" s="113">
        <v>500</v>
      </c>
      <c r="BQ69" s="114">
        <v>500</v>
      </c>
      <c r="BR69" s="8">
        <f t="shared" ref="BR69:BR75" si="37">SUM(BF69:BQ69)</f>
        <v>7200</v>
      </c>
      <c r="BS69" s="24">
        <f t="shared" ref="BS69:BS75" si="38">BR69-AH69</f>
        <v>-2117.7599999999984</v>
      </c>
      <c r="BT69" s="7"/>
    </row>
    <row r="70" spans="2:72" s="6" customFormat="1" ht="22.15" hidden="1" customHeight="1" outlineLevel="1" x14ac:dyDescent="0.25">
      <c r="B70" s="9" t="s">
        <v>77</v>
      </c>
      <c r="C70" s="9" t="str">
        <f t="shared" si="30"/>
        <v>147900705042060</v>
      </c>
      <c r="D70" s="112">
        <v>36880.190000000017</v>
      </c>
      <c r="E70" s="112">
        <v>27500</v>
      </c>
      <c r="F70" s="113">
        <v>-1241.3399999999999</v>
      </c>
      <c r="G70" s="114">
        <v>3338.35</v>
      </c>
      <c r="H70" s="113">
        <v>5706.87</v>
      </c>
      <c r="I70" s="114">
        <v>0</v>
      </c>
      <c r="J70" s="113">
        <v>0</v>
      </c>
      <c r="K70" s="114">
        <v>0</v>
      </c>
      <c r="L70" s="113">
        <v>1196.1199999999999</v>
      </c>
      <c r="M70" s="114">
        <v>1000</v>
      </c>
      <c r="N70" s="113">
        <v>2000</v>
      </c>
      <c r="O70" s="114">
        <v>2000</v>
      </c>
      <c r="P70" s="113">
        <v>2000</v>
      </c>
      <c r="Q70" s="114">
        <v>2000</v>
      </c>
      <c r="R70" s="8">
        <f t="shared" si="31"/>
        <v>18000</v>
      </c>
      <c r="S70" s="24">
        <f t="shared" si="32"/>
        <v>-9500</v>
      </c>
      <c r="T70" s="7"/>
      <c r="U70" s="5"/>
      <c r="V70" s="112">
        <v>-1241.3399999999999</v>
      </c>
      <c r="W70" s="112">
        <v>3338.35</v>
      </c>
      <c r="X70" s="112">
        <v>5706.87</v>
      </c>
      <c r="Y70" s="112">
        <v>4845.18</v>
      </c>
      <c r="Z70" s="112">
        <v>1718.57</v>
      </c>
      <c r="AA70" s="112">
        <v>1224.9299999999998</v>
      </c>
      <c r="AB70" s="113">
        <v>1775.07</v>
      </c>
      <c r="AC70" s="114">
        <v>1000</v>
      </c>
      <c r="AD70" s="113">
        <v>1000</v>
      </c>
      <c r="AE70" s="114">
        <v>2000</v>
      </c>
      <c r="AF70" s="113">
        <v>1000</v>
      </c>
      <c r="AG70" s="114">
        <v>2000</v>
      </c>
      <c r="AH70" s="8">
        <f t="shared" si="33"/>
        <v>24367.63</v>
      </c>
      <c r="AI70" s="24">
        <f t="shared" si="34"/>
        <v>6367.630000000001</v>
      </c>
      <c r="AJ70" s="7"/>
      <c r="AK70" s="98"/>
      <c r="AL70" s="164">
        <v>-1241.3399999999999</v>
      </c>
      <c r="AM70" s="164">
        <v>3338.35</v>
      </c>
      <c r="AN70" s="164">
        <v>5706.87</v>
      </c>
      <c r="AO70" s="164">
        <v>4845.18</v>
      </c>
      <c r="AP70" s="164">
        <v>1718.57</v>
      </c>
      <c r="AQ70" s="164">
        <v>1224.93</v>
      </c>
      <c r="AR70" s="164">
        <v>1877.57</v>
      </c>
      <c r="AS70" s="164">
        <v>814.92</v>
      </c>
      <c r="AT70" s="164">
        <v>3947.15</v>
      </c>
      <c r="AU70" s="114">
        <v>0</v>
      </c>
      <c r="AV70" s="113">
        <v>135.43</v>
      </c>
      <c r="AW70" s="113">
        <v>2000</v>
      </c>
      <c r="AX70" s="8">
        <f t="shared" si="35"/>
        <v>24367.63</v>
      </c>
      <c r="AY70" s="24">
        <f t="shared" si="36"/>
        <v>0</v>
      </c>
      <c r="AZ70" s="7"/>
      <c r="BA70" s="98"/>
      <c r="BB70" s="126">
        <v>39374.030000000006</v>
      </c>
      <c r="BC70" s="123">
        <v>0</v>
      </c>
      <c r="BD70" s="115" cm="1">
        <f t="array" ref="BD70">_xlfn.IFS($B$3="LE1 2024",R70-BB70-BC70,$B$3="LE2 2024",AH70-BB70-BC70,$B$3="LE3 2024",AX70-BB70-BC70)</f>
        <v>-15006.400000000005</v>
      </c>
      <c r="BE70" s="98"/>
      <c r="BF70" s="113">
        <v>2000</v>
      </c>
      <c r="BG70" s="114">
        <v>1000</v>
      </c>
      <c r="BH70" s="113">
        <v>2000</v>
      </c>
      <c r="BI70" s="114">
        <v>1000</v>
      </c>
      <c r="BJ70" s="113">
        <v>2000</v>
      </c>
      <c r="BK70" s="114">
        <v>1000</v>
      </c>
      <c r="BL70" s="113">
        <v>2000</v>
      </c>
      <c r="BM70" s="114">
        <v>1000</v>
      </c>
      <c r="BN70" s="113">
        <v>2000</v>
      </c>
      <c r="BO70" s="114">
        <v>1000</v>
      </c>
      <c r="BP70" s="113">
        <v>2000</v>
      </c>
      <c r="BQ70" s="114">
        <v>1000</v>
      </c>
      <c r="BR70" s="8">
        <f t="shared" si="37"/>
        <v>18000</v>
      </c>
      <c r="BS70" s="24">
        <f t="shared" si="38"/>
        <v>-6367.630000000001</v>
      </c>
      <c r="BT70" s="7"/>
    </row>
    <row r="71" spans="2:72" s="6" customFormat="1" ht="22.15" hidden="1" customHeight="1" outlineLevel="1" x14ac:dyDescent="0.25">
      <c r="B71" s="9" t="s">
        <v>80</v>
      </c>
      <c r="C71" s="9" t="str">
        <f t="shared" si="30"/>
        <v>147900705046000</v>
      </c>
      <c r="D71" s="112">
        <v>241833.17000000004</v>
      </c>
      <c r="E71" s="112">
        <v>220000</v>
      </c>
      <c r="F71" s="113">
        <v>1321.71</v>
      </c>
      <c r="G71" s="114">
        <v>278.38</v>
      </c>
      <c r="H71" s="113">
        <v>3164.2</v>
      </c>
      <c r="I71" s="114">
        <v>13835.8</v>
      </c>
      <c r="J71" s="113">
        <v>28000</v>
      </c>
      <c r="K71" s="114">
        <v>50000</v>
      </c>
      <c r="L71" s="113">
        <v>50000</v>
      </c>
      <c r="M71" s="114">
        <v>45000</v>
      </c>
      <c r="N71" s="113">
        <v>30000</v>
      </c>
      <c r="O71" s="114">
        <v>20000</v>
      </c>
      <c r="P71" s="113">
        <v>15000</v>
      </c>
      <c r="Q71" s="114">
        <v>5000</v>
      </c>
      <c r="R71" s="8">
        <f t="shared" si="31"/>
        <v>261600.09</v>
      </c>
      <c r="S71" s="24">
        <f t="shared" si="32"/>
        <v>41600.089999999997</v>
      </c>
      <c r="T71" s="7"/>
      <c r="U71" s="5"/>
      <c r="V71" s="112">
        <v>1321.71</v>
      </c>
      <c r="W71" s="112">
        <v>278.38</v>
      </c>
      <c r="X71" s="112">
        <v>3164.2</v>
      </c>
      <c r="Y71" s="112">
        <v>22750.77</v>
      </c>
      <c r="Z71" s="112">
        <v>1690.07</v>
      </c>
      <c r="AA71" s="112">
        <v>656.29000000000008</v>
      </c>
      <c r="AB71" s="113">
        <v>74177.960000000006</v>
      </c>
      <c r="AC71" s="114">
        <v>55000</v>
      </c>
      <c r="AD71" s="113">
        <v>5000</v>
      </c>
      <c r="AE71" s="114">
        <v>8000</v>
      </c>
      <c r="AF71" s="113">
        <v>74278.87</v>
      </c>
      <c r="AG71" s="114">
        <v>5000</v>
      </c>
      <c r="AH71" s="8">
        <f t="shared" si="33"/>
        <v>251318.25</v>
      </c>
      <c r="AI71" s="24">
        <f t="shared" si="34"/>
        <v>-10281.839999999997</v>
      </c>
      <c r="AJ71" s="7"/>
      <c r="AK71" s="98"/>
      <c r="AL71" s="164">
        <v>1321.71</v>
      </c>
      <c r="AM71" s="164">
        <v>278.38</v>
      </c>
      <c r="AN71" s="164">
        <v>3164.2</v>
      </c>
      <c r="AO71" s="164">
        <v>22750.77</v>
      </c>
      <c r="AP71" s="164">
        <v>1690.07</v>
      </c>
      <c r="AQ71" s="164">
        <v>656.29</v>
      </c>
      <c r="AR71" s="164">
        <v>6723.97</v>
      </c>
      <c r="AS71" s="164">
        <v>14257.76</v>
      </c>
      <c r="AT71" s="164">
        <v>52194.49</v>
      </c>
      <c r="AU71" s="114">
        <v>34167.49</v>
      </c>
      <c r="AV71" s="113">
        <v>45000</v>
      </c>
      <c r="AW71" s="113">
        <v>40000</v>
      </c>
      <c r="AX71" s="8">
        <f t="shared" si="35"/>
        <v>222205.13</v>
      </c>
      <c r="AY71" s="24">
        <f t="shared" si="36"/>
        <v>-29113.119999999995</v>
      </c>
      <c r="AZ71" s="7"/>
      <c r="BA71" s="98"/>
      <c r="BB71" s="126">
        <v>134113.21000000002</v>
      </c>
      <c r="BC71" s="123">
        <v>0</v>
      </c>
      <c r="BD71" s="115" cm="1">
        <f t="array" ref="BD71">_xlfn.IFS($B$3="LE1 2024",R71-BB71-BC71,$B$3="LE2 2024",AH71-BB71-BC71,$B$3="LE3 2024",AX71-BB71-BC71)</f>
        <v>88091.919999999984</v>
      </c>
      <c r="BE71" s="98"/>
      <c r="BF71" s="113">
        <v>1500</v>
      </c>
      <c r="BG71" s="114">
        <v>1500</v>
      </c>
      <c r="BH71" s="113">
        <v>35000</v>
      </c>
      <c r="BI71" s="114">
        <v>35000</v>
      </c>
      <c r="BJ71" s="113">
        <v>5000</v>
      </c>
      <c r="BK71" s="114">
        <v>10000</v>
      </c>
      <c r="BL71" s="113">
        <v>35000</v>
      </c>
      <c r="BM71" s="114">
        <v>35000</v>
      </c>
      <c r="BN71" s="113">
        <v>10000</v>
      </c>
      <c r="BO71" s="114">
        <v>5000</v>
      </c>
      <c r="BP71" s="113">
        <v>5000</v>
      </c>
      <c r="BQ71" s="114">
        <v>2000</v>
      </c>
      <c r="BR71" s="8">
        <f t="shared" si="37"/>
        <v>180000</v>
      </c>
      <c r="BS71" s="24">
        <f t="shared" si="38"/>
        <v>-71318.25</v>
      </c>
      <c r="BT71" s="7"/>
    </row>
    <row r="72" spans="2:72" s="6" customFormat="1" ht="22.15" hidden="1" customHeight="1" outlineLevel="1" x14ac:dyDescent="0.25">
      <c r="B72" s="9" t="s">
        <v>82</v>
      </c>
      <c r="C72" s="9" t="str">
        <f t="shared" si="30"/>
        <v>147900705046010</v>
      </c>
      <c r="D72" s="112">
        <v>241.20000000000002</v>
      </c>
      <c r="E72" s="112">
        <v>2400</v>
      </c>
      <c r="F72" s="113">
        <v>0</v>
      </c>
      <c r="G72" s="114">
        <v>0</v>
      </c>
      <c r="H72" s="113">
        <v>0</v>
      </c>
      <c r="I72" s="114">
        <v>266.67</v>
      </c>
      <c r="J72" s="113">
        <v>266.67</v>
      </c>
      <c r="K72" s="114">
        <v>266.67</v>
      </c>
      <c r="L72" s="113">
        <v>266.67</v>
      </c>
      <c r="M72" s="114">
        <v>266.67</v>
      </c>
      <c r="N72" s="113">
        <v>266.67</v>
      </c>
      <c r="O72" s="114">
        <v>266.67</v>
      </c>
      <c r="P72" s="113">
        <v>266.67</v>
      </c>
      <c r="Q72" s="114">
        <v>266.64</v>
      </c>
      <c r="R72" s="8">
        <f t="shared" si="31"/>
        <v>2400</v>
      </c>
      <c r="S72" s="24">
        <f t="shared" si="32"/>
        <v>0</v>
      </c>
      <c r="T72" s="7"/>
      <c r="U72" s="5"/>
      <c r="V72" s="112">
        <v>0</v>
      </c>
      <c r="W72" s="112">
        <v>0</v>
      </c>
      <c r="X72" s="112">
        <v>0</v>
      </c>
      <c r="Y72" s="112">
        <v>98.28</v>
      </c>
      <c r="Z72" s="112">
        <v>105.3</v>
      </c>
      <c r="AA72" s="112">
        <v>345.5</v>
      </c>
      <c r="AB72" s="113">
        <v>222.42</v>
      </c>
      <c r="AC72" s="114">
        <v>222.42</v>
      </c>
      <c r="AD72" s="113">
        <v>222.42</v>
      </c>
      <c r="AE72" s="114">
        <v>222.42</v>
      </c>
      <c r="AF72" s="113">
        <v>222.42</v>
      </c>
      <c r="AG72" s="114">
        <v>222.4</v>
      </c>
      <c r="AH72" s="8">
        <f t="shared" si="33"/>
        <v>1883.5800000000002</v>
      </c>
      <c r="AI72" s="24">
        <f t="shared" si="34"/>
        <v>-516.41999999999985</v>
      </c>
      <c r="AJ72" s="7"/>
      <c r="AK72" s="98"/>
      <c r="AL72" s="164">
        <v>0</v>
      </c>
      <c r="AM72" s="164">
        <v>0</v>
      </c>
      <c r="AN72" s="164">
        <v>0</v>
      </c>
      <c r="AO72" s="164">
        <v>98.28</v>
      </c>
      <c r="AP72" s="164">
        <v>105.3</v>
      </c>
      <c r="AQ72" s="164">
        <v>345.5</v>
      </c>
      <c r="AR72" s="164">
        <v>0</v>
      </c>
      <c r="AS72" s="164">
        <v>117</v>
      </c>
      <c r="AT72" s="164">
        <v>5.5</v>
      </c>
      <c r="AU72" s="114">
        <v>732</v>
      </c>
      <c r="AV72" s="113">
        <v>240</v>
      </c>
      <c r="AW72" s="113">
        <v>240</v>
      </c>
      <c r="AX72" s="8">
        <f t="shared" si="35"/>
        <v>1883.58</v>
      </c>
      <c r="AY72" s="24">
        <f t="shared" si="36"/>
        <v>0</v>
      </c>
      <c r="AZ72" s="7"/>
      <c r="BA72" s="98"/>
      <c r="BB72" s="126">
        <v>1007.5799999999999</v>
      </c>
      <c r="BC72" s="123">
        <v>0</v>
      </c>
      <c r="BD72" s="115" cm="1">
        <f t="array" ref="BD72">_xlfn.IFS($B$3="LE1 2024",R72-BB72-BC72,$B$3="LE2 2024",AH72-BB72-BC72,$B$3="LE3 2024",AX72-BB72-BC72)</f>
        <v>876</v>
      </c>
      <c r="BE72" s="98"/>
      <c r="BF72" s="113">
        <v>200</v>
      </c>
      <c r="BG72" s="114">
        <v>100</v>
      </c>
      <c r="BH72" s="113">
        <v>200</v>
      </c>
      <c r="BI72" s="114">
        <v>200</v>
      </c>
      <c r="BJ72" s="113">
        <v>100</v>
      </c>
      <c r="BK72" s="114">
        <v>200</v>
      </c>
      <c r="BL72" s="113">
        <v>200</v>
      </c>
      <c r="BM72" s="114">
        <v>200</v>
      </c>
      <c r="BN72" s="113">
        <v>200</v>
      </c>
      <c r="BO72" s="114">
        <v>200</v>
      </c>
      <c r="BP72" s="113">
        <v>100</v>
      </c>
      <c r="BQ72" s="114">
        <v>100</v>
      </c>
      <c r="BR72" s="8">
        <f t="shared" si="37"/>
        <v>2000</v>
      </c>
      <c r="BS72" s="24">
        <f t="shared" si="38"/>
        <v>116.41999999999985</v>
      </c>
      <c r="BT72" s="7"/>
    </row>
    <row r="73" spans="2:72" s="6" customFormat="1" ht="22.15" hidden="1" customHeight="1" outlineLevel="1" x14ac:dyDescent="0.25">
      <c r="B73" s="9" t="s">
        <v>83</v>
      </c>
      <c r="C73" s="9" t="str">
        <f t="shared" si="30"/>
        <v>147900705055010</v>
      </c>
      <c r="D73" s="112">
        <v>687.04000000000008</v>
      </c>
      <c r="E73" s="112">
        <v>2400</v>
      </c>
      <c r="F73" s="113">
        <v>24</v>
      </c>
      <c r="G73" s="114">
        <v>0</v>
      </c>
      <c r="H73" s="113">
        <v>0</v>
      </c>
      <c r="I73" s="114">
        <v>264</v>
      </c>
      <c r="J73" s="113">
        <v>264</v>
      </c>
      <c r="K73" s="114">
        <v>264</v>
      </c>
      <c r="L73" s="113">
        <v>264</v>
      </c>
      <c r="M73" s="114">
        <v>264</v>
      </c>
      <c r="N73" s="113">
        <v>264</v>
      </c>
      <c r="O73" s="114">
        <v>264</v>
      </c>
      <c r="P73" s="113">
        <v>264</v>
      </c>
      <c r="Q73" s="114">
        <v>264</v>
      </c>
      <c r="R73" s="8">
        <f t="shared" si="31"/>
        <v>2400</v>
      </c>
      <c r="S73" s="24">
        <f t="shared" si="32"/>
        <v>0</v>
      </c>
      <c r="T73" s="7"/>
      <c r="U73" s="5"/>
      <c r="V73" s="112">
        <v>24</v>
      </c>
      <c r="W73" s="112">
        <v>0</v>
      </c>
      <c r="X73" s="112">
        <v>0</v>
      </c>
      <c r="Y73" s="112">
        <v>0</v>
      </c>
      <c r="Z73" s="112">
        <v>0</v>
      </c>
      <c r="AA73" s="112">
        <v>161.13999999999999</v>
      </c>
      <c r="AB73" s="113">
        <v>206.48</v>
      </c>
      <c r="AC73" s="114">
        <v>206.48</v>
      </c>
      <c r="AD73" s="113">
        <v>206.48</v>
      </c>
      <c r="AE73" s="114">
        <v>206.48</v>
      </c>
      <c r="AF73" s="113">
        <v>206.48</v>
      </c>
      <c r="AG73" s="114">
        <v>206.46</v>
      </c>
      <c r="AH73" s="8">
        <f t="shared" si="33"/>
        <v>1424</v>
      </c>
      <c r="AI73" s="24">
        <f t="shared" si="34"/>
        <v>-976</v>
      </c>
      <c r="AJ73" s="7"/>
      <c r="AK73" s="98"/>
      <c r="AL73" s="164">
        <v>24</v>
      </c>
      <c r="AM73" s="164">
        <v>0</v>
      </c>
      <c r="AN73" s="164">
        <v>0</v>
      </c>
      <c r="AO73" s="164">
        <v>0</v>
      </c>
      <c r="AP73" s="164">
        <v>0</v>
      </c>
      <c r="AQ73" s="164">
        <v>161.13999999999999</v>
      </c>
      <c r="AR73" s="164">
        <v>0</v>
      </c>
      <c r="AS73" s="164">
        <v>152.11000000000001</v>
      </c>
      <c r="AT73" s="164">
        <v>0</v>
      </c>
      <c r="AU73" s="114">
        <v>362.25</v>
      </c>
      <c r="AV73" s="113">
        <v>362.25</v>
      </c>
      <c r="AW73" s="113">
        <v>362.25</v>
      </c>
      <c r="AX73" s="8">
        <f t="shared" si="35"/>
        <v>1424</v>
      </c>
      <c r="AY73" s="24">
        <f t="shared" si="36"/>
        <v>0</v>
      </c>
      <c r="AZ73" s="7"/>
      <c r="BA73" s="98"/>
      <c r="BB73" s="126">
        <v>444.44</v>
      </c>
      <c r="BC73" s="123">
        <v>0</v>
      </c>
      <c r="BD73" s="115" cm="1">
        <f t="array" ref="BD73">_xlfn.IFS($B$3="LE1 2024",R73-BB73-BC73,$B$3="LE2 2024",AH73-BB73-BC73,$B$3="LE3 2024",AX73-BB73-BC73)</f>
        <v>979.56</v>
      </c>
      <c r="BE73" s="98"/>
      <c r="BF73" s="113">
        <v>0</v>
      </c>
      <c r="BG73" s="114">
        <v>0</v>
      </c>
      <c r="BH73" s="113">
        <v>150</v>
      </c>
      <c r="BI73" s="114">
        <v>0</v>
      </c>
      <c r="BJ73" s="113">
        <v>0</v>
      </c>
      <c r="BK73" s="114">
        <v>150</v>
      </c>
      <c r="BL73" s="113">
        <v>0</v>
      </c>
      <c r="BM73" s="114">
        <v>0</v>
      </c>
      <c r="BN73" s="113">
        <v>0</v>
      </c>
      <c r="BO73" s="114">
        <v>150</v>
      </c>
      <c r="BP73" s="113">
        <v>0</v>
      </c>
      <c r="BQ73" s="114">
        <v>0</v>
      </c>
      <c r="BR73" s="8">
        <f t="shared" si="37"/>
        <v>450</v>
      </c>
      <c r="BS73" s="24">
        <f t="shared" si="38"/>
        <v>-974</v>
      </c>
      <c r="BT73" s="7"/>
    </row>
    <row r="74" spans="2:72" s="6" customFormat="1" ht="22.15" hidden="1" customHeight="1" outlineLevel="1" x14ac:dyDescent="0.25">
      <c r="B74" s="9" t="s">
        <v>86</v>
      </c>
      <c r="C74" s="9" t="str">
        <f t="shared" si="30"/>
        <v>147900705014000</v>
      </c>
      <c r="D74" s="112">
        <v>390</v>
      </c>
      <c r="E74" s="112">
        <v>1200</v>
      </c>
      <c r="F74" s="113">
        <v>0</v>
      </c>
      <c r="G74" s="114">
        <v>0</v>
      </c>
      <c r="H74" s="113">
        <v>0</v>
      </c>
      <c r="I74" s="114">
        <v>133.33000000000001</v>
      </c>
      <c r="J74" s="113">
        <v>133.33000000000001</v>
      </c>
      <c r="K74" s="114">
        <v>133.33000000000001</v>
      </c>
      <c r="L74" s="113">
        <v>133.33000000000001</v>
      </c>
      <c r="M74" s="114">
        <v>133.33000000000001</v>
      </c>
      <c r="N74" s="113">
        <v>133.33000000000001</v>
      </c>
      <c r="O74" s="114">
        <v>133.33000000000001</v>
      </c>
      <c r="P74" s="113">
        <v>133.33000000000001</v>
      </c>
      <c r="Q74" s="114">
        <v>133.36000000000001</v>
      </c>
      <c r="R74" s="8">
        <f t="shared" si="31"/>
        <v>1200</v>
      </c>
      <c r="S74" s="24">
        <f t="shared" si="32"/>
        <v>0</v>
      </c>
      <c r="T74" s="7"/>
      <c r="U74" s="5"/>
      <c r="V74" s="112">
        <v>0</v>
      </c>
      <c r="W74" s="112">
        <v>0</v>
      </c>
      <c r="X74" s="112">
        <v>0</v>
      </c>
      <c r="Y74" s="112">
        <v>0</v>
      </c>
      <c r="Z74" s="112">
        <v>0</v>
      </c>
      <c r="AA74" s="112">
        <v>0</v>
      </c>
      <c r="AB74" s="113">
        <v>140</v>
      </c>
      <c r="AC74" s="114">
        <v>140</v>
      </c>
      <c r="AD74" s="113">
        <v>140</v>
      </c>
      <c r="AE74" s="114">
        <v>140</v>
      </c>
      <c r="AF74" s="113">
        <v>140</v>
      </c>
      <c r="AG74" s="114">
        <v>140</v>
      </c>
      <c r="AH74" s="8">
        <f t="shared" si="33"/>
        <v>840</v>
      </c>
      <c r="AI74" s="24">
        <f t="shared" si="34"/>
        <v>-360</v>
      </c>
      <c r="AJ74" s="7"/>
      <c r="AK74" s="98"/>
      <c r="AL74" s="164">
        <v>0</v>
      </c>
      <c r="AM74" s="164">
        <v>0</v>
      </c>
      <c r="AN74" s="164">
        <v>0</v>
      </c>
      <c r="AO74" s="164">
        <v>0</v>
      </c>
      <c r="AP74" s="164">
        <v>0</v>
      </c>
      <c r="AQ74" s="164">
        <v>0</v>
      </c>
      <c r="AR74" s="164">
        <v>0</v>
      </c>
      <c r="AS74" s="164">
        <v>0</v>
      </c>
      <c r="AT74" s="164">
        <v>0</v>
      </c>
      <c r="AU74" s="114">
        <v>280</v>
      </c>
      <c r="AV74" s="113">
        <v>280</v>
      </c>
      <c r="AW74" s="113">
        <v>280</v>
      </c>
      <c r="AX74" s="8">
        <f t="shared" si="35"/>
        <v>840</v>
      </c>
      <c r="AY74" s="24">
        <f t="shared" si="36"/>
        <v>0</v>
      </c>
      <c r="AZ74" s="7"/>
      <c r="BA74" s="98"/>
      <c r="BB74" s="126">
        <v>0</v>
      </c>
      <c r="BC74" s="123">
        <v>0</v>
      </c>
      <c r="BD74" s="115" cm="1">
        <f t="array" ref="BD74">_xlfn.IFS($B$3="LE1 2024",R74-BB74-BC74,$B$3="LE2 2024",AH74-BB74-BC74,$B$3="LE3 2024",AX74-BB74-BC74)</f>
        <v>840</v>
      </c>
      <c r="BE74" s="98"/>
      <c r="BF74" s="113">
        <v>0</v>
      </c>
      <c r="BG74" s="114">
        <v>0</v>
      </c>
      <c r="BH74" s="113">
        <v>0</v>
      </c>
      <c r="BI74" s="114">
        <v>0</v>
      </c>
      <c r="BJ74" s="113">
        <v>0</v>
      </c>
      <c r="BK74" s="114">
        <v>0</v>
      </c>
      <c r="BL74" s="113">
        <v>0</v>
      </c>
      <c r="BM74" s="114">
        <v>0</v>
      </c>
      <c r="BN74" s="113">
        <v>0</v>
      </c>
      <c r="BO74" s="114">
        <v>0</v>
      </c>
      <c r="BP74" s="113">
        <v>0</v>
      </c>
      <c r="BQ74" s="114">
        <v>0</v>
      </c>
      <c r="BR74" s="8">
        <f t="shared" si="37"/>
        <v>0</v>
      </c>
      <c r="BS74" s="24">
        <f t="shared" si="38"/>
        <v>-840</v>
      </c>
      <c r="BT74" s="7"/>
    </row>
    <row r="75" spans="2:72" s="6" customFormat="1" ht="22.15" hidden="1" customHeight="1" outlineLevel="1" x14ac:dyDescent="0.25">
      <c r="B75" s="9" t="s">
        <v>88</v>
      </c>
      <c r="C75" s="9" t="str">
        <f t="shared" si="30"/>
        <v>147900705014030</v>
      </c>
      <c r="D75" s="112">
        <v>0</v>
      </c>
      <c r="E75" s="112">
        <v>0</v>
      </c>
      <c r="F75" s="113">
        <v>0</v>
      </c>
      <c r="G75" s="114">
        <v>0</v>
      </c>
      <c r="H75" s="113">
        <v>0</v>
      </c>
      <c r="I75" s="114">
        <v>0</v>
      </c>
      <c r="J75" s="113">
        <v>0</v>
      </c>
      <c r="K75" s="114">
        <v>0</v>
      </c>
      <c r="L75" s="113">
        <v>0</v>
      </c>
      <c r="M75" s="114">
        <v>0</v>
      </c>
      <c r="N75" s="113">
        <v>0</v>
      </c>
      <c r="O75" s="114">
        <v>0</v>
      </c>
      <c r="P75" s="113">
        <v>0</v>
      </c>
      <c r="Q75" s="114">
        <v>0</v>
      </c>
      <c r="R75" s="8">
        <f t="shared" si="31"/>
        <v>0</v>
      </c>
      <c r="S75" s="24">
        <f t="shared" si="32"/>
        <v>0</v>
      </c>
      <c r="T75" s="7"/>
      <c r="U75" s="5"/>
      <c r="V75" s="112">
        <v>0</v>
      </c>
      <c r="W75" s="112">
        <v>0</v>
      </c>
      <c r="X75" s="112">
        <v>0</v>
      </c>
      <c r="Y75" s="112">
        <v>0</v>
      </c>
      <c r="Z75" s="112">
        <v>0</v>
      </c>
      <c r="AA75" s="112">
        <v>0</v>
      </c>
      <c r="AB75" s="113">
        <v>0</v>
      </c>
      <c r="AC75" s="114">
        <v>0</v>
      </c>
      <c r="AD75" s="113">
        <v>0</v>
      </c>
      <c r="AE75" s="114">
        <v>0</v>
      </c>
      <c r="AF75" s="113">
        <v>0</v>
      </c>
      <c r="AG75" s="114">
        <v>0</v>
      </c>
      <c r="AH75" s="8">
        <f t="shared" si="33"/>
        <v>0</v>
      </c>
      <c r="AI75" s="24">
        <f t="shared" si="34"/>
        <v>0</v>
      </c>
      <c r="AJ75" s="7"/>
      <c r="AK75" s="98"/>
      <c r="AL75" s="164">
        <v>0</v>
      </c>
      <c r="AM75" s="164">
        <v>0</v>
      </c>
      <c r="AN75" s="164">
        <v>0</v>
      </c>
      <c r="AO75" s="164">
        <v>0</v>
      </c>
      <c r="AP75" s="164">
        <v>0</v>
      </c>
      <c r="AQ75" s="164">
        <v>0</v>
      </c>
      <c r="AR75" s="164">
        <v>0</v>
      </c>
      <c r="AS75" s="164">
        <v>0</v>
      </c>
      <c r="AT75" s="164">
        <v>0</v>
      </c>
      <c r="AU75" s="114">
        <v>0</v>
      </c>
      <c r="AV75" s="113">
        <v>0</v>
      </c>
      <c r="AW75" s="113">
        <v>0</v>
      </c>
      <c r="AX75" s="8">
        <f t="shared" si="35"/>
        <v>0</v>
      </c>
      <c r="AY75" s="24">
        <f t="shared" si="36"/>
        <v>0</v>
      </c>
      <c r="AZ75" s="7"/>
      <c r="BA75" s="98"/>
      <c r="BB75" s="126">
        <v>0</v>
      </c>
      <c r="BC75" s="123">
        <v>0</v>
      </c>
      <c r="BD75" s="115" cm="1">
        <f t="array" ref="BD75">_xlfn.IFS($B$3="LE1 2024",R75-BB75-BC75,$B$3="LE2 2024",AH75-BB75-BC75,$B$3="LE3 2024",AX75-BB75-BC75)</f>
        <v>0</v>
      </c>
      <c r="BE75" s="98"/>
      <c r="BF75" s="113">
        <v>0</v>
      </c>
      <c r="BG75" s="114">
        <v>0</v>
      </c>
      <c r="BH75" s="113">
        <v>0</v>
      </c>
      <c r="BI75" s="114">
        <v>0</v>
      </c>
      <c r="BJ75" s="113">
        <v>0</v>
      </c>
      <c r="BK75" s="114">
        <v>0</v>
      </c>
      <c r="BL75" s="113">
        <v>0</v>
      </c>
      <c r="BM75" s="114">
        <v>0</v>
      </c>
      <c r="BN75" s="113">
        <v>0</v>
      </c>
      <c r="BO75" s="114">
        <v>0</v>
      </c>
      <c r="BP75" s="113">
        <v>0</v>
      </c>
      <c r="BQ75" s="114">
        <v>0</v>
      </c>
      <c r="BR75" s="8">
        <f t="shared" si="37"/>
        <v>0</v>
      </c>
      <c r="BS75" s="24">
        <f t="shared" si="38"/>
        <v>0</v>
      </c>
      <c r="BT75" s="7"/>
    </row>
    <row r="76" spans="2:72" s="1" customFormat="1" ht="22.15" customHeight="1" collapsed="1" x14ac:dyDescent="0.25">
      <c r="B76" s="4" t="s">
        <v>204</v>
      </c>
      <c r="C76" s="4" t="str">
        <f>B76</f>
        <v>VARIABLE TOTAL</v>
      </c>
      <c r="D76" s="3">
        <f>SUBTOTAL(9,D69:D75)</f>
        <v>312162.83000000007</v>
      </c>
      <c r="E76" s="3">
        <f>SUBTOTAL(9,E69:E75)</f>
        <v>273500</v>
      </c>
      <c r="F76" s="3">
        <f t="shared" ref="F76:S76" si="39">SUBTOTAL(9,F69:F75)</f>
        <v>366.04000000000019</v>
      </c>
      <c r="G76" s="3">
        <f t="shared" si="39"/>
        <v>4653.67</v>
      </c>
      <c r="H76" s="3">
        <f t="shared" si="39"/>
        <v>8328.2900000000009</v>
      </c>
      <c r="I76" s="3">
        <f t="shared" si="39"/>
        <v>15671.22</v>
      </c>
      <c r="J76" s="3">
        <f t="shared" si="39"/>
        <v>29835.42</v>
      </c>
      <c r="K76" s="3">
        <f t="shared" si="39"/>
        <v>51835.42</v>
      </c>
      <c r="L76" s="3">
        <f t="shared" si="39"/>
        <v>53031.54</v>
      </c>
      <c r="M76" s="3">
        <f t="shared" si="39"/>
        <v>47835.42</v>
      </c>
      <c r="N76" s="3">
        <f t="shared" si="39"/>
        <v>33835.42</v>
      </c>
      <c r="O76" s="3">
        <f t="shared" si="39"/>
        <v>23835.42</v>
      </c>
      <c r="P76" s="3">
        <f t="shared" si="39"/>
        <v>18835.419999999998</v>
      </c>
      <c r="Q76" s="3">
        <f t="shared" si="39"/>
        <v>8835.42</v>
      </c>
      <c r="R76" s="3">
        <f t="shared" si="39"/>
        <v>296898.7</v>
      </c>
      <c r="S76" s="3">
        <f t="shared" si="39"/>
        <v>23398.699999999997</v>
      </c>
      <c r="T76" s="2"/>
      <c r="U76" s="5"/>
      <c r="V76" s="3">
        <f t="shared" ref="V76:AI76" si="40">SUBTOTAL(9,V69:V75)</f>
        <v>366.04000000000019</v>
      </c>
      <c r="W76" s="3">
        <f t="shared" si="40"/>
        <v>4653.67</v>
      </c>
      <c r="X76" s="3">
        <f t="shared" si="40"/>
        <v>8328.2900000000009</v>
      </c>
      <c r="Y76" s="3">
        <f t="shared" si="40"/>
        <v>29029.98</v>
      </c>
      <c r="Z76" s="3">
        <f t="shared" si="40"/>
        <v>3740.12</v>
      </c>
      <c r="AA76" s="3">
        <f t="shared" si="40"/>
        <v>2665.8999999999996</v>
      </c>
      <c r="AB76" s="3">
        <f t="shared" si="40"/>
        <v>77642.259999999995</v>
      </c>
      <c r="AC76" s="3">
        <f t="shared" si="40"/>
        <v>57689.23</v>
      </c>
      <c r="AD76" s="3">
        <f t="shared" si="40"/>
        <v>7689.23</v>
      </c>
      <c r="AE76" s="3">
        <f t="shared" si="40"/>
        <v>11689.23</v>
      </c>
      <c r="AF76" s="3">
        <f t="shared" si="40"/>
        <v>76968.099999999991</v>
      </c>
      <c r="AG76" s="3">
        <f t="shared" si="40"/>
        <v>8689.1699999999983</v>
      </c>
      <c r="AH76" s="3">
        <f t="shared" si="40"/>
        <v>289151.22000000003</v>
      </c>
      <c r="AI76" s="3">
        <f t="shared" si="40"/>
        <v>-7747.4799999999977</v>
      </c>
      <c r="AJ76" s="2"/>
      <c r="AK76" s="98"/>
      <c r="AL76" s="3">
        <f t="shared" ref="AL76:AY76" si="41">SUBTOTAL(9,AL69:AL75)</f>
        <v>366.04000000000019</v>
      </c>
      <c r="AM76" s="3">
        <f t="shared" si="41"/>
        <v>4653.67</v>
      </c>
      <c r="AN76" s="3">
        <f t="shared" si="41"/>
        <v>8328.2900000000009</v>
      </c>
      <c r="AO76" s="3">
        <f t="shared" si="41"/>
        <v>29029.98</v>
      </c>
      <c r="AP76" s="3">
        <f t="shared" si="41"/>
        <v>3740.12</v>
      </c>
      <c r="AQ76" s="3">
        <f t="shared" si="41"/>
        <v>2665.9</v>
      </c>
      <c r="AR76" s="3">
        <f t="shared" si="41"/>
        <v>10821.54</v>
      </c>
      <c r="AS76" s="3">
        <f t="shared" si="41"/>
        <v>15481.79</v>
      </c>
      <c r="AT76" s="3">
        <f t="shared" si="41"/>
        <v>57282.64</v>
      </c>
      <c r="AU76" s="3">
        <f t="shared" si="41"/>
        <v>36768.199999999997</v>
      </c>
      <c r="AV76" s="3">
        <f t="shared" si="41"/>
        <v>47017.68</v>
      </c>
      <c r="AW76" s="3">
        <f t="shared" si="41"/>
        <v>43882.25</v>
      </c>
      <c r="AX76" s="3">
        <f t="shared" si="41"/>
        <v>260038.1</v>
      </c>
      <c r="AY76" s="3">
        <f t="shared" si="41"/>
        <v>-29113.119999999995</v>
      </c>
      <c r="AZ76" s="2"/>
      <c r="BA76" s="98"/>
      <c r="BB76" s="3">
        <f t="shared" ref="BB76:BD76" si="42">SUBTOTAL(9,BB69:BB75)</f>
        <v>196837.05000000002</v>
      </c>
      <c r="BC76" s="3">
        <f t="shared" si="42"/>
        <v>0</v>
      </c>
      <c r="BD76" s="3">
        <f t="shared" si="42"/>
        <v>63201.049999999974</v>
      </c>
      <c r="BE76" s="98"/>
      <c r="BF76" s="3">
        <f t="shared" ref="BF76:BS76" si="43">SUBTOTAL(9,BF69:BF75)</f>
        <v>3900</v>
      </c>
      <c r="BG76" s="3">
        <f t="shared" si="43"/>
        <v>3100</v>
      </c>
      <c r="BH76" s="3">
        <f t="shared" si="43"/>
        <v>37850</v>
      </c>
      <c r="BI76" s="3">
        <f t="shared" si="43"/>
        <v>37200</v>
      </c>
      <c r="BJ76" s="3">
        <f t="shared" si="43"/>
        <v>7600</v>
      </c>
      <c r="BK76" s="3">
        <f t="shared" si="43"/>
        <v>11850</v>
      </c>
      <c r="BL76" s="3">
        <f t="shared" si="43"/>
        <v>38200</v>
      </c>
      <c r="BM76" s="3">
        <f t="shared" si="43"/>
        <v>36700</v>
      </c>
      <c r="BN76" s="3">
        <f t="shared" si="43"/>
        <v>12700</v>
      </c>
      <c r="BO76" s="3">
        <f t="shared" si="43"/>
        <v>7350</v>
      </c>
      <c r="BP76" s="3">
        <f t="shared" si="43"/>
        <v>7600</v>
      </c>
      <c r="BQ76" s="3">
        <f t="shared" si="43"/>
        <v>3600</v>
      </c>
      <c r="BR76" s="3">
        <f t="shared" si="43"/>
        <v>207650</v>
      </c>
      <c r="BS76" s="3">
        <f t="shared" si="43"/>
        <v>-81501.22</v>
      </c>
      <c r="BT76" s="2"/>
    </row>
    <row r="77" spans="2:72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98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98"/>
      <c r="BB77" s="5"/>
      <c r="BC77" s="5"/>
      <c r="BD77" s="5"/>
      <c r="BE77" s="98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</row>
    <row r="78" spans="2:72" s="10" customFormat="1" ht="75" x14ac:dyDescent="0.25">
      <c r="B78" s="151" t="s">
        <v>194</v>
      </c>
      <c r="C78" s="151" t="s">
        <v>69</v>
      </c>
      <c r="D78" s="152" t="s">
        <v>367</v>
      </c>
      <c r="E78" s="36" t="s">
        <v>186</v>
      </c>
      <c r="F78" s="11" t="s">
        <v>64</v>
      </c>
      <c r="G78" s="11" t="s">
        <v>63</v>
      </c>
      <c r="H78" s="11" t="s">
        <v>62</v>
      </c>
      <c r="I78" s="11" t="s">
        <v>61</v>
      </c>
      <c r="J78" s="11" t="s">
        <v>60</v>
      </c>
      <c r="K78" s="11" t="s">
        <v>59</v>
      </c>
      <c r="L78" s="11" t="s">
        <v>58</v>
      </c>
      <c r="M78" s="11" t="s">
        <v>57</v>
      </c>
      <c r="N78" s="11" t="s">
        <v>56</v>
      </c>
      <c r="O78" s="11" t="s">
        <v>55</v>
      </c>
      <c r="P78" s="11" t="s">
        <v>54</v>
      </c>
      <c r="Q78" s="11" t="s">
        <v>53</v>
      </c>
      <c r="R78" s="47" t="s">
        <v>364</v>
      </c>
      <c r="S78" s="109" t="s">
        <v>368</v>
      </c>
      <c r="T78" s="11" t="s">
        <v>51</v>
      </c>
      <c r="U78" s="5"/>
      <c r="V78" s="149" t="s">
        <v>64</v>
      </c>
      <c r="W78" s="149" t="s">
        <v>63</v>
      </c>
      <c r="X78" s="149" t="s">
        <v>62</v>
      </c>
      <c r="Y78" s="149" t="s">
        <v>61</v>
      </c>
      <c r="Z78" s="149" t="s">
        <v>60</v>
      </c>
      <c r="AA78" s="149" t="s">
        <v>59</v>
      </c>
      <c r="AB78" s="11" t="s">
        <v>58</v>
      </c>
      <c r="AC78" s="11" t="s">
        <v>57</v>
      </c>
      <c r="AD78" s="11" t="s">
        <v>56</v>
      </c>
      <c r="AE78" s="11" t="s">
        <v>55</v>
      </c>
      <c r="AF78" s="11" t="s">
        <v>54</v>
      </c>
      <c r="AG78" s="11" t="s">
        <v>53</v>
      </c>
      <c r="AH78" s="108" t="s">
        <v>365</v>
      </c>
      <c r="AI78" s="109" t="s">
        <v>369</v>
      </c>
      <c r="AJ78" s="11" t="s">
        <v>51</v>
      </c>
      <c r="AK78" s="98"/>
      <c r="AL78" s="97" t="s">
        <v>64</v>
      </c>
      <c r="AM78" s="97" t="s">
        <v>63</v>
      </c>
      <c r="AN78" s="97" t="s">
        <v>62</v>
      </c>
      <c r="AO78" s="97" t="s">
        <v>61</v>
      </c>
      <c r="AP78" s="97" t="s">
        <v>60</v>
      </c>
      <c r="AQ78" s="97" t="s">
        <v>59</v>
      </c>
      <c r="AR78" s="97" t="s">
        <v>58</v>
      </c>
      <c r="AS78" s="97" t="s">
        <v>57</v>
      </c>
      <c r="AT78" s="97" t="s">
        <v>56</v>
      </c>
      <c r="AU78" s="11" t="s">
        <v>55</v>
      </c>
      <c r="AV78" s="11" t="s">
        <v>54</v>
      </c>
      <c r="AW78" s="11" t="s">
        <v>53</v>
      </c>
      <c r="AX78" s="108" t="s">
        <v>366</v>
      </c>
      <c r="AY78" s="109" t="s">
        <v>370</v>
      </c>
      <c r="AZ78" s="11" t="s">
        <v>51</v>
      </c>
      <c r="BA78" s="98"/>
      <c r="BB78" s="127" t="s">
        <v>371</v>
      </c>
      <c r="BC78" s="127" t="s">
        <v>355</v>
      </c>
      <c r="BD78" s="128" t="s">
        <v>356</v>
      </c>
      <c r="BE78" s="98"/>
      <c r="BF78" s="11" t="s">
        <v>64</v>
      </c>
      <c r="BG78" s="11" t="s">
        <v>63</v>
      </c>
      <c r="BH78" s="11" t="s">
        <v>62</v>
      </c>
      <c r="BI78" s="11" t="s">
        <v>61</v>
      </c>
      <c r="BJ78" s="11" t="s">
        <v>60</v>
      </c>
      <c r="BK78" s="11" t="s">
        <v>59</v>
      </c>
      <c r="BL78" s="11" t="s">
        <v>58</v>
      </c>
      <c r="BM78" s="11" t="s">
        <v>57</v>
      </c>
      <c r="BN78" s="11" t="s">
        <v>56</v>
      </c>
      <c r="BO78" s="11" t="s">
        <v>55</v>
      </c>
      <c r="BP78" s="11" t="s">
        <v>54</v>
      </c>
      <c r="BQ78" s="11" t="s">
        <v>53</v>
      </c>
      <c r="BR78" s="108" t="s">
        <v>389</v>
      </c>
      <c r="BS78" s="109" t="s">
        <v>390</v>
      </c>
      <c r="BT78" s="11" t="s">
        <v>51</v>
      </c>
    </row>
    <row r="79" spans="2:72" s="6" customFormat="1" ht="22.15" hidden="1" customHeight="1" outlineLevel="1" x14ac:dyDescent="0.25">
      <c r="B79" s="52" t="s">
        <v>196</v>
      </c>
      <c r="C79" s="52" t="str">
        <f>LEFT($B$4,8)&amp;LEFT(B79,7)</f>
        <v>147900705032000</v>
      </c>
      <c r="D79" s="112">
        <v>0</v>
      </c>
      <c r="E79" s="112">
        <v>0</v>
      </c>
      <c r="F79" s="113">
        <v>0</v>
      </c>
      <c r="G79" s="114">
        <v>0</v>
      </c>
      <c r="H79" s="113">
        <v>0</v>
      </c>
      <c r="I79" s="114">
        <v>0</v>
      </c>
      <c r="J79" s="113">
        <v>0</v>
      </c>
      <c r="K79" s="114">
        <v>0</v>
      </c>
      <c r="L79" s="113">
        <v>0</v>
      </c>
      <c r="M79" s="114">
        <v>15570</v>
      </c>
      <c r="N79" s="113">
        <v>0</v>
      </c>
      <c r="O79" s="114">
        <v>0</v>
      </c>
      <c r="P79" s="113">
        <v>0</v>
      </c>
      <c r="Q79" s="114">
        <v>0</v>
      </c>
      <c r="R79" s="8">
        <f t="shared" ref="R79:R83" si="44">SUM(F79:Q79)</f>
        <v>15570</v>
      </c>
      <c r="S79" s="24">
        <f>R79-E79</f>
        <v>15570</v>
      </c>
      <c r="T79" s="7"/>
      <c r="U79" s="5"/>
      <c r="V79" s="112">
        <v>0</v>
      </c>
      <c r="W79" s="112">
        <v>0</v>
      </c>
      <c r="X79" s="112">
        <v>0</v>
      </c>
      <c r="Y79" s="112">
        <v>0</v>
      </c>
      <c r="Z79" s="112">
        <v>0</v>
      </c>
      <c r="AA79" s="112">
        <v>0</v>
      </c>
      <c r="AB79" s="113">
        <v>0</v>
      </c>
      <c r="AC79" s="114">
        <v>16037.1</v>
      </c>
      <c r="AD79" s="113">
        <v>0</v>
      </c>
      <c r="AE79" s="114">
        <v>0</v>
      </c>
      <c r="AF79" s="113">
        <v>0</v>
      </c>
      <c r="AG79" s="114">
        <v>0</v>
      </c>
      <c r="AH79" s="8">
        <f t="shared" ref="AH79:AH83" si="45">SUM(V79:AG79)</f>
        <v>16037.1</v>
      </c>
      <c r="AI79" s="24">
        <f t="shared" ref="AI79:AI83" si="46">AH79-R79</f>
        <v>467.10000000000036</v>
      </c>
      <c r="AJ79" s="7"/>
      <c r="AK79" s="98"/>
      <c r="AL79" s="164">
        <v>0</v>
      </c>
      <c r="AM79" s="164">
        <v>0</v>
      </c>
      <c r="AN79" s="164">
        <v>0</v>
      </c>
      <c r="AO79" s="164">
        <v>0</v>
      </c>
      <c r="AP79" s="164">
        <v>0</v>
      </c>
      <c r="AQ79" s="164">
        <v>0</v>
      </c>
      <c r="AR79" s="164">
        <v>4905</v>
      </c>
      <c r="AS79" s="164">
        <v>0</v>
      </c>
      <c r="AT79" s="164">
        <v>0</v>
      </c>
      <c r="AU79" s="114">
        <v>11132.1</v>
      </c>
      <c r="AV79" s="113">
        <v>0</v>
      </c>
      <c r="AW79" s="113">
        <v>0</v>
      </c>
      <c r="AX79" s="8">
        <f t="shared" ref="AX79:AX83" si="47">SUM(AL79:AW79)</f>
        <v>16037.1</v>
      </c>
      <c r="AY79" s="24">
        <f t="shared" ref="AY79:AY83" si="48">AX79-AH79</f>
        <v>0</v>
      </c>
      <c r="AZ79" s="7"/>
      <c r="BA79" s="98"/>
      <c r="BB79" s="126">
        <v>10140</v>
      </c>
      <c r="BC79" s="133">
        <v>0</v>
      </c>
      <c r="BD79" s="115" cm="1">
        <f t="array" ref="BD79">_xlfn.IFS($B$3="LE1 2024",R79-BB79-BC79,$B$3="LE2 2024",AH79-BB79-BC79,$B$3="LE3 2024",AX79-BB79-BC79)</f>
        <v>5897.1</v>
      </c>
      <c r="BE79" s="98"/>
      <c r="BF79" s="113">
        <v>1231.6666666666667</v>
      </c>
      <c r="BG79" s="114">
        <v>1231.6666666666667</v>
      </c>
      <c r="BH79" s="113">
        <v>1231.6666666666667</v>
      </c>
      <c r="BI79" s="114">
        <v>1231.6666666666667</v>
      </c>
      <c r="BJ79" s="113">
        <v>1231.6666666666667</v>
      </c>
      <c r="BK79" s="114">
        <v>1231.6666666666667</v>
      </c>
      <c r="BL79" s="113">
        <v>1231.6666666666667</v>
      </c>
      <c r="BM79" s="114">
        <v>1231.6666666666667</v>
      </c>
      <c r="BN79" s="113">
        <v>1231.6666666666667</v>
      </c>
      <c r="BO79" s="114">
        <v>1231.6666666666667</v>
      </c>
      <c r="BP79" s="113">
        <v>1231.6666666666667</v>
      </c>
      <c r="BQ79" s="114">
        <v>1231.6666666666667</v>
      </c>
      <c r="BR79" s="8">
        <f t="shared" ref="BR79:BR83" si="49">SUM(BF79:BQ79)</f>
        <v>14779.999999999998</v>
      </c>
      <c r="BS79" s="24">
        <f t="shared" ref="BS79:BS83" si="50">BR79-AH79</f>
        <v>-1257.1000000000022</v>
      </c>
      <c r="BT79" s="7"/>
    </row>
    <row r="80" spans="2:72" s="6" customFormat="1" ht="22.15" hidden="1" customHeight="1" outlineLevel="1" x14ac:dyDescent="0.25">
      <c r="B80" s="9" t="s">
        <v>89</v>
      </c>
      <c r="C80" s="9" t="str">
        <f>LEFT($B$4,8)&amp;LEFT(B80,7)</f>
        <v>147900705032020</v>
      </c>
      <c r="D80" s="112">
        <v>0</v>
      </c>
      <c r="E80" s="112">
        <v>0</v>
      </c>
      <c r="F80" s="113">
        <v>0</v>
      </c>
      <c r="G80" s="114">
        <v>0</v>
      </c>
      <c r="H80" s="113">
        <v>0</v>
      </c>
      <c r="I80" s="114">
        <v>0</v>
      </c>
      <c r="J80" s="113">
        <v>0</v>
      </c>
      <c r="K80" s="114">
        <v>0</v>
      </c>
      <c r="L80" s="113">
        <v>0</v>
      </c>
      <c r="M80" s="114">
        <v>0</v>
      </c>
      <c r="N80" s="113">
        <v>0</v>
      </c>
      <c r="O80" s="114">
        <v>0</v>
      </c>
      <c r="P80" s="113">
        <v>0</v>
      </c>
      <c r="Q80" s="114">
        <v>0</v>
      </c>
      <c r="R80" s="8">
        <f t="shared" si="44"/>
        <v>0</v>
      </c>
      <c r="S80" s="24">
        <f t="shared" ref="S80:S83" si="51">R80-E80</f>
        <v>0</v>
      </c>
      <c r="T80" s="7"/>
      <c r="U80" s="5"/>
      <c r="V80" s="112">
        <v>0</v>
      </c>
      <c r="W80" s="112">
        <v>0</v>
      </c>
      <c r="X80" s="112">
        <v>0</v>
      </c>
      <c r="Y80" s="112">
        <v>0</v>
      </c>
      <c r="Z80" s="112">
        <v>0</v>
      </c>
      <c r="AA80" s="112">
        <v>0</v>
      </c>
      <c r="AB80" s="113">
        <v>0</v>
      </c>
      <c r="AC80" s="114">
        <v>0</v>
      </c>
      <c r="AD80" s="113">
        <v>0</v>
      </c>
      <c r="AE80" s="114">
        <v>0</v>
      </c>
      <c r="AF80" s="113">
        <v>0</v>
      </c>
      <c r="AG80" s="114">
        <v>0</v>
      </c>
      <c r="AH80" s="8">
        <f t="shared" si="45"/>
        <v>0</v>
      </c>
      <c r="AI80" s="24">
        <f t="shared" si="46"/>
        <v>0</v>
      </c>
      <c r="AJ80" s="7"/>
      <c r="AK80" s="98"/>
      <c r="AL80" s="164">
        <v>0</v>
      </c>
      <c r="AM80" s="164">
        <v>0</v>
      </c>
      <c r="AN80" s="164">
        <v>0</v>
      </c>
      <c r="AO80" s="164">
        <v>0</v>
      </c>
      <c r="AP80" s="164">
        <v>0</v>
      </c>
      <c r="AQ80" s="164">
        <v>0</v>
      </c>
      <c r="AR80" s="164">
        <v>0</v>
      </c>
      <c r="AS80" s="164">
        <v>0</v>
      </c>
      <c r="AT80" s="164">
        <v>0</v>
      </c>
      <c r="AU80" s="114">
        <v>0</v>
      </c>
      <c r="AV80" s="113">
        <v>0</v>
      </c>
      <c r="AW80" s="113">
        <v>0</v>
      </c>
      <c r="AX80" s="8">
        <f t="shared" si="47"/>
        <v>0</v>
      </c>
      <c r="AY80" s="24">
        <f t="shared" si="48"/>
        <v>0</v>
      </c>
      <c r="AZ80" s="7"/>
      <c r="BA80" s="98"/>
      <c r="BB80" s="126">
        <v>0</v>
      </c>
      <c r="BC80" s="123">
        <v>0</v>
      </c>
      <c r="BD80" s="115" cm="1">
        <f t="array" ref="BD80">_xlfn.IFS($B$3="LE1 2024",R80-BB80-BC80,$B$3="LE2 2024",AH80-BB80-BC80,$B$3="LE3 2024",AX80-BB80-BC80)</f>
        <v>0</v>
      </c>
      <c r="BE80" s="98"/>
      <c r="BF80" s="113">
        <v>0</v>
      </c>
      <c r="BG80" s="114">
        <v>0</v>
      </c>
      <c r="BH80" s="113">
        <v>0</v>
      </c>
      <c r="BI80" s="114">
        <v>0</v>
      </c>
      <c r="BJ80" s="113">
        <v>0</v>
      </c>
      <c r="BK80" s="114">
        <v>0</v>
      </c>
      <c r="BL80" s="113">
        <v>0</v>
      </c>
      <c r="BM80" s="114">
        <v>0</v>
      </c>
      <c r="BN80" s="113">
        <v>0</v>
      </c>
      <c r="BO80" s="114">
        <v>0</v>
      </c>
      <c r="BP80" s="113">
        <v>0</v>
      </c>
      <c r="BQ80" s="114">
        <v>0</v>
      </c>
      <c r="BR80" s="8">
        <f t="shared" si="49"/>
        <v>0</v>
      </c>
      <c r="BS80" s="24">
        <f t="shared" si="50"/>
        <v>0</v>
      </c>
      <c r="BT80" s="7"/>
    </row>
    <row r="81" spans="2:72" s="6" customFormat="1" ht="22.15" hidden="1" customHeight="1" outlineLevel="1" x14ac:dyDescent="0.25">
      <c r="B81" s="9" t="s">
        <v>91</v>
      </c>
      <c r="C81" s="9" t="str">
        <f>LEFT($B$4,8)&amp;LEFT(B81,7)</f>
        <v>147900705032100</v>
      </c>
      <c r="D81" s="112">
        <v>24.75</v>
      </c>
      <c r="E81" s="112">
        <v>0</v>
      </c>
      <c r="F81" s="113">
        <v>0</v>
      </c>
      <c r="G81" s="114">
        <v>0</v>
      </c>
      <c r="H81" s="113">
        <v>0</v>
      </c>
      <c r="I81" s="114">
        <v>0</v>
      </c>
      <c r="J81" s="113">
        <v>0</v>
      </c>
      <c r="K81" s="114">
        <v>29000</v>
      </c>
      <c r="L81" s="113">
        <v>0</v>
      </c>
      <c r="M81" s="114">
        <v>0</v>
      </c>
      <c r="N81" s="113">
        <v>0</v>
      </c>
      <c r="O81" s="114">
        <v>0</v>
      </c>
      <c r="P81" s="113">
        <v>0</v>
      </c>
      <c r="Q81" s="114">
        <v>0</v>
      </c>
      <c r="R81" s="8">
        <f t="shared" si="44"/>
        <v>29000</v>
      </c>
      <c r="S81" s="24">
        <f t="shared" si="51"/>
        <v>29000</v>
      </c>
      <c r="T81" s="7"/>
      <c r="U81" s="5"/>
      <c r="V81" s="112">
        <v>0</v>
      </c>
      <c r="W81" s="112">
        <v>0</v>
      </c>
      <c r="X81" s="112">
        <v>0</v>
      </c>
      <c r="Y81" s="112">
        <v>0</v>
      </c>
      <c r="Z81" s="112">
        <v>0</v>
      </c>
      <c r="AA81" s="112">
        <v>0</v>
      </c>
      <c r="AB81" s="113">
        <v>0</v>
      </c>
      <c r="AC81" s="114">
        <v>0</v>
      </c>
      <c r="AD81" s="113">
        <v>29000</v>
      </c>
      <c r="AE81" s="114">
        <v>0</v>
      </c>
      <c r="AF81" s="113">
        <v>0</v>
      </c>
      <c r="AG81" s="114">
        <v>0</v>
      </c>
      <c r="AH81" s="8">
        <f t="shared" si="45"/>
        <v>29000</v>
      </c>
      <c r="AI81" s="24">
        <f t="shared" si="46"/>
        <v>0</v>
      </c>
      <c r="AJ81" s="7"/>
      <c r="AK81" s="98"/>
      <c r="AL81" s="164">
        <v>0</v>
      </c>
      <c r="AM81" s="164">
        <v>0</v>
      </c>
      <c r="AN81" s="164">
        <v>0</v>
      </c>
      <c r="AO81" s="164">
        <v>0</v>
      </c>
      <c r="AP81" s="164">
        <v>0</v>
      </c>
      <c r="AQ81" s="164">
        <v>0</v>
      </c>
      <c r="AR81" s="164">
        <v>0</v>
      </c>
      <c r="AS81" s="164">
        <v>0</v>
      </c>
      <c r="AT81" s="164">
        <v>0</v>
      </c>
      <c r="AU81" s="114">
        <v>29000</v>
      </c>
      <c r="AV81" s="113">
        <v>0</v>
      </c>
      <c r="AW81" s="113">
        <v>0</v>
      </c>
      <c r="AX81" s="8">
        <f t="shared" si="47"/>
        <v>29000</v>
      </c>
      <c r="AY81" s="24">
        <f t="shared" si="48"/>
        <v>0</v>
      </c>
      <c r="AZ81" s="7"/>
      <c r="BA81" s="98"/>
      <c r="BB81" s="126">
        <v>21739.03</v>
      </c>
      <c r="BC81" s="123">
        <v>0</v>
      </c>
      <c r="BD81" s="115" cm="1">
        <f t="array" ref="BD81">_xlfn.IFS($B$3="LE1 2024",R81-BB81-BC81,$B$3="LE2 2024",AH81-BB81-BC81,$B$3="LE3 2024",AX81-BB81-BC81)</f>
        <v>7260.9700000000012</v>
      </c>
      <c r="BE81" s="98"/>
      <c r="BF81" s="113">
        <v>0</v>
      </c>
      <c r="BG81" s="114">
        <v>0</v>
      </c>
      <c r="BH81" s="113">
        <v>0</v>
      </c>
      <c r="BI81" s="114">
        <v>0</v>
      </c>
      <c r="BJ81" s="113">
        <v>15000</v>
      </c>
      <c r="BK81" s="114">
        <v>0</v>
      </c>
      <c r="BL81" s="113">
        <v>15000</v>
      </c>
      <c r="BM81" s="114">
        <v>0</v>
      </c>
      <c r="BN81" s="113">
        <v>0</v>
      </c>
      <c r="BO81" s="114">
        <v>0</v>
      </c>
      <c r="BP81" s="113">
        <v>0</v>
      </c>
      <c r="BQ81" s="114">
        <v>0</v>
      </c>
      <c r="BR81" s="8">
        <f t="shared" si="49"/>
        <v>30000</v>
      </c>
      <c r="BS81" s="24">
        <f t="shared" si="50"/>
        <v>1000</v>
      </c>
      <c r="BT81" s="7"/>
    </row>
    <row r="82" spans="2:72" s="6" customFormat="1" ht="22.15" hidden="1" customHeight="1" outlineLevel="1" x14ac:dyDescent="0.25">
      <c r="B82" s="9" t="s">
        <v>93</v>
      </c>
      <c r="C82" s="9" t="str">
        <f>LEFT($B$4,8)&amp;LEFT(B82,7)</f>
        <v>147900705034000</v>
      </c>
      <c r="D82" s="112">
        <v>0</v>
      </c>
      <c r="E82" s="112">
        <v>0</v>
      </c>
      <c r="F82" s="113">
        <v>0</v>
      </c>
      <c r="G82" s="114">
        <v>0</v>
      </c>
      <c r="H82" s="113">
        <v>0</v>
      </c>
      <c r="I82" s="114">
        <v>0</v>
      </c>
      <c r="J82" s="113">
        <v>0</v>
      </c>
      <c r="K82" s="114">
        <v>0</v>
      </c>
      <c r="L82" s="113">
        <v>0</v>
      </c>
      <c r="M82" s="114">
        <v>0</v>
      </c>
      <c r="N82" s="113">
        <v>0</v>
      </c>
      <c r="O82" s="114">
        <v>0</v>
      </c>
      <c r="P82" s="113">
        <v>0</v>
      </c>
      <c r="Q82" s="114">
        <v>0</v>
      </c>
      <c r="R82" s="8">
        <f t="shared" si="44"/>
        <v>0</v>
      </c>
      <c r="S82" s="24">
        <f t="shared" si="51"/>
        <v>0</v>
      </c>
      <c r="T82" s="7"/>
      <c r="U82" s="5"/>
      <c r="V82" s="112">
        <v>0</v>
      </c>
      <c r="W82" s="112">
        <v>0</v>
      </c>
      <c r="X82" s="112">
        <v>0</v>
      </c>
      <c r="Y82" s="112">
        <v>0</v>
      </c>
      <c r="Z82" s="112">
        <v>0</v>
      </c>
      <c r="AA82" s="112">
        <v>0</v>
      </c>
      <c r="AB82" s="113">
        <v>0</v>
      </c>
      <c r="AC82" s="114">
        <v>0</v>
      </c>
      <c r="AD82" s="113">
        <v>0</v>
      </c>
      <c r="AE82" s="114">
        <v>0</v>
      </c>
      <c r="AF82" s="113">
        <v>0</v>
      </c>
      <c r="AG82" s="114">
        <v>0</v>
      </c>
      <c r="AH82" s="8">
        <f t="shared" si="45"/>
        <v>0</v>
      </c>
      <c r="AI82" s="24">
        <f t="shared" si="46"/>
        <v>0</v>
      </c>
      <c r="AJ82" s="7"/>
      <c r="AK82" s="98"/>
      <c r="AL82" s="164">
        <v>0</v>
      </c>
      <c r="AM82" s="164">
        <v>0</v>
      </c>
      <c r="AN82" s="164">
        <v>0</v>
      </c>
      <c r="AO82" s="164">
        <v>0</v>
      </c>
      <c r="AP82" s="164">
        <v>0</v>
      </c>
      <c r="AQ82" s="164">
        <v>0</v>
      </c>
      <c r="AR82" s="164">
        <v>0</v>
      </c>
      <c r="AS82" s="164">
        <v>0</v>
      </c>
      <c r="AT82" s="164">
        <v>0</v>
      </c>
      <c r="AU82" s="114">
        <v>0</v>
      </c>
      <c r="AV82" s="113">
        <v>0</v>
      </c>
      <c r="AW82" s="113">
        <v>0</v>
      </c>
      <c r="AX82" s="8">
        <f t="shared" si="47"/>
        <v>0</v>
      </c>
      <c r="AY82" s="24">
        <f t="shared" si="48"/>
        <v>0</v>
      </c>
      <c r="AZ82" s="7"/>
      <c r="BA82" s="98"/>
      <c r="BB82" s="126">
        <v>0</v>
      </c>
      <c r="BC82" s="123">
        <v>0</v>
      </c>
      <c r="BD82" s="115" cm="1">
        <f t="array" ref="BD82">_xlfn.IFS($B$3="LE1 2024",R82-BB82-BC82,$B$3="LE2 2024",AH82-BB82-BC82,$B$3="LE3 2024",AX82-BB82-BC82)</f>
        <v>0</v>
      </c>
      <c r="BE82" s="98"/>
      <c r="BF82" s="113">
        <v>0</v>
      </c>
      <c r="BG82" s="114">
        <v>0</v>
      </c>
      <c r="BH82" s="113">
        <v>0</v>
      </c>
      <c r="BI82" s="114">
        <v>0</v>
      </c>
      <c r="BJ82" s="113">
        <v>0</v>
      </c>
      <c r="BK82" s="114">
        <v>0</v>
      </c>
      <c r="BL82" s="113">
        <v>0</v>
      </c>
      <c r="BM82" s="114">
        <v>0</v>
      </c>
      <c r="BN82" s="113">
        <v>0</v>
      </c>
      <c r="BO82" s="114">
        <v>0</v>
      </c>
      <c r="BP82" s="113">
        <v>0</v>
      </c>
      <c r="BQ82" s="114">
        <v>0</v>
      </c>
      <c r="BR82" s="8">
        <f t="shared" si="49"/>
        <v>0</v>
      </c>
      <c r="BS82" s="24">
        <f t="shared" si="50"/>
        <v>0</v>
      </c>
      <c r="BT82" s="7"/>
    </row>
    <row r="83" spans="2:72" s="6" customFormat="1" ht="22.15" hidden="1" customHeight="1" outlineLevel="1" x14ac:dyDescent="0.25">
      <c r="B83" s="9" t="s">
        <v>94</v>
      </c>
      <c r="C83" s="9" t="str">
        <f>LEFT($B$4,8)&amp;LEFT(B83,7)</f>
        <v>147900705034100</v>
      </c>
      <c r="D83" s="112">
        <v>75330.67</v>
      </c>
      <c r="E83" s="112">
        <v>0</v>
      </c>
      <c r="F83" s="113">
        <v>0</v>
      </c>
      <c r="G83" s="114">
        <v>0</v>
      </c>
      <c r="H83" s="113">
        <v>291.38</v>
      </c>
      <c r="I83" s="114">
        <v>-291.38</v>
      </c>
      <c r="J83" s="113">
        <v>0</v>
      </c>
      <c r="K83" s="114">
        <v>0</v>
      </c>
      <c r="L83" s="113">
        <v>0</v>
      </c>
      <c r="M83" s="114">
        <v>0</v>
      </c>
      <c r="N83" s="113">
        <v>0</v>
      </c>
      <c r="O83" s="114">
        <v>0</v>
      </c>
      <c r="P83" s="113">
        <v>0</v>
      </c>
      <c r="Q83" s="114">
        <v>0</v>
      </c>
      <c r="R83" s="8">
        <f t="shared" si="44"/>
        <v>0</v>
      </c>
      <c r="S83" s="24">
        <f t="shared" si="51"/>
        <v>0</v>
      </c>
      <c r="T83" s="7"/>
      <c r="U83" s="5"/>
      <c r="V83" s="112">
        <v>0</v>
      </c>
      <c r="W83" s="112">
        <v>0</v>
      </c>
      <c r="X83" s="112">
        <v>291.38</v>
      </c>
      <c r="Y83" s="112">
        <v>17367.16</v>
      </c>
      <c r="Z83" s="112">
        <v>0</v>
      </c>
      <c r="AA83" s="112">
        <v>-22147.219999999998</v>
      </c>
      <c r="AB83" s="113">
        <v>22147.22</v>
      </c>
      <c r="AC83" s="114">
        <v>0</v>
      </c>
      <c r="AD83" s="113">
        <v>0</v>
      </c>
      <c r="AE83" s="114">
        <v>0</v>
      </c>
      <c r="AF83" s="113">
        <v>0</v>
      </c>
      <c r="AG83" s="114">
        <v>0</v>
      </c>
      <c r="AH83" s="8">
        <f t="shared" si="45"/>
        <v>17658.540000000005</v>
      </c>
      <c r="AI83" s="24">
        <f t="shared" si="46"/>
        <v>17658.540000000005</v>
      </c>
      <c r="AJ83" s="7"/>
      <c r="AK83" s="98"/>
      <c r="AL83" s="164">
        <v>0</v>
      </c>
      <c r="AM83" s="164">
        <v>0</v>
      </c>
      <c r="AN83" s="164">
        <v>291.38</v>
      </c>
      <c r="AO83" s="164">
        <v>17367.16</v>
      </c>
      <c r="AP83" s="164">
        <v>0</v>
      </c>
      <c r="AQ83" s="164">
        <v>-22147.22</v>
      </c>
      <c r="AR83" s="164">
        <v>30651.91</v>
      </c>
      <c r="AS83" s="164">
        <v>-21320</v>
      </c>
      <c r="AT83" s="164">
        <v>0</v>
      </c>
      <c r="AU83" s="114">
        <v>0</v>
      </c>
      <c r="AV83" s="113">
        <v>0</v>
      </c>
      <c r="AW83" s="113">
        <v>0</v>
      </c>
      <c r="AX83" s="8">
        <f t="shared" si="47"/>
        <v>4843.2299999999996</v>
      </c>
      <c r="AY83" s="24">
        <f t="shared" si="48"/>
        <v>-12815.310000000005</v>
      </c>
      <c r="AZ83" s="7"/>
      <c r="BA83" s="98"/>
      <c r="BB83" s="126">
        <v>6494.6100000000015</v>
      </c>
      <c r="BC83" s="123">
        <v>0</v>
      </c>
      <c r="BD83" s="115" cm="1">
        <f t="array" ref="BD83">_xlfn.IFS($B$3="LE1 2024",R83-BB83-BC83,$B$3="LE2 2024",AH83-BB83-BC83,$B$3="LE3 2024",AX83-BB83-BC83)</f>
        <v>-1651.3800000000019</v>
      </c>
      <c r="BE83" s="98"/>
      <c r="BF83" s="113">
        <v>0</v>
      </c>
      <c r="BG83" s="114">
        <v>0</v>
      </c>
      <c r="BH83" s="113">
        <v>0</v>
      </c>
      <c r="BI83" s="114">
        <v>0</v>
      </c>
      <c r="BJ83" s="113">
        <v>0</v>
      </c>
      <c r="BK83" s="114">
        <v>0</v>
      </c>
      <c r="BL83" s="113">
        <v>0</v>
      </c>
      <c r="BM83" s="114">
        <v>0</v>
      </c>
      <c r="BN83" s="113">
        <v>0</v>
      </c>
      <c r="BO83" s="114">
        <v>0</v>
      </c>
      <c r="BP83" s="113">
        <v>0</v>
      </c>
      <c r="BQ83" s="114">
        <v>0</v>
      </c>
      <c r="BR83" s="8">
        <f t="shared" si="49"/>
        <v>0</v>
      </c>
      <c r="BS83" s="24">
        <f t="shared" si="50"/>
        <v>-17658.540000000005</v>
      </c>
      <c r="BT83" s="7"/>
    </row>
    <row r="84" spans="2:72" s="1" customFormat="1" ht="22.15" customHeight="1" collapsed="1" x14ac:dyDescent="0.25">
      <c r="B84" s="4" t="s">
        <v>195</v>
      </c>
      <c r="C84" s="4" t="str">
        <f>B84</f>
        <v>EXTERNAL TOTAL</v>
      </c>
      <c r="D84" s="3">
        <f>SUBTOTAL(9,D79:D83)</f>
        <v>75355.42</v>
      </c>
      <c r="E84" s="3">
        <f>SUBTOTAL(9,E79:E83)</f>
        <v>0</v>
      </c>
      <c r="F84" s="3">
        <f t="shared" ref="F84:S84" si="52">SUBTOTAL(9,F79:F83)</f>
        <v>0</v>
      </c>
      <c r="G84" s="3">
        <f t="shared" si="52"/>
        <v>0</v>
      </c>
      <c r="H84" s="3">
        <f t="shared" si="52"/>
        <v>291.38</v>
      </c>
      <c r="I84" s="3">
        <f t="shared" si="52"/>
        <v>-291.38</v>
      </c>
      <c r="J84" s="3">
        <f t="shared" si="52"/>
        <v>0</v>
      </c>
      <c r="K84" s="3">
        <f t="shared" si="52"/>
        <v>29000</v>
      </c>
      <c r="L84" s="3">
        <f t="shared" si="52"/>
        <v>0</v>
      </c>
      <c r="M84" s="3">
        <f t="shared" si="52"/>
        <v>15570</v>
      </c>
      <c r="N84" s="3">
        <f t="shared" si="52"/>
        <v>0</v>
      </c>
      <c r="O84" s="3">
        <f t="shared" si="52"/>
        <v>0</v>
      </c>
      <c r="P84" s="3">
        <f t="shared" si="52"/>
        <v>0</v>
      </c>
      <c r="Q84" s="3">
        <f t="shared" si="52"/>
        <v>0</v>
      </c>
      <c r="R84" s="3">
        <f t="shared" si="52"/>
        <v>44570</v>
      </c>
      <c r="S84" s="3">
        <f t="shared" si="52"/>
        <v>44570</v>
      </c>
      <c r="T84" s="2"/>
      <c r="U84" s="5"/>
      <c r="V84" s="3">
        <f t="shared" ref="V84:AI84" si="53">SUBTOTAL(9,V79:V83)</f>
        <v>0</v>
      </c>
      <c r="W84" s="3">
        <f t="shared" si="53"/>
        <v>0</v>
      </c>
      <c r="X84" s="3">
        <f t="shared" si="53"/>
        <v>291.38</v>
      </c>
      <c r="Y84" s="3">
        <f t="shared" si="53"/>
        <v>17367.16</v>
      </c>
      <c r="Z84" s="3">
        <f t="shared" si="53"/>
        <v>0</v>
      </c>
      <c r="AA84" s="3">
        <f t="shared" si="53"/>
        <v>-22147.219999999998</v>
      </c>
      <c r="AB84" s="3">
        <f t="shared" si="53"/>
        <v>22147.22</v>
      </c>
      <c r="AC84" s="3">
        <f t="shared" si="53"/>
        <v>16037.1</v>
      </c>
      <c r="AD84" s="3">
        <f t="shared" si="53"/>
        <v>29000</v>
      </c>
      <c r="AE84" s="3">
        <f t="shared" si="53"/>
        <v>0</v>
      </c>
      <c r="AF84" s="3">
        <f t="shared" si="53"/>
        <v>0</v>
      </c>
      <c r="AG84" s="3">
        <f t="shared" si="53"/>
        <v>0</v>
      </c>
      <c r="AH84" s="3">
        <f t="shared" si="53"/>
        <v>62695.64</v>
      </c>
      <c r="AI84" s="3">
        <f t="shared" si="53"/>
        <v>18125.640000000007</v>
      </c>
      <c r="AJ84" s="2"/>
      <c r="AK84" s="98"/>
      <c r="AL84" s="3">
        <f t="shared" ref="AL84:AY84" si="54">SUBTOTAL(9,AL79:AL83)</f>
        <v>0</v>
      </c>
      <c r="AM84" s="3">
        <f t="shared" si="54"/>
        <v>0</v>
      </c>
      <c r="AN84" s="3">
        <f t="shared" si="54"/>
        <v>291.38</v>
      </c>
      <c r="AO84" s="3">
        <f t="shared" si="54"/>
        <v>17367.16</v>
      </c>
      <c r="AP84" s="3">
        <f t="shared" si="54"/>
        <v>0</v>
      </c>
      <c r="AQ84" s="3">
        <f t="shared" si="54"/>
        <v>-22147.22</v>
      </c>
      <c r="AR84" s="3">
        <f t="shared" si="54"/>
        <v>35556.910000000003</v>
      </c>
      <c r="AS84" s="3">
        <f t="shared" si="54"/>
        <v>-21320</v>
      </c>
      <c r="AT84" s="3">
        <f t="shared" si="54"/>
        <v>0</v>
      </c>
      <c r="AU84" s="3">
        <f t="shared" si="54"/>
        <v>40132.1</v>
      </c>
      <c r="AV84" s="3">
        <f t="shared" si="54"/>
        <v>0</v>
      </c>
      <c r="AW84" s="3">
        <f t="shared" si="54"/>
        <v>0</v>
      </c>
      <c r="AX84" s="3">
        <f t="shared" si="54"/>
        <v>49880.33</v>
      </c>
      <c r="AY84" s="3">
        <f t="shared" si="54"/>
        <v>-12815.310000000005</v>
      </c>
      <c r="AZ84" s="2"/>
      <c r="BA84" s="98"/>
      <c r="BB84" s="3">
        <f t="shared" ref="BB84:BD84" si="55">SUBTOTAL(9,BB79:BB83)</f>
        <v>38373.64</v>
      </c>
      <c r="BC84" s="3">
        <f t="shared" si="55"/>
        <v>0</v>
      </c>
      <c r="BD84" s="3">
        <f t="shared" si="55"/>
        <v>11506.689999999999</v>
      </c>
      <c r="BE84" s="98"/>
      <c r="BF84" s="3">
        <f t="shared" ref="BF84:BS84" si="56">SUBTOTAL(9,BF79:BF83)</f>
        <v>1231.6666666666667</v>
      </c>
      <c r="BG84" s="3">
        <f t="shared" si="56"/>
        <v>1231.6666666666667</v>
      </c>
      <c r="BH84" s="3">
        <f t="shared" si="56"/>
        <v>1231.6666666666667</v>
      </c>
      <c r="BI84" s="3">
        <f t="shared" si="56"/>
        <v>1231.6666666666667</v>
      </c>
      <c r="BJ84" s="3">
        <f t="shared" si="56"/>
        <v>16231.666666666666</v>
      </c>
      <c r="BK84" s="3">
        <f t="shared" si="56"/>
        <v>1231.6666666666667</v>
      </c>
      <c r="BL84" s="3">
        <f t="shared" si="56"/>
        <v>16231.666666666666</v>
      </c>
      <c r="BM84" s="3">
        <f t="shared" si="56"/>
        <v>1231.6666666666667</v>
      </c>
      <c r="BN84" s="3">
        <f t="shared" si="56"/>
        <v>1231.6666666666667</v>
      </c>
      <c r="BO84" s="3">
        <f t="shared" si="56"/>
        <v>1231.6666666666667</v>
      </c>
      <c r="BP84" s="3">
        <f t="shared" si="56"/>
        <v>1231.6666666666667</v>
      </c>
      <c r="BQ84" s="3">
        <f t="shared" si="56"/>
        <v>1231.6666666666667</v>
      </c>
      <c r="BR84" s="3">
        <f t="shared" si="56"/>
        <v>44780</v>
      </c>
      <c r="BS84" s="3">
        <f t="shared" si="56"/>
        <v>-17915.640000000007</v>
      </c>
      <c r="BT84" s="2"/>
    </row>
    <row r="85" spans="2:72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98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98"/>
      <c r="BB85" s="5"/>
      <c r="BC85" s="5"/>
      <c r="BD85" s="5"/>
      <c r="BE85" s="98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</row>
    <row r="86" spans="2:72" s="10" customFormat="1" ht="75" x14ac:dyDescent="0.25">
      <c r="B86" s="151" t="s">
        <v>197</v>
      </c>
      <c r="C86" s="151" t="s">
        <v>69</v>
      </c>
      <c r="D86" s="152" t="s">
        <v>367</v>
      </c>
      <c r="E86" s="36" t="s">
        <v>186</v>
      </c>
      <c r="F86" s="11" t="s">
        <v>64</v>
      </c>
      <c r="G86" s="11" t="s">
        <v>63</v>
      </c>
      <c r="H86" s="11" t="s">
        <v>62</v>
      </c>
      <c r="I86" s="11" t="s">
        <v>61</v>
      </c>
      <c r="J86" s="11" t="s">
        <v>60</v>
      </c>
      <c r="K86" s="11" t="s">
        <v>59</v>
      </c>
      <c r="L86" s="11" t="s">
        <v>58</v>
      </c>
      <c r="M86" s="11" t="s">
        <v>57</v>
      </c>
      <c r="N86" s="11" t="s">
        <v>56</v>
      </c>
      <c r="O86" s="11" t="s">
        <v>55</v>
      </c>
      <c r="P86" s="11" t="s">
        <v>54</v>
      </c>
      <c r="Q86" s="11" t="s">
        <v>53</v>
      </c>
      <c r="R86" s="47" t="s">
        <v>364</v>
      </c>
      <c r="S86" s="109" t="s">
        <v>368</v>
      </c>
      <c r="T86" s="11" t="s">
        <v>51</v>
      </c>
      <c r="U86" s="5"/>
      <c r="V86" s="149" t="s">
        <v>64</v>
      </c>
      <c r="W86" s="149" t="s">
        <v>63</v>
      </c>
      <c r="X86" s="149" t="s">
        <v>62</v>
      </c>
      <c r="Y86" s="149" t="s">
        <v>61</v>
      </c>
      <c r="Z86" s="149" t="s">
        <v>60</v>
      </c>
      <c r="AA86" s="149" t="s">
        <v>59</v>
      </c>
      <c r="AB86" s="11" t="s">
        <v>58</v>
      </c>
      <c r="AC86" s="11" t="s">
        <v>57</v>
      </c>
      <c r="AD86" s="11" t="s">
        <v>56</v>
      </c>
      <c r="AE86" s="11" t="s">
        <v>55</v>
      </c>
      <c r="AF86" s="11" t="s">
        <v>54</v>
      </c>
      <c r="AG86" s="11" t="s">
        <v>53</v>
      </c>
      <c r="AH86" s="108" t="s">
        <v>365</v>
      </c>
      <c r="AI86" s="109" t="s">
        <v>369</v>
      </c>
      <c r="AJ86" s="11" t="s">
        <v>51</v>
      </c>
      <c r="AK86" s="98"/>
      <c r="AL86" s="97" t="s">
        <v>64</v>
      </c>
      <c r="AM86" s="97" t="s">
        <v>63</v>
      </c>
      <c r="AN86" s="97" t="s">
        <v>62</v>
      </c>
      <c r="AO86" s="97" t="s">
        <v>61</v>
      </c>
      <c r="AP86" s="97" t="s">
        <v>60</v>
      </c>
      <c r="AQ86" s="97" t="s">
        <v>59</v>
      </c>
      <c r="AR86" s="97" t="s">
        <v>58</v>
      </c>
      <c r="AS86" s="97" t="s">
        <v>57</v>
      </c>
      <c r="AT86" s="97" t="s">
        <v>56</v>
      </c>
      <c r="AU86" s="11" t="s">
        <v>55</v>
      </c>
      <c r="AV86" s="11" t="s">
        <v>54</v>
      </c>
      <c r="AW86" s="11" t="s">
        <v>53</v>
      </c>
      <c r="AX86" s="108" t="s">
        <v>366</v>
      </c>
      <c r="AY86" s="109" t="s">
        <v>370</v>
      </c>
      <c r="AZ86" s="11" t="s">
        <v>51</v>
      </c>
      <c r="BA86" s="98"/>
      <c r="BB86" s="127" t="s">
        <v>371</v>
      </c>
      <c r="BC86" s="127" t="s">
        <v>355</v>
      </c>
      <c r="BD86" s="128" t="s">
        <v>356</v>
      </c>
      <c r="BE86" s="98"/>
      <c r="BF86" s="11" t="s">
        <v>64</v>
      </c>
      <c r="BG86" s="11" t="s">
        <v>63</v>
      </c>
      <c r="BH86" s="11" t="s">
        <v>62</v>
      </c>
      <c r="BI86" s="11" t="s">
        <v>61</v>
      </c>
      <c r="BJ86" s="11" t="s">
        <v>60</v>
      </c>
      <c r="BK86" s="11" t="s">
        <v>59</v>
      </c>
      <c r="BL86" s="11" t="s">
        <v>58</v>
      </c>
      <c r="BM86" s="11" t="s">
        <v>57</v>
      </c>
      <c r="BN86" s="11" t="s">
        <v>56</v>
      </c>
      <c r="BO86" s="11" t="s">
        <v>55</v>
      </c>
      <c r="BP86" s="11" t="s">
        <v>54</v>
      </c>
      <c r="BQ86" s="11" t="s">
        <v>53</v>
      </c>
      <c r="BR86" s="108" t="s">
        <v>389</v>
      </c>
      <c r="BS86" s="109" t="s">
        <v>390</v>
      </c>
      <c r="BT86" s="11" t="s">
        <v>51</v>
      </c>
    </row>
    <row r="87" spans="2:72" s="6" customFormat="1" ht="22.15" customHeight="1" outlineLevel="1" x14ac:dyDescent="0.25">
      <c r="B87" s="52" t="s">
        <v>198</v>
      </c>
      <c r="C87" s="52" t="str">
        <f t="shared" ref="C87:C106" si="57">LEFT($B$4,8)&amp;LEFT(B87,7)</f>
        <v>147900705006000</v>
      </c>
      <c r="D87" s="112">
        <v>2038.7399999999993</v>
      </c>
      <c r="E87" s="112">
        <v>1117.69</v>
      </c>
      <c r="F87" s="113">
        <v>101.62</v>
      </c>
      <c r="G87" s="114">
        <v>101.59</v>
      </c>
      <c r="H87" s="113">
        <v>101.62</v>
      </c>
      <c r="I87" s="114">
        <v>101.6</v>
      </c>
      <c r="J87" s="113">
        <v>101.62</v>
      </c>
      <c r="K87" s="114">
        <v>101.59</v>
      </c>
      <c r="L87" s="113">
        <v>101.62</v>
      </c>
      <c r="M87" s="114">
        <v>101.6</v>
      </c>
      <c r="N87" s="113">
        <v>101.62</v>
      </c>
      <c r="O87" s="114">
        <v>101.59</v>
      </c>
      <c r="P87" s="113">
        <v>101.62</v>
      </c>
      <c r="Q87" s="114">
        <v>0</v>
      </c>
      <c r="R87" s="8">
        <f t="shared" ref="R87:R106" si="58">SUM(F87:Q87)</f>
        <v>1117.69</v>
      </c>
      <c r="S87" s="24">
        <f>R87-E87</f>
        <v>0</v>
      </c>
      <c r="T87" s="7"/>
      <c r="U87" s="5"/>
      <c r="V87" s="112">
        <v>101.62</v>
      </c>
      <c r="W87" s="112">
        <v>101.59</v>
      </c>
      <c r="X87" s="112">
        <v>101.62</v>
      </c>
      <c r="Y87" s="112">
        <v>101.6</v>
      </c>
      <c r="Z87" s="112">
        <v>67.78</v>
      </c>
      <c r="AA87" s="112">
        <v>67.759999999999991</v>
      </c>
      <c r="AB87" s="113">
        <v>67.78</v>
      </c>
      <c r="AC87" s="114">
        <v>67.77</v>
      </c>
      <c r="AD87" s="113">
        <v>67.78</v>
      </c>
      <c r="AE87" s="114">
        <v>67.760000000000005</v>
      </c>
      <c r="AF87" s="113">
        <v>67.78</v>
      </c>
      <c r="AG87" s="114">
        <v>0</v>
      </c>
      <c r="AH87" s="8">
        <f t="shared" ref="AH87:AH105" si="59">SUM(V87:AG87)</f>
        <v>880.83999999999992</v>
      </c>
      <c r="AI87" s="24">
        <f t="shared" ref="AI87:AI106" si="60">AH87-R87</f>
        <v>-236.85000000000014</v>
      </c>
      <c r="AJ87" s="7"/>
      <c r="AK87" s="98"/>
      <c r="AL87" s="164">
        <v>101.62</v>
      </c>
      <c r="AM87" s="164">
        <v>101.59</v>
      </c>
      <c r="AN87" s="164">
        <v>101.62</v>
      </c>
      <c r="AO87" s="164">
        <v>101.6</v>
      </c>
      <c r="AP87" s="164">
        <v>67.78</v>
      </c>
      <c r="AQ87" s="164">
        <v>67.760000000000005</v>
      </c>
      <c r="AR87" s="164">
        <v>67.78</v>
      </c>
      <c r="AS87" s="164">
        <v>67.77</v>
      </c>
      <c r="AT87" s="164">
        <v>67.78</v>
      </c>
      <c r="AU87" s="114">
        <v>67.760000000000005</v>
      </c>
      <c r="AV87" s="113">
        <v>67.78</v>
      </c>
      <c r="AW87" s="113">
        <v>0</v>
      </c>
      <c r="AX87" s="8">
        <f t="shared" ref="AX87:AX106" si="61">SUM(AL87:AW87)</f>
        <v>880.83999999999992</v>
      </c>
      <c r="AY87" s="24">
        <f t="shared" ref="AY87:AY106" si="62">AX87-AH87</f>
        <v>0</v>
      </c>
      <c r="AZ87" s="7"/>
      <c r="BA87" s="98"/>
      <c r="BB87" s="126">
        <v>880.83999999999992</v>
      </c>
      <c r="BC87" s="133">
        <v>0</v>
      </c>
      <c r="BD87" s="115" cm="1">
        <f t="array" ref="BD87">_xlfn.IFS($B$3="LE1 2024",R87-BB87-BC87,$B$3="LE2 2024",AH87-BB87-BC87,$B$3="LE3 2024",AX87-BB87-BC87)</f>
        <v>0</v>
      </c>
      <c r="BE87" s="98"/>
      <c r="BF87" s="113">
        <v>0</v>
      </c>
      <c r="BG87" s="114">
        <v>0</v>
      </c>
      <c r="BH87" s="113">
        <v>0</v>
      </c>
      <c r="BI87" s="114">
        <v>0</v>
      </c>
      <c r="BJ87" s="113">
        <v>0</v>
      </c>
      <c r="BK87" s="114">
        <v>0</v>
      </c>
      <c r="BL87" s="113">
        <v>0</v>
      </c>
      <c r="BM87" s="114">
        <v>0</v>
      </c>
      <c r="BN87" s="113">
        <v>0</v>
      </c>
      <c r="BO87" s="114">
        <v>0</v>
      </c>
      <c r="BP87" s="113">
        <v>0</v>
      </c>
      <c r="BQ87" s="114">
        <v>0</v>
      </c>
      <c r="BR87" s="8">
        <f t="shared" ref="BR87:BR106" si="63">SUM(BF87:BQ87)</f>
        <v>0</v>
      </c>
      <c r="BS87" s="24">
        <f t="shared" ref="BS87:BS106" si="64">BR87-AH87</f>
        <v>-880.83999999999992</v>
      </c>
      <c r="BT87" s="7"/>
    </row>
    <row r="88" spans="2:72" s="6" customFormat="1" ht="22.15" customHeight="1" outlineLevel="1" x14ac:dyDescent="0.25">
      <c r="B88" s="9" t="s">
        <v>95</v>
      </c>
      <c r="C88" s="9" t="str">
        <f t="shared" si="57"/>
        <v>147900705030020</v>
      </c>
      <c r="D88" s="112">
        <v>0</v>
      </c>
      <c r="E88" s="112">
        <v>0</v>
      </c>
      <c r="F88" s="113">
        <v>0</v>
      </c>
      <c r="G88" s="114">
        <v>0</v>
      </c>
      <c r="H88" s="113">
        <v>0</v>
      </c>
      <c r="I88" s="114">
        <v>0</v>
      </c>
      <c r="J88" s="113">
        <v>0</v>
      </c>
      <c r="K88" s="114">
        <v>0</v>
      </c>
      <c r="L88" s="113">
        <v>0</v>
      </c>
      <c r="M88" s="114">
        <v>0</v>
      </c>
      <c r="N88" s="113">
        <v>0</v>
      </c>
      <c r="O88" s="114">
        <v>0</v>
      </c>
      <c r="P88" s="113">
        <v>0</v>
      </c>
      <c r="Q88" s="114">
        <v>0</v>
      </c>
      <c r="R88" s="8">
        <f t="shared" si="58"/>
        <v>0</v>
      </c>
      <c r="S88" s="24">
        <f t="shared" ref="S88:S106" si="65">R88-E88</f>
        <v>0</v>
      </c>
      <c r="T88" s="7"/>
      <c r="U88" s="5"/>
      <c r="V88" s="112">
        <v>0</v>
      </c>
      <c r="W88" s="112">
        <v>0</v>
      </c>
      <c r="X88" s="112">
        <v>0</v>
      </c>
      <c r="Y88" s="112">
        <v>0</v>
      </c>
      <c r="Z88" s="112">
        <v>0</v>
      </c>
      <c r="AA88" s="112">
        <v>0</v>
      </c>
      <c r="AB88" s="113">
        <v>0</v>
      </c>
      <c r="AC88" s="114">
        <v>0</v>
      </c>
      <c r="AD88" s="113">
        <v>0</v>
      </c>
      <c r="AE88" s="114">
        <v>0</v>
      </c>
      <c r="AF88" s="113">
        <v>0</v>
      </c>
      <c r="AG88" s="114">
        <v>0</v>
      </c>
      <c r="AH88" s="8">
        <f t="shared" si="59"/>
        <v>0</v>
      </c>
      <c r="AI88" s="24">
        <f t="shared" si="60"/>
        <v>0</v>
      </c>
      <c r="AJ88" s="7"/>
      <c r="AK88" s="98"/>
      <c r="AL88" s="164">
        <v>0</v>
      </c>
      <c r="AM88" s="164">
        <v>0</v>
      </c>
      <c r="AN88" s="164">
        <v>0</v>
      </c>
      <c r="AO88" s="164">
        <v>0</v>
      </c>
      <c r="AP88" s="164">
        <v>0</v>
      </c>
      <c r="AQ88" s="164">
        <v>0</v>
      </c>
      <c r="AR88" s="164">
        <v>0</v>
      </c>
      <c r="AS88" s="164">
        <v>0</v>
      </c>
      <c r="AT88" s="164">
        <v>0</v>
      </c>
      <c r="AU88" s="114">
        <v>0</v>
      </c>
      <c r="AV88" s="113">
        <v>0</v>
      </c>
      <c r="AW88" s="113">
        <v>0</v>
      </c>
      <c r="AX88" s="8">
        <f t="shared" si="61"/>
        <v>0</v>
      </c>
      <c r="AY88" s="24">
        <f t="shared" si="62"/>
        <v>0</v>
      </c>
      <c r="AZ88" s="7"/>
      <c r="BA88" s="98"/>
      <c r="BB88" s="126">
        <v>0</v>
      </c>
      <c r="BC88" s="123">
        <v>0</v>
      </c>
      <c r="BD88" s="115" cm="1">
        <f t="array" ref="BD88">_xlfn.IFS($B$3="LE1 2024",R88-BB88-BC88,$B$3="LE2 2024",AH88-BB88-BC88,$B$3="LE3 2024",AX88-BB88-BC88)</f>
        <v>0</v>
      </c>
      <c r="BE88" s="98"/>
      <c r="BF88" s="113">
        <v>0</v>
      </c>
      <c r="BG88" s="114">
        <v>0</v>
      </c>
      <c r="BH88" s="113">
        <v>0</v>
      </c>
      <c r="BI88" s="114">
        <v>0</v>
      </c>
      <c r="BJ88" s="113">
        <v>0</v>
      </c>
      <c r="BK88" s="114">
        <v>0</v>
      </c>
      <c r="BL88" s="113">
        <v>0</v>
      </c>
      <c r="BM88" s="114">
        <v>0</v>
      </c>
      <c r="BN88" s="113">
        <v>0</v>
      </c>
      <c r="BO88" s="114">
        <v>0</v>
      </c>
      <c r="BP88" s="113">
        <v>0</v>
      </c>
      <c r="BQ88" s="114">
        <v>0</v>
      </c>
      <c r="BR88" s="8">
        <f t="shared" si="63"/>
        <v>0</v>
      </c>
      <c r="BS88" s="24">
        <f t="shared" si="64"/>
        <v>0</v>
      </c>
      <c r="BT88" s="7"/>
    </row>
    <row r="89" spans="2:72" s="6" customFormat="1" ht="22.15" customHeight="1" outlineLevel="1" x14ac:dyDescent="0.25">
      <c r="B89" s="9" t="s">
        <v>97</v>
      </c>
      <c r="C89" s="9" t="str">
        <f t="shared" si="57"/>
        <v>147900705040010</v>
      </c>
      <c r="D89" s="112">
        <v>0</v>
      </c>
      <c r="E89" s="112">
        <v>0</v>
      </c>
      <c r="F89" s="113">
        <v>0</v>
      </c>
      <c r="G89" s="114">
        <v>0</v>
      </c>
      <c r="H89" s="113">
        <v>0</v>
      </c>
      <c r="I89" s="114">
        <v>0</v>
      </c>
      <c r="J89" s="113">
        <v>0</v>
      </c>
      <c r="K89" s="114">
        <v>0</v>
      </c>
      <c r="L89" s="113">
        <v>0</v>
      </c>
      <c r="M89" s="114">
        <v>0</v>
      </c>
      <c r="N89" s="113">
        <v>0</v>
      </c>
      <c r="O89" s="114">
        <v>0</v>
      </c>
      <c r="P89" s="113">
        <v>0</v>
      </c>
      <c r="Q89" s="114">
        <v>0</v>
      </c>
      <c r="R89" s="8">
        <f t="shared" si="58"/>
        <v>0</v>
      </c>
      <c r="S89" s="24">
        <f t="shared" si="65"/>
        <v>0</v>
      </c>
      <c r="T89" s="7"/>
      <c r="U89" s="5"/>
      <c r="V89" s="112">
        <v>0</v>
      </c>
      <c r="W89" s="112">
        <v>0</v>
      </c>
      <c r="X89" s="112">
        <v>0</v>
      </c>
      <c r="Y89" s="112">
        <v>0</v>
      </c>
      <c r="Z89" s="112">
        <v>0</v>
      </c>
      <c r="AA89" s="112">
        <v>0</v>
      </c>
      <c r="AB89" s="113">
        <v>0</v>
      </c>
      <c r="AC89" s="114">
        <v>0</v>
      </c>
      <c r="AD89" s="113">
        <v>0</v>
      </c>
      <c r="AE89" s="114">
        <v>0</v>
      </c>
      <c r="AF89" s="113">
        <v>0</v>
      </c>
      <c r="AG89" s="114">
        <v>0</v>
      </c>
      <c r="AH89" s="8">
        <f t="shared" si="59"/>
        <v>0</v>
      </c>
      <c r="AI89" s="24">
        <f t="shared" si="60"/>
        <v>0</v>
      </c>
      <c r="AJ89" s="7"/>
      <c r="AK89" s="98"/>
      <c r="AL89" s="164">
        <v>0</v>
      </c>
      <c r="AM89" s="164">
        <v>0</v>
      </c>
      <c r="AN89" s="164">
        <v>0</v>
      </c>
      <c r="AO89" s="164">
        <v>0</v>
      </c>
      <c r="AP89" s="164">
        <v>0</v>
      </c>
      <c r="AQ89" s="164">
        <v>0</v>
      </c>
      <c r="AR89" s="164">
        <v>0</v>
      </c>
      <c r="AS89" s="164">
        <v>0</v>
      </c>
      <c r="AT89" s="164">
        <v>0</v>
      </c>
      <c r="AU89" s="114">
        <v>0</v>
      </c>
      <c r="AV89" s="113">
        <v>0</v>
      </c>
      <c r="AW89" s="113">
        <v>0</v>
      </c>
      <c r="AX89" s="8">
        <f t="shared" si="61"/>
        <v>0</v>
      </c>
      <c r="AY89" s="24">
        <f t="shared" si="62"/>
        <v>0</v>
      </c>
      <c r="AZ89" s="7"/>
      <c r="BA89" s="98"/>
      <c r="BB89" s="126">
        <v>0</v>
      </c>
      <c r="BC89" s="123">
        <v>0</v>
      </c>
      <c r="BD89" s="115" cm="1">
        <f t="array" ref="BD89">_xlfn.IFS($B$3="LE1 2024",R89-BB89-BC89,$B$3="LE2 2024",AH89-BB89-BC89,$B$3="LE3 2024",AX89-BB89-BC89)</f>
        <v>0</v>
      </c>
      <c r="BE89" s="98"/>
      <c r="BF89" s="113">
        <v>0</v>
      </c>
      <c r="BG89" s="114">
        <v>0</v>
      </c>
      <c r="BH89" s="113">
        <v>150</v>
      </c>
      <c r="BI89" s="114">
        <v>0</v>
      </c>
      <c r="BJ89" s="113">
        <v>0</v>
      </c>
      <c r="BK89" s="114">
        <v>300</v>
      </c>
      <c r="BL89" s="113">
        <v>150</v>
      </c>
      <c r="BM89" s="114">
        <v>0</v>
      </c>
      <c r="BN89" s="113">
        <v>150</v>
      </c>
      <c r="BO89" s="114">
        <v>0</v>
      </c>
      <c r="BP89" s="113">
        <v>0</v>
      </c>
      <c r="BQ89" s="114">
        <v>150</v>
      </c>
      <c r="BR89" s="8">
        <f t="shared" si="63"/>
        <v>900</v>
      </c>
      <c r="BS89" s="24">
        <f t="shared" si="64"/>
        <v>900</v>
      </c>
      <c r="BT89" s="7"/>
    </row>
    <row r="90" spans="2:72" s="6" customFormat="1" ht="22.15" customHeight="1" outlineLevel="1" x14ac:dyDescent="0.25">
      <c r="B90" s="9" t="s">
        <v>98</v>
      </c>
      <c r="C90" s="9" t="str">
        <f t="shared" si="57"/>
        <v>147900705040020</v>
      </c>
      <c r="D90" s="112">
        <v>49</v>
      </c>
      <c r="E90" s="112">
        <v>600</v>
      </c>
      <c r="F90" s="113">
        <v>104</v>
      </c>
      <c r="G90" s="114">
        <v>-52</v>
      </c>
      <c r="H90" s="113">
        <v>0</v>
      </c>
      <c r="I90" s="114">
        <v>0</v>
      </c>
      <c r="J90" s="113">
        <v>0</v>
      </c>
      <c r="K90" s="114">
        <v>100</v>
      </c>
      <c r="L90" s="113">
        <v>200</v>
      </c>
      <c r="M90" s="114">
        <v>0</v>
      </c>
      <c r="N90" s="113">
        <v>0</v>
      </c>
      <c r="O90" s="114">
        <v>100</v>
      </c>
      <c r="P90" s="113">
        <v>100</v>
      </c>
      <c r="Q90" s="114">
        <v>0</v>
      </c>
      <c r="R90" s="8">
        <f t="shared" si="58"/>
        <v>552</v>
      </c>
      <c r="S90" s="24">
        <f t="shared" si="65"/>
        <v>-48</v>
      </c>
      <c r="T90" s="7"/>
      <c r="U90" s="5"/>
      <c r="V90" s="112">
        <v>104</v>
      </c>
      <c r="W90" s="112">
        <v>-52</v>
      </c>
      <c r="X90" s="112">
        <v>0</v>
      </c>
      <c r="Y90" s="112">
        <v>0</v>
      </c>
      <c r="Z90" s="112">
        <v>0</v>
      </c>
      <c r="AA90" s="112">
        <v>0</v>
      </c>
      <c r="AB90" s="113">
        <v>135.34</v>
      </c>
      <c r="AC90" s="114">
        <v>0</v>
      </c>
      <c r="AD90" s="113">
        <v>0</v>
      </c>
      <c r="AE90" s="114">
        <v>100</v>
      </c>
      <c r="AF90" s="113">
        <v>100</v>
      </c>
      <c r="AG90" s="114">
        <v>0</v>
      </c>
      <c r="AH90" s="8">
        <f t="shared" si="59"/>
        <v>387.34000000000003</v>
      </c>
      <c r="AI90" s="24">
        <f t="shared" si="60"/>
        <v>-164.65999999999997</v>
      </c>
      <c r="AJ90" s="7"/>
      <c r="AK90" s="98"/>
      <c r="AL90" s="164">
        <v>104</v>
      </c>
      <c r="AM90" s="164">
        <v>-52</v>
      </c>
      <c r="AN90" s="164">
        <v>0</v>
      </c>
      <c r="AO90" s="164">
        <v>0</v>
      </c>
      <c r="AP90" s="164">
        <v>0</v>
      </c>
      <c r="AQ90" s="164">
        <v>0</v>
      </c>
      <c r="AR90" s="164">
        <v>0</v>
      </c>
      <c r="AS90" s="164">
        <v>0</v>
      </c>
      <c r="AT90" s="164">
        <v>0</v>
      </c>
      <c r="AU90" s="114">
        <v>100</v>
      </c>
      <c r="AV90" s="113">
        <v>100</v>
      </c>
      <c r="AW90" s="113">
        <v>0</v>
      </c>
      <c r="AX90" s="8">
        <f t="shared" si="61"/>
        <v>252</v>
      </c>
      <c r="AY90" s="24">
        <f t="shared" si="62"/>
        <v>-135.34000000000003</v>
      </c>
      <c r="AZ90" s="7"/>
      <c r="BA90" s="98"/>
      <c r="BB90" s="126">
        <v>81.260000000000005</v>
      </c>
      <c r="BC90" s="123">
        <v>0</v>
      </c>
      <c r="BD90" s="115" cm="1">
        <f t="array" ref="BD90">_xlfn.IFS($B$3="LE1 2024",R90-BB90-BC90,$B$3="LE2 2024",AH90-BB90-BC90,$B$3="LE3 2024",AX90-BB90-BC90)</f>
        <v>170.74</v>
      </c>
      <c r="BE90" s="98"/>
      <c r="BF90" s="113">
        <v>0</v>
      </c>
      <c r="BG90" s="114">
        <v>0</v>
      </c>
      <c r="BH90" s="113">
        <v>250</v>
      </c>
      <c r="BI90" s="114">
        <v>0</v>
      </c>
      <c r="BJ90" s="113">
        <v>0</v>
      </c>
      <c r="BK90" s="114">
        <v>250</v>
      </c>
      <c r="BL90" s="113">
        <v>0</v>
      </c>
      <c r="BM90" s="114">
        <v>0</v>
      </c>
      <c r="BN90" s="113">
        <v>250</v>
      </c>
      <c r="BO90" s="114">
        <v>0</v>
      </c>
      <c r="BP90" s="113">
        <v>0</v>
      </c>
      <c r="BQ90" s="114">
        <v>0</v>
      </c>
      <c r="BR90" s="8">
        <f t="shared" si="63"/>
        <v>750</v>
      </c>
      <c r="BS90" s="24">
        <f t="shared" si="64"/>
        <v>362.65999999999997</v>
      </c>
      <c r="BT90" s="7"/>
    </row>
    <row r="91" spans="2:72" s="6" customFormat="1" ht="22.15" customHeight="1" outlineLevel="1" x14ac:dyDescent="0.25">
      <c r="B91" s="9" t="s">
        <v>99</v>
      </c>
      <c r="C91" s="9" t="str">
        <f t="shared" si="57"/>
        <v>147900705040030</v>
      </c>
      <c r="D91" s="112">
        <v>68.210000000000008</v>
      </c>
      <c r="E91" s="112">
        <v>0</v>
      </c>
      <c r="F91" s="113">
        <v>0</v>
      </c>
      <c r="G91" s="114">
        <v>0</v>
      </c>
      <c r="H91" s="113">
        <v>0</v>
      </c>
      <c r="I91" s="114">
        <v>0</v>
      </c>
      <c r="J91" s="113">
        <v>0</v>
      </c>
      <c r="K91" s="114">
        <v>0</v>
      </c>
      <c r="L91" s="113">
        <v>0</v>
      </c>
      <c r="M91" s="114">
        <v>0</v>
      </c>
      <c r="N91" s="113">
        <v>0</v>
      </c>
      <c r="O91" s="114">
        <v>0</v>
      </c>
      <c r="P91" s="113">
        <v>0</v>
      </c>
      <c r="Q91" s="114">
        <v>0</v>
      </c>
      <c r="R91" s="8">
        <f t="shared" ref="R91" si="66">SUM(F91:Q91)</f>
        <v>0</v>
      </c>
      <c r="S91" s="24">
        <f t="shared" ref="S91" si="67">R91-E91</f>
        <v>0</v>
      </c>
      <c r="T91" s="7"/>
      <c r="U91" s="5"/>
      <c r="V91" s="112">
        <v>0</v>
      </c>
      <c r="W91" s="112">
        <v>0</v>
      </c>
      <c r="X91" s="112">
        <v>0</v>
      </c>
      <c r="Y91" s="112">
        <v>0</v>
      </c>
      <c r="Z91" s="112">
        <v>0</v>
      </c>
      <c r="AA91" s="112">
        <v>0</v>
      </c>
      <c r="AB91" s="113">
        <v>36.82</v>
      </c>
      <c r="AC91" s="114">
        <v>0</v>
      </c>
      <c r="AD91" s="113">
        <v>0</v>
      </c>
      <c r="AE91" s="114">
        <v>0</v>
      </c>
      <c r="AF91" s="113">
        <v>0</v>
      </c>
      <c r="AG91" s="114">
        <v>0</v>
      </c>
      <c r="AH91" s="8">
        <f t="shared" si="59"/>
        <v>36.82</v>
      </c>
      <c r="AI91" s="24">
        <f t="shared" si="60"/>
        <v>36.82</v>
      </c>
      <c r="AJ91" s="7"/>
      <c r="AK91" s="98"/>
      <c r="AL91" s="164">
        <v>0</v>
      </c>
      <c r="AM91" s="164">
        <v>0</v>
      </c>
      <c r="AN91" s="164">
        <v>0</v>
      </c>
      <c r="AO91" s="164">
        <v>0</v>
      </c>
      <c r="AP91" s="164">
        <v>0</v>
      </c>
      <c r="AQ91" s="164">
        <v>0</v>
      </c>
      <c r="AR91" s="164">
        <v>0</v>
      </c>
      <c r="AS91" s="164">
        <v>19</v>
      </c>
      <c r="AT91" s="164">
        <v>-19</v>
      </c>
      <c r="AU91" s="114">
        <v>40</v>
      </c>
      <c r="AV91" s="113">
        <v>0</v>
      </c>
      <c r="AW91" s="113">
        <v>0</v>
      </c>
      <c r="AX91" s="8">
        <f t="shared" si="61"/>
        <v>40</v>
      </c>
      <c r="AY91" s="24">
        <f t="shared" si="62"/>
        <v>3.1799999999999997</v>
      </c>
      <c r="AZ91" s="7"/>
      <c r="BA91" s="98"/>
      <c r="BB91" s="126">
        <v>26.5</v>
      </c>
      <c r="BC91" s="123">
        <v>0</v>
      </c>
      <c r="BD91" s="115" cm="1">
        <f t="array" ref="BD91">_xlfn.IFS($B$3="LE1 2024",R91-BB91-BC91,$B$3="LE2 2024",AH91-BB91-BC91,$B$3="LE3 2024",AX91-BB91-BC91)</f>
        <v>13.5</v>
      </c>
      <c r="BE91" s="98"/>
      <c r="BF91" s="113">
        <v>0</v>
      </c>
      <c r="BG91" s="114">
        <v>0</v>
      </c>
      <c r="BH91" s="113">
        <v>0</v>
      </c>
      <c r="BI91" s="114">
        <v>0</v>
      </c>
      <c r="BJ91" s="113">
        <v>0</v>
      </c>
      <c r="BK91" s="114">
        <v>0</v>
      </c>
      <c r="BL91" s="113">
        <v>0</v>
      </c>
      <c r="BM91" s="114">
        <v>0</v>
      </c>
      <c r="BN91" s="113">
        <v>0</v>
      </c>
      <c r="BO91" s="114">
        <v>0</v>
      </c>
      <c r="BP91" s="113">
        <v>0</v>
      </c>
      <c r="BQ91" s="114">
        <v>0</v>
      </c>
      <c r="BR91" s="8">
        <f t="shared" si="63"/>
        <v>0</v>
      </c>
      <c r="BS91" s="24">
        <f t="shared" si="64"/>
        <v>-36.82</v>
      </c>
      <c r="BT91" s="7"/>
    </row>
    <row r="92" spans="2:72" s="6" customFormat="1" ht="22.15" customHeight="1" outlineLevel="1" x14ac:dyDescent="0.25">
      <c r="B92" s="9" t="s">
        <v>101</v>
      </c>
      <c r="C92" s="9" t="str">
        <f t="shared" si="57"/>
        <v>147900705044000</v>
      </c>
      <c r="D92" s="112">
        <v>0</v>
      </c>
      <c r="E92" s="112">
        <v>400</v>
      </c>
      <c r="F92" s="113">
        <v>0</v>
      </c>
      <c r="G92" s="114">
        <v>0</v>
      </c>
      <c r="H92" s="113">
        <v>0</v>
      </c>
      <c r="I92" s="114">
        <v>100</v>
      </c>
      <c r="J92" s="113">
        <v>0</v>
      </c>
      <c r="K92" s="114">
        <v>100</v>
      </c>
      <c r="L92" s="113">
        <v>0</v>
      </c>
      <c r="M92" s="114">
        <v>0</v>
      </c>
      <c r="N92" s="113">
        <v>100</v>
      </c>
      <c r="O92" s="114">
        <v>0</v>
      </c>
      <c r="P92" s="113">
        <v>0</v>
      </c>
      <c r="Q92" s="114">
        <v>100</v>
      </c>
      <c r="R92" s="8">
        <f t="shared" si="58"/>
        <v>400</v>
      </c>
      <c r="S92" s="24">
        <f t="shared" si="65"/>
        <v>0</v>
      </c>
      <c r="T92" s="7"/>
      <c r="U92" s="5"/>
      <c r="V92" s="112">
        <v>0</v>
      </c>
      <c r="W92" s="112">
        <v>0</v>
      </c>
      <c r="X92" s="112">
        <v>0</v>
      </c>
      <c r="Y92" s="112">
        <v>0</v>
      </c>
      <c r="Z92" s="112">
        <v>0</v>
      </c>
      <c r="AA92" s="112">
        <v>0</v>
      </c>
      <c r="AB92" s="113">
        <v>50</v>
      </c>
      <c r="AC92" s="114">
        <v>50</v>
      </c>
      <c r="AD92" s="113">
        <v>50</v>
      </c>
      <c r="AE92" s="114">
        <v>50</v>
      </c>
      <c r="AF92" s="113">
        <v>50</v>
      </c>
      <c r="AG92" s="114">
        <v>50</v>
      </c>
      <c r="AH92" s="8">
        <f t="shared" si="59"/>
        <v>300</v>
      </c>
      <c r="AI92" s="24">
        <f t="shared" si="60"/>
        <v>-100</v>
      </c>
      <c r="AJ92" s="7"/>
      <c r="AK92" s="98"/>
      <c r="AL92" s="164">
        <v>0</v>
      </c>
      <c r="AM92" s="164">
        <v>0</v>
      </c>
      <c r="AN92" s="164">
        <v>0</v>
      </c>
      <c r="AO92" s="164">
        <v>0</v>
      </c>
      <c r="AP92" s="164">
        <v>0</v>
      </c>
      <c r="AQ92" s="164">
        <v>0</v>
      </c>
      <c r="AR92" s="164">
        <v>0</v>
      </c>
      <c r="AS92" s="164">
        <v>0</v>
      </c>
      <c r="AT92" s="164">
        <v>0</v>
      </c>
      <c r="AU92" s="114">
        <v>200</v>
      </c>
      <c r="AV92" s="113">
        <v>0</v>
      </c>
      <c r="AW92" s="113">
        <v>100</v>
      </c>
      <c r="AX92" s="8">
        <f t="shared" si="61"/>
        <v>300</v>
      </c>
      <c r="AY92" s="24">
        <f t="shared" si="62"/>
        <v>0</v>
      </c>
      <c r="AZ92" s="7"/>
      <c r="BA92" s="98"/>
      <c r="BB92" s="126">
        <v>0</v>
      </c>
      <c r="BC92" s="123">
        <v>0</v>
      </c>
      <c r="BD92" s="115" cm="1">
        <f t="array" ref="BD92">_xlfn.IFS($B$3="LE1 2024",R92-BB92-BC92,$B$3="LE2 2024",AH92-BB92-BC92,$B$3="LE3 2024",AX92-BB92-BC92)</f>
        <v>300</v>
      </c>
      <c r="BE92" s="98"/>
      <c r="BF92" s="113">
        <v>0</v>
      </c>
      <c r="BG92" s="114">
        <v>0</v>
      </c>
      <c r="BH92" s="113">
        <v>200</v>
      </c>
      <c r="BI92" s="114">
        <v>0</v>
      </c>
      <c r="BJ92" s="113">
        <v>0</v>
      </c>
      <c r="BK92" s="114">
        <v>0</v>
      </c>
      <c r="BL92" s="113">
        <v>0</v>
      </c>
      <c r="BM92" s="114">
        <v>200</v>
      </c>
      <c r="BN92" s="113">
        <v>0</v>
      </c>
      <c r="BO92" s="114">
        <v>0</v>
      </c>
      <c r="BP92" s="113">
        <v>0</v>
      </c>
      <c r="BQ92" s="114">
        <v>0</v>
      </c>
      <c r="BR92" s="8">
        <f t="shared" si="63"/>
        <v>400</v>
      </c>
      <c r="BS92" s="24">
        <f t="shared" si="64"/>
        <v>100</v>
      </c>
      <c r="BT92" s="7"/>
    </row>
    <row r="93" spans="2:72" s="6" customFormat="1" ht="22.15" customHeight="1" outlineLevel="1" x14ac:dyDescent="0.25">
      <c r="B93" s="9" t="s">
        <v>102</v>
      </c>
      <c r="C93" s="9" t="str">
        <f t="shared" si="57"/>
        <v>147900705048040</v>
      </c>
      <c r="D93" s="112">
        <v>570.98</v>
      </c>
      <c r="E93" s="112">
        <v>1200</v>
      </c>
      <c r="F93" s="113">
        <v>0</v>
      </c>
      <c r="G93" s="114">
        <v>0</v>
      </c>
      <c r="H93" s="113">
        <v>0</v>
      </c>
      <c r="I93" s="114">
        <v>133.33000000000001</v>
      </c>
      <c r="J93" s="113">
        <v>133.33000000000001</v>
      </c>
      <c r="K93" s="114">
        <v>133.33000000000001</v>
      </c>
      <c r="L93" s="113">
        <v>133.33000000000001</v>
      </c>
      <c r="M93" s="114">
        <v>133.33000000000001</v>
      </c>
      <c r="N93" s="113">
        <v>133.33000000000001</v>
      </c>
      <c r="O93" s="114">
        <v>133.33000000000001</v>
      </c>
      <c r="P93" s="113">
        <v>133.33000000000001</v>
      </c>
      <c r="Q93" s="114">
        <v>133.36000000000001</v>
      </c>
      <c r="R93" s="8">
        <f t="shared" si="58"/>
        <v>1200</v>
      </c>
      <c r="S93" s="24">
        <f t="shared" si="65"/>
        <v>0</v>
      </c>
      <c r="T93" s="7"/>
      <c r="U93" s="5"/>
      <c r="V93" s="112">
        <v>0</v>
      </c>
      <c r="W93" s="112">
        <v>0</v>
      </c>
      <c r="X93" s="112">
        <v>0</v>
      </c>
      <c r="Y93" s="112">
        <v>0</v>
      </c>
      <c r="Z93" s="112">
        <v>0</v>
      </c>
      <c r="AA93" s="112">
        <v>0</v>
      </c>
      <c r="AB93" s="113">
        <v>140</v>
      </c>
      <c r="AC93" s="114">
        <v>140</v>
      </c>
      <c r="AD93" s="113">
        <v>140</v>
      </c>
      <c r="AE93" s="114">
        <v>140</v>
      </c>
      <c r="AF93" s="113">
        <v>140</v>
      </c>
      <c r="AG93" s="114">
        <v>140</v>
      </c>
      <c r="AH93" s="8">
        <f t="shared" si="59"/>
        <v>840</v>
      </c>
      <c r="AI93" s="24">
        <f t="shared" si="60"/>
        <v>-360</v>
      </c>
      <c r="AJ93" s="7"/>
      <c r="AK93" s="98"/>
      <c r="AL93" s="164">
        <v>0</v>
      </c>
      <c r="AM93" s="164">
        <v>0</v>
      </c>
      <c r="AN93" s="164">
        <v>0</v>
      </c>
      <c r="AO93" s="164">
        <v>0</v>
      </c>
      <c r="AP93" s="164">
        <v>0</v>
      </c>
      <c r="AQ93" s="164">
        <v>0</v>
      </c>
      <c r="AR93" s="164">
        <v>0</v>
      </c>
      <c r="AS93" s="164">
        <v>0</v>
      </c>
      <c r="AT93" s="164">
        <v>0</v>
      </c>
      <c r="AU93" s="114">
        <v>420</v>
      </c>
      <c r="AV93" s="113">
        <v>210</v>
      </c>
      <c r="AW93" s="113">
        <v>210</v>
      </c>
      <c r="AX93" s="8">
        <f t="shared" si="61"/>
        <v>840</v>
      </c>
      <c r="AY93" s="24">
        <f t="shared" si="62"/>
        <v>0</v>
      </c>
      <c r="AZ93" s="7"/>
      <c r="BA93" s="98"/>
      <c r="BB93" s="126">
        <v>71.5</v>
      </c>
      <c r="BC93" s="123">
        <v>0</v>
      </c>
      <c r="BD93" s="115" cm="1">
        <f t="array" ref="BD93">_xlfn.IFS($B$3="LE1 2024",R93-BB93-BC93,$B$3="LE2 2024",AH93-BB93-BC93,$B$3="LE3 2024",AX93-BB93-BC93)</f>
        <v>768.5</v>
      </c>
      <c r="BE93" s="98"/>
      <c r="BF93" s="113">
        <v>0</v>
      </c>
      <c r="BG93" s="114">
        <v>0</v>
      </c>
      <c r="BH93" s="113">
        <v>0</v>
      </c>
      <c r="BI93" s="114">
        <v>0</v>
      </c>
      <c r="BJ93" s="113">
        <v>0</v>
      </c>
      <c r="BK93" s="114">
        <v>0</v>
      </c>
      <c r="BL93" s="113">
        <v>0</v>
      </c>
      <c r="BM93" s="114">
        <v>0</v>
      </c>
      <c r="BN93" s="113">
        <v>0</v>
      </c>
      <c r="BO93" s="114">
        <v>0</v>
      </c>
      <c r="BP93" s="113">
        <v>0</v>
      </c>
      <c r="BQ93" s="114">
        <v>0</v>
      </c>
      <c r="BR93" s="8">
        <f t="shared" si="63"/>
        <v>0</v>
      </c>
      <c r="BS93" s="24">
        <f t="shared" si="64"/>
        <v>-840</v>
      </c>
      <c r="BT93" s="7"/>
    </row>
    <row r="94" spans="2:72" s="6" customFormat="1" ht="22.15" customHeight="1" outlineLevel="1" x14ac:dyDescent="0.25">
      <c r="B94" s="9" t="s">
        <v>103</v>
      </c>
      <c r="C94" s="9" t="str">
        <f t="shared" si="57"/>
        <v>147900705058020</v>
      </c>
      <c r="D94" s="112">
        <v>0</v>
      </c>
      <c r="E94" s="112">
        <v>0</v>
      </c>
      <c r="F94" s="113">
        <v>0</v>
      </c>
      <c r="G94" s="114">
        <v>0</v>
      </c>
      <c r="H94" s="113">
        <v>0</v>
      </c>
      <c r="I94" s="114">
        <v>0</v>
      </c>
      <c r="J94" s="113">
        <v>0</v>
      </c>
      <c r="K94" s="114">
        <v>0</v>
      </c>
      <c r="L94" s="113">
        <v>0</v>
      </c>
      <c r="M94" s="114">
        <v>0</v>
      </c>
      <c r="N94" s="113">
        <v>0</v>
      </c>
      <c r="O94" s="114">
        <v>0</v>
      </c>
      <c r="P94" s="113">
        <v>0</v>
      </c>
      <c r="Q94" s="114">
        <v>0</v>
      </c>
      <c r="R94" s="8">
        <f t="shared" si="58"/>
        <v>0</v>
      </c>
      <c r="S94" s="24">
        <f t="shared" si="65"/>
        <v>0</v>
      </c>
      <c r="T94" s="7"/>
      <c r="U94" s="5"/>
      <c r="V94" s="112">
        <v>0</v>
      </c>
      <c r="W94" s="112">
        <v>0</v>
      </c>
      <c r="X94" s="112">
        <v>0</v>
      </c>
      <c r="Y94" s="112">
        <v>0</v>
      </c>
      <c r="Z94" s="112">
        <v>0</v>
      </c>
      <c r="AA94" s="112">
        <v>0</v>
      </c>
      <c r="AB94" s="113">
        <v>0</v>
      </c>
      <c r="AC94" s="114">
        <v>0</v>
      </c>
      <c r="AD94" s="113">
        <v>0</v>
      </c>
      <c r="AE94" s="114">
        <v>0</v>
      </c>
      <c r="AF94" s="113">
        <v>0</v>
      </c>
      <c r="AG94" s="114">
        <v>0</v>
      </c>
      <c r="AH94" s="8">
        <f t="shared" si="59"/>
        <v>0</v>
      </c>
      <c r="AI94" s="24">
        <f t="shared" si="60"/>
        <v>0</v>
      </c>
      <c r="AJ94" s="7"/>
      <c r="AK94" s="98"/>
      <c r="AL94" s="164">
        <v>0</v>
      </c>
      <c r="AM94" s="164">
        <v>0</v>
      </c>
      <c r="AN94" s="164">
        <v>0</v>
      </c>
      <c r="AO94" s="164">
        <v>0</v>
      </c>
      <c r="AP94" s="164">
        <v>0</v>
      </c>
      <c r="AQ94" s="164">
        <v>0</v>
      </c>
      <c r="AR94" s="164">
        <v>0</v>
      </c>
      <c r="AS94" s="164">
        <v>0</v>
      </c>
      <c r="AT94" s="164">
        <v>0</v>
      </c>
      <c r="AU94" s="114">
        <v>0</v>
      </c>
      <c r="AV94" s="113">
        <v>0</v>
      </c>
      <c r="AW94" s="113">
        <v>0</v>
      </c>
      <c r="AX94" s="8">
        <f t="shared" si="61"/>
        <v>0</v>
      </c>
      <c r="AY94" s="24">
        <f t="shared" si="62"/>
        <v>0</v>
      </c>
      <c r="AZ94" s="7"/>
      <c r="BA94" s="98"/>
      <c r="BB94" s="126">
        <v>0</v>
      </c>
      <c r="BC94" s="123">
        <v>0</v>
      </c>
      <c r="BD94" s="115" cm="1">
        <f t="array" ref="BD94">_xlfn.IFS($B$3="LE1 2024",R94-BB94-BC94,$B$3="LE2 2024",AH94-BB94-BC94,$B$3="LE3 2024",AX94-BB94-BC94)</f>
        <v>0</v>
      </c>
      <c r="BE94" s="98"/>
      <c r="BF94" s="113">
        <v>0</v>
      </c>
      <c r="BG94" s="114">
        <v>0</v>
      </c>
      <c r="BH94" s="113">
        <v>0</v>
      </c>
      <c r="BI94" s="114">
        <v>0</v>
      </c>
      <c r="BJ94" s="113">
        <v>0</v>
      </c>
      <c r="BK94" s="114">
        <v>0</v>
      </c>
      <c r="BL94" s="113">
        <v>0</v>
      </c>
      <c r="BM94" s="114">
        <v>0</v>
      </c>
      <c r="BN94" s="113">
        <v>0</v>
      </c>
      <c r="BO94" s="114">
        <v>0</v>
      </c>
      <c r="BP94" s="113">
        <v>0</v>
      </c>
      <c r="BQ94" s="114">
        <v>0</v>
      </c>
      <c r="BR94" s="8">
        <f t="shared" si="63"/>
        <v>0</v>
      </c>
      <c r="BS94" s="24">
        <f t="shared" si="64"/>
        <v>0</v>
      </c>
      <c r="BT94" s="7"/>
    </row>
    <row r="95" spans="2:72" s="6" customFormat="1" ht="22.15" customHeight="1" outlineLevel="1" x14ac:dyDescent="0.25">
      <c r="B95" s="9" t="s">
        <v>104</v>
      </c>
      <c r="C95" s="9" t="str">
        <f t="shared" si="57"/>
        <v>147900705026020</v>
      </c>
      <c r="D95" s="112">
        <v>0</v>
      </c>
      <c r="E95" s="112">
        <v>0</v>
      </c>
      <c r="F95" s="113">
        <v>0</v>
      </c>
      <c r="G95" s="114">
        <v>0</v>
      </c>
      <c r="H95" s="113">
        <v>0</v>
      </c>
      <c r="I95" s="114">
        <v>0</v>
      </c>
      <c r="J95" s="113">
        <v>0</v>
      </c>
      <c r="K95" s="114">
        <v>0</v>
      </c>
      <c r="L95" s="113">
        <v>0</v>
      </c>
      <c r="M95" s="114">
        <v>0</v>
      </c>
      <c r="N95" s="113">
        <v>0</v>
      </c>
      <c r="O95" s="114">
        <v>0</v>
      </c>
      <c r="P95" s="113">
        <v>0</v>
      </c>
      <c r="Q95" s="114">
        <v>0</v>
      </c>
      <c r="R95" s="8">
        <f t="shared" si="58"/>
        <v>0</v>
      </c>
      <c r="S95" s="24">
        <f t="shared" si="65"/>
        <v>0</v>
      </c>
      <c r="T95" s="7"/>
      <c r="U95" s="5"/>
      <c r="V95" s="112">
        <v>0</v>
      </c>
      <c r="W95" s="112">
        <v>0</v>
      </c>
      <c r="X95" s="112">
        <v>0</v>
      </c>
      <c r="Y95" s="112">
        <v>0</v>
      </c>
      <c r="Z95" s="112">
        <v>0</v>
      </c>
      <c r="AA95" s="112">
        <v>0</v>
      </c>
      <c r="AB95" s="113">
        <v>0</v>
      </c>
      <c r="AC95" s="114">
        <v>0</v>
      </c>
      <c r="AD95" s="113">
        <v>0</v>
      </c>
      <c r="AE95" s="114">
        <v>0</v>
      </c>
      <c r="AF95" s="113">
        <v>0</v>
      </c>
      <c r="AG95" s="114">
        <v>0</v>
      </c>
      <c r="AH95" s="8">
        <f t="shared" si="59"/>
        <v>0</v>
      </c>
      <c r="AI95" s="24">
        <f t="shared" si="60"/>
        <v>0</v>
      </c>
      <c r="AJ95" s="7"/>
      <c r="AK95" s="98"/>
      <c r="AL95" s="164">
        <v>0</v>
      </c>
      <c r="AM95" s="164">
        <v>0</v>
      </c>
      <c r="AN95" s="164">
        <v>0</v>
      </c>
      <c r="AO95" s="164">
        <v>0</v>
      </c>
      <c r="AP95" s="164">
        <v>0</v>
      </c>
      <c r="AQ95" s="164">
        <v>0</v>
      </c>
      <c r="AR95" s="164">
        <v>0</v>
      </c>
      <c r="AS95" s="164">
        <v>0</v>
      </c>
      <c r="AT95" s="164">
        <v>0</v>
      </c>
      <c r="AU95" s="114">
        <v>0</v>
      </c>
      <c r="AV95" s="113">
        <v>0</v>
      </c>
      <c r="AW95" s="113">
        <v>0</v>
      </c>
      <c r="AX95" s="8">
        <f t="shared" si="61"/>
        <v>0</v>
      </c>
      <c r="AY95" s="24">
        <f t="shared" si="62"/>
        <v>0</v>
      </c>
      <c r="AZ95" s="7"/>
      <c r="BA95" s="98"/>
      <c r="BB95" s="126">
        <v>0</v>
      </c>
      <c r="BC95" s="123">
        <v>0</v>
      </c>
      <c r="BD95" s="115" cm="1">
        <f t="array" ref="BD95">_xlfn.IFS($B$3="LE1 2024",R95-BB95-BC95,$B$3="LE2 2024",AH95-BB95-BC95,$B$3="LE3 2024",AX95-BB95-BC95)</f>
        <v>0</v>
      </c>
      <c r="BE95" s="98"/>
      <c r="BF95" s="113">
        <v>0</v>
      </c>
      <c r="BG95" s="114">
        <v>0</v>
      </c>
      <c r="BH95" s="113">
        <v>0</v>
      </c>
      <c r="BI95" s="114">
        <v>0</v>
      </c>
      <c r="BJ95" s="113">
        <v>0</v>
      </c>
      <c r="BK95" s="114">
        <v>0</v>
      </c>
      <c r="BL95" s="113">
        <v>0</v>
      </c>
      <c r="BM95" s="114">
        <v>0</v>
      </c>
      <c r="BN95" s="113">
        <v>0</v>
      </c>
      <c r="BO95" s="114">
        <v>0</v>
      </c>
      <c r="BP95" s="113">
        <v>0</v>
      </c>
      <c r="BQ95" s="114">
        <v>0</v>
      </c>
      <c r="BR95" s="8">
        <f t="shared" si="63"/>
        <v>0</v>
      </c>
      <c r="BS95" s="24">
        <f t="shared" si="64"/>
        <v>0</v>
      </c>
      <c r="BT95" s="7"/>
    </row>
    <row r="96" spans="2:72" s="6" customFormat="1" ht="22.15" customHeight="1" outlineLevel="1" x14ac:dyDescent="0.25">
      <c r="B96" s="9" t="s">
        <v>106</v>
      </c>
      <c r="C96" s="9" t="str">
        <f t="shared" si="57"/>
        <v>147900705034020</v>
      </c>
      <c r="D96" s="112">
        <v>0</v>
      </c>
      <c r="E96" s="112">
        <v>0</v>
      </c>
      <c r="F96" s="113">
        <v>0</v>
      </c>
      <c r="G96" s="114">
        <v>0</v>
      </c>
      <c r="H96" s="113">
        <v>0</v>
      </c>
      <c r="I96" s="114">
        <v>0</v>
      </c>
      <c r="J96" s="113">
        <v>0</v>
      </c>
      <c r="K96" s="114">
        <v>0</v>
      </c>
      <c r="L96" s="113">
        <v>0</v>
      </c>
      <c r="M96" s="114">
        <v>0</v>
      </c>
      <c r="N96" s="113">
        <v>0</v>
      </c>
      <c r="O96" s="114">
        <v>0</v>
      </c>
      <c r="P96" s="113">
        <v>0</v>
      </c>
      <c r="Q96" s="114">
        <v>0</v>
      </c>
      <c r="R96" s="8">
        <f t="shared" si="58"/>
        <v>0</v>
      </c>
      <c r="S96" s="24">
        <f t="shared" si="65"/>
        <v>0</v>
      </c>
      <c r="T96" s="7"/>
      <c r="U96" s="5"/>
      <c r="V96" s="112">
        <v>0</v>
      </c>
      <c r="W96" s="112">
        <v>0</v>
      </c>
      <c r="X96" s="112">
        <v>0</v>
      </c>
      <c r="Y96" s="112">
        <v>0</v>
      </c>
      <c r="Z96" s="112">
        <v>0</v>
      </c>
      <c r="AA96" s="112">
        <v>0</v>
      </c>
      <c r="AB96" s="113">
        <v>0</v>
      </c>
      <c r="AC96" s="114">
        <v>0</v>
      </c>
      <c r="AD96" s="113">
        <v>0</v>
      </c>
      <c r="AE96" s="114">
        <v>0</v>
      </c>
      <c r="AF96" s="113">
        <v>0</v>
      </c>
      <c r="AG96" s="114">
        <v>0</v>
      </c>
      <c r="AH96" s="8">
        <f t="shared" si="59"/>
        <v>0</v>
      </c>
      <c r="AI96" s="24">
        <f t="shared" si="60"/>
        <v>0</v>
      </c>
      <c r="AJ96" s="7"/>
      <c r="AK96" s="98"/>
      <c r="AL96" s="164">
        <v>0</v>
      </c>
      <c r="AM96" s="164">
        <v>0</v>
      </c>
      <c r="AN96" s="164">
        <v>0</v>
      </c>
      <c r="AO96" s="164">
        <v>0</v>
      </c>
      <c r="AP96" s="164">
        <v>0</v>
      </c>
      <c r="AQ96" s="164">
        <v>0</v>
      </c>
      <c r="AR96" s="164">
        <v>0</v>
      </c>
      <c r="AS96" s="164">
        <v>0</v>
      </c>
      <c r="AT96" s="164">
        <v>0</v>
      </c>
      <c r="AU96" s="114">
        <v>0</v>
      </c>
      <c r="AV96" s="113">
        <v>0</v>
      </c>
      <c r="AW96" s="113">
        <v>0</v>
      </c>
      <c r="AX96" s="8">
        <f t="shared" si="61"/>
        <v>0</v>
      </c>
      <c r="AY96" s="24">
        <f t="shared" si="62"/>
        <v>0</v>
      </c>
      <c r="AZ96" s="7"/>
      <c r="BA96" s="98"/>
      <c r="BB96" s="126">
        <v>0</v>
      </c>
      <c r="BC96" s="123">
        <v>0</v>
      </c>
      <c r="BD96" s="115" cm="1">
        <f t="array" ref="BD96">_xlfn.IFS($B$3="LE1 2024",R96-BB96-BC96,$B$3="LE2 2024",AH96-BB96-BC96,$B$3="LE3 2024",AX96-BB96-BC96)</f>
        <v>0</v>
      </c>
      <c r="BE96" s="98"/>
      <c r="BF96" s="113">
        <v>0</v>
      </c>
      <c r="BG96" s="114">
        <v>0</v>
      </c>
      <c r="BH96" s="113">
        <v>0</v>
      </c>
      <c r="BI96" s="114">
        <v>0</v>
      </c>
      <c r="BJ96" s="113">
        <v>0</v>
      </c>
      <c r="BK96" s="114">
        <v>0</v>
      </c>
      <c r="BL96" s="113">
        <v>0</v>
      </c>
      <c r="BM96" s="114">
        <v>0</v>
      </c>
      <c r="BN96" s="113">
        <v>0</v>
      </c>
      <c r="BO96" s="114">
        <v>0</v>
      </c>
      <c r="BP96" s="113">
        <v>0</v>
      </c>
      <c r="BQ96" s="114">
        <v>0</v>
      </c>
      <c r="BR96" s="8">
        <f t="shared" si="63"/>
        <v>0</v>
      </c>
      <c r="BS96" s="24">
        <f t="shared" si="64"/>
        <v>0</v>
      </c>
      <c r="BT96" s="7"/>
    </row>
    <row r="97" spans="2:72" s="6" customFormat="1" ht="22.15" customHeight="1" outlineLevel="1" x14ac:dyDescent="0.25">
      <c r="B97" s="9" t="s">
        <v>199</v>
      </c>
      <c r="C97" s="9" t="str">
        <f t="shared" si="57"/>
        <v>147900705038000</v>
      </c>
      <c r="D97" s="112">
        <v>0</v>
      </c>
      <c r="E97" s="112">
        <v>0</v>
      </c>
      <c r="F97" s="113">
        <v>0</v>
      </c>
      <c r="G97" s="114">
        <v>0</v>
      </c>
      <c r="H97" s="113">
        <v>0</v>
      </c>
      <c r="I97" s="114">
        <v>0</v>
      </c>
      <c r="J97" s="113">
        <v>0</v>
      </c>
      <c r="K97" s="114">
        <v>0</v>
      </c>
      <c r="L97" s="113">
        <v>0</v>
      </c>
      <c r="M97" s="114">
        <v>0</v>
      </c>
      <c r="N97" s="113">
        <v>0</v>
      </c>
      <c r="O97" s="114">
        <v>0</v>
      </c>
      <c r="P97" s="113">
        <v>0</v>
      </c>
      <c r="Q97" s="114">
        <v>0</v>
      </c>
      <c r="R97" s="8">
        <f t="shared" si="58"/>
        <v>0</v>
      </c>
      <c r="S97" s="24">
        <f t="shared" si="65"/>
        <v>0</v>
      </c>
      <c r="T97" s="7"/>
      <c r="U97" s="5"/>
      <c r="V97" s="112">
        <v>0</v>
      </c>
      <c r="W97" s="112">
        <v>0</v>
      </c>
      <c r="X97" s="112">
        <v>0</v>
      </c>
      <c r="Y97" s="112">
        <v>0</v>
      </c>
      <c r="Z97" s="112">
        <v>0</v>
      </c>
      <c r="AA97" s="112">
        <v>0</v>
      </c>
      <c r="AB97" s="113">
        <v>0</v>
      </c>
      <c r="AC97" s="114">
        <v>0</v>
      </c>
      <c r="AD97" s="113">
        <v>0</v>
      </c>
      <c r="AE97" s="114">
        <v>0</v>
      </c>
      <c r="AF97" s="113">
        <v>0</v>
      </c>
      <c r="AG97" s="114">
        <v>0</v>
      </c>
      <c r="AH97" s="8">
        <f t="shared" si="59"/>
        <v>0</v>
      </c>
      <c r="AI97" s="24">
        <f t="shared" si="60"/>
        <v>0</v>
      </c>
      <c r="AJ97" s="7"/>
      <c r="AK97" s="98"/>
      <c r="AL97" s="164">
        <v>0</v>
      </c>
      <c r="AM97" s="164">
        <v>0</v>
      </c>
      <c r="AN97" s="164">
        <v>0</v>
      </c>
      <c r="AO97" s="164">
        <v>0</v>
      </c>
      <c r="AP97" s="164">
        <v>0</v>
      </c>
      <c r="AQ97" s="164">
        <v>0</v>
      </c>
      <c r="AR97" s="164">
        <v>0</v>
      </c>
      <c r="AS97" s="164">
        <v>0</v>
      </c>
      <c r="AT97" s="164">
        <v>0</v>
      </c>
      <c r="AU97" s="114">
        <v>0</v>
      </c>
      <c r="AV97" s="113">
        <v>0</v>
      </c>
      <c r="AW97" s="113">
        <v>0</v>
      </c>
      <c r="AX97" s="8">
        <f t="shared" si="61"/>
        <v>0</v>
      </c>
      <c r="AY97" s="24">
        <f t="shared" si="62"/>
        <v>0</v>
      </c>
      <c r="AZ97" s="7"/>
      <c r="BA97" s="98"/>
      <c r="BB97" s="126">
        <v>0</v>
      </c>
      <c r="BC97" s="123">
        <v>0</v>
      </c>
      <c r="BD97" s="115" cm="1">
        <f t="array" ref="BD97">_xlfn.IFS($B$3="LE1 2024",R97-BB97-BC97,$B$3="LE2 2024",AH97-BB97-BC97,$B$3="LE3 2024",AX97-BB97-BC97)</f>
        <v>0</v>
      </c>
      <c r="BE97" s="98"/>
      <c r="BF97" s="113">
        <v>0</v>
      </c>
      <c r="BG97" s="114">
        <v>0</v>
      </c>
      <c r="BH97" s="113">
        <v>0</v>
      </c>
      <c r="BI97" s="114">
        <v>0</v>
      </c>
      <c r="BJ97" s="113">
        <v>0</v>
      </c>
      <c r="BK97" s="114">
        <v>0</v>
      </c>
      <c r="BL97" s="113">
        <v>0</v>
      </c>
      <c r="BM97" s="114">
        <v>0</v>
      </c>
      <c r="BN97" s="113">
        <v>0</v>
      </c>
      <c r="BO97" s="114">
        <v>0</v>
      </c>
      <c r="BP97" s="113">
        <v>0</v>
      </c>
      <c r="BQ97" s="114">
        <v>0</v>
      </c>
      <c r="BR97" s="8">
        <f t="shared" si="63"/>
        <v>0</v>
      </c>
      <c r="BS97" s="24">
        <f t="shared" si="64"/>
        <v>0</v>
      </c>
      <c r="BT97" s="7"/>
    </row>
    <row r="98" spans="2:72" s="6" customFormat="1" ht="22.15" customHeight="1" outlineLevel="1" x14ac:dyDescent="0.25">
      <c r="B98" s="9" t="s">
        <v>200</v>
      </c>
      <c r="C98" s="9" t="str">
        <f t="shared" si="57"/>
        <v>147900705038040</v>
      </c>
      <c r="D98" s="112">
        <v>0</v>
      </c>
      <c r="E98" s="112">
        <v>0</v>
      </c>
      <c r="F98" s="113">
        <v>0</v>
      </c>
      <c r="G98" s="114">
        <v>0</v>
      </c>
      <c r="H98" s="113">
        <v>0</v>
      </c>
      <c r="I98" s="114">
        <v>0</v>
      </c>
      <c r="J98" s="113">
        <v>0</v>
      </c>
      <c r="K98" s="114">
        <v>0</v>
      </c>
      <c r="L98" s="113">
        <v>0</v>
      </c>
      <c r="M98" s="114">
        <v>0</v>
      </c>
      <c r="N98" s="113">
        <v>0</v>
      </c>
      <c r="O98" s="114">
        <v>0</v>
      </c>
      <c r="P98" s="113">
        <v>0</v>
      </c>
      <c r="Q98" s="114">
        <v>0</v>
      </c>
      <c r="R98" s="8">
        <f t="shared" si="58"/>
        <v>0</v>
      </c>
      <c r="S98" s="24">
        <f t="shared" si="65"/>
        <v>0</v>
      </c>
      <c r="T98" s="7"/>
      <c r="U98" s="5"/>
      <c r="V98" s="112">
        <v>0</v>
      </c>
      <c r="W98" s="112">
        <v>0</v>
      </c>
      <c r="X98" s="112">
        <v>0</v>
      </c>
      <c r="Y98" s="112">
        <v>0</v>
      </c>
      <c r="Z98" s="112">
        <v>0</v>
      </c>
      <c r="AA98" s="112">
        <v>0</v>
      </c>
      <c r="AB98" s="113">
        <v>0</v>
      </c>
      <c r="AC98" s="114">
        <v>0</v>
      </c>
      <c r="AD98" s="113">
        <v>0</v>
      </c>
      <c r="AE98" s="114">
        <v>0</v>
      </c>
      <c r="AF98" s="113">
        <v>0</v>
      </c>
      <c r="AG98" s="114">
        <v>0</v>
      </c>
      <c r="AH98" s="8">
        <f t="shared" si="59"/>
        <v>0</v>
      </c>
      <c r="AI98" s="24">
        <f t="shared" si="60"/>
        <v>0</v>
      </c>
      <c r="AJ98" s="7"/>
      <c r="AK98" s="98"/>
      <c r="AL98" s="164">
        <v>0</v>
      </c>
      <c r="AM98" s="164">
        <v>0</v>
      </c>
      <c r="AN98" s="164">
        <v>0</v>
      </c>
      <c r="AO98" s="164">
        <v>0</v>
      </c>
      <c r="AP98" s="164">
        <v>0</v>
      </c>
      <c r="AQ98" s="164">
        <v>0</v>
      </c>
      <c r="AR98" s="164">
        <v>0</v>
      </c>
      <c r="AS98" s="164">
        <v>0</v>
      </c>
      <c r="AT98" s="164">
        <v>0</v>
      </c>
      <c r="AU98" s="114">
        <v>0</v>
      </c>
      <c r="AV98" s="113">
        <v>0</v>
      </c>
      <c r="AW98" s="113">
        <v>0</v>
      </c>
      <c r="AX98" s="8">
        <f t="shared" si="61"/>
        <v>0</v>
      </c>
      <c r="AY98" s="24">
        <f t="shared" si="62"/>
        <v>0</v>
      </c>
      <c r="AZ98" s="7"/>
      <c r="BA98" s="98"/>
      <c r="BB98" s="126">
        <v>0</v>
      </c>
      <c r="BC98" s="123">
        <v>0</v>
      </c>
      <c r="BD98" s="115" cm="1">
        <f t="array" ref="BD98">_xlfn.IFS($B$3="LE1 2024",R98-BB98-BC98,$B$3="LE2 2024",AH98-BB98-BC98,$B$3="LE3 2024",AX98-BB98-BC98)</f>
        <v>0</v>
      </c>
      <c r="BE98" s="98"/>
      <c r="BF98" s="113">
        <v>0</v>
      </c>
      <c r="BG98" s="114">
        <v>0</v>
      </c>
      <c r="BH98" s="113">
        <v>0</v>
      </c>
      <c r="BI98" s="114">
        <v>0</v>
      </c>
      <c r="BJ98" s="113">
        <v>0</v>
      </c>
      <c r="BK98" s="114">
        <v>0</v>
      </c>
      <c r="BL98" s="113">
        <v>0</v>
      </c>
      <c r="BM98" s="114">
        <v>0</v>
      </c>
      <c r="BN98" s="113">
        <v>0</v>
      </c>
      <c r="BO98" s="114">
        <v>0</v>
      </c>
      <c r="BP98" s="113">
        <v>0</v>
      </c>
      <c r="BQ98" s="114">
        <v>0</v>
      </c>
      <c r="BR98" s="8">
        <f t="shared" si="63"/>
        <v>0</v>
      </c>
      <c r="BS98" s="24">
        <f t="shared" si="64"/>
        <v>0</v>
      </c>
      <c r="BT98" s="7"/>
    </row>
    <row r="99" spans="2:72" s="6" customFormat="1" ht="22.15" customHeight="1" outlineLevel="1" x14ac:dyDescent="0.25">
      <c r="B99" s="9" t="s">
        <v>107</v>
      </c>
      <c r="C99" s="9" t="str">
        <f t="shared" si="57"/>
        <v>147900705058030</v>
      </c>
      <c r="D99" s="112">
        <v>0</v>
      </c>
      <c r="E99" s="112">
        <v>0</v>
      </c>
      <c r="F99" s="113">
        <v>0</v>
      </c>
      <c r="G99" s="114">
        <v>0</v>
      </c>
      <c r="H99" s="113">
        <v>0</v>
      </c>
      <c r="I99" s="114">
        <v>0</v>
      </c>
      <c r="J99" s="113">
        <v>0</v>
      </c>
      <c r="K99" s="114">
        <v>0</v>
      </c>
      <c r="L99" s="113">
        <v>0</v>
      </c>
      <c r="M99" s="114">
        <v>0</v>
      </c>
      <c r="N99" s="113">
        <v>0</v>
      </c>
      <c r="O99" s="114">
        <v>0</v>
      </c>
      <c r="P99" s="113">
        <v>0</v>
      </c>
      <c r="Q99" s="114">
        <v>0</v>
      </c>
      <c r="R99" s="8">
        <f t="shared" si="58"/>
        <v>0</v>
      </c>
      <c r="S99" s="24">
        <f t="shared" si="65"/>
        <v>0</v>
      </c>
      <c r="T99" s="7"/>
      <c r="U99" s="5"/>
      <c r="V99" s="112">
        <v>0</v>
      </c>
      <c r="W99" s="112">
        <v>0</v>
      </c>
      <c r="X99" s="112">
        <v>0</v>
      </c>
      <c r="Y99" s="112">
        <v>0</v>
      </c>
      <c r="Z99" s="112">
        <v>0</v>
      </c>
      <c r="AA99" s="112">
        <v>0</v>
      </c>
      <c r="AB99" s="113">
        <v>0</v>
      </c>
      <c r="AC99" s="114">
        <v>0</v>
      </c>
      <c r="AD99" s="113">
        <v>0</v>
      </c>
      <c r="AE99" s="114">
        <v>0</v>
      </c>
      <c r="AF99" s="113">
        <v>0</v>
      </c>
      <c r="AG99" s="114">
        <v>0</v>
      </c>
      <c r="AH99" s="8">
        <f t="shared" si="59"/>
        <v>0</v>
      </c>
      <c r="AI99" s="24">
        <f t="shared" si="60"/>
        <v>0</v>
      </c>
      <c r="AJ99" s="7"/>
      <c r="AK99" s="98"/>
      <c r="AL99" s="164">
        <v>0</v>
      </c>
      <c r="AM99" s="164">
        <v>0</v>
      </c>
      <c r="AN99" s="164">
        <v>0</v>
      </c>
      <c r="AO99" s="164">
        <v>0</v>
      </c>
      <c r="AP99" s="164">
        <v>0</v>
      </c>
      <c r="AQ99" s="164">
        <v>0</v>
      </c>
      <c r="AR99" s="164">
        <v>0</v>
      </c>
      <c r="AS99" s="164">
        <v>0</v>
      </c>
      <c r="AT99" s="164">
        <v>0</v>
      </c>
      <c r="AU99" s="114">
        <v>0</v>
      </c>
      <c r="AV99" s="113">
        <v>0</v>
      </c>
      <c r="AW99" s="113">
        <v>0</v>
      </c>
      <c r="AX99" s="8">
        <f t="shared" si="61"/>
        <v>0</v>
      </c>
      <c r="AY99" s="24">
        <f t="shared" si="62"/>
        <v>0</v>
      </c>
      <c r="AZ99" s="7"/>
      <c r="BA99" s="98"/>
      <c r="BB99" s="126">
        <v>0</v>
      </c>
      <c r="BC99" s="123">
        <v>0</v>
      </c>
      <c r="BD99" s="115" cm="1">
        <f t="array" ref="BD99">_xlfn.IFS($B$3="LE1 2024",R99-BB99-BC99,$B$3="LE2 2024",AH99-BB99-BC99,$B$3="LE3 2024",AX99-BB99-BC99)</f>
        <v>0</v>
      </c>
      <c r="BE99" s="98"/>
      <c r="BF99" s="113">
        <v>0</v>
      </c>
      <c r="BG99" s="114">
        <v>0</v>
      </c>
      <c r="BH99" s="113">
        <v>0</v>
      </c>
      <c r="BI99" s="114">
        <v>0</v>
      </c>
      <c r="BJ99" s="113">
        <v>0</v>
      </c>
      <c r="BK99" s="114">
        <v>0</v>
      </c>
      <c r="BL99" s="113">
        <v>0</v>
      </c>
      <c r="BM99" s="114">
        <v>0</v>
      </c>
      <c r="BN99" s="113">
        <v>0</v>
      </c>
      <c r="BO99" s="114">
        <v>0</v>
      </c>
      <c r="BP99" s="113">
        <v>0</v>
      </c>
      <c r="BQ99" s="114">
        <v>0</v>
      </c>
      <c r="BR99" s="8">
        <f t="shared" si="63"/>
        <v>0</v>
      </c>
      <c r="BS99" s="24">
        <f t="shared" si="64"/>
        <v>0</v>
      </c>
      <c r="BT99" s="7"/>
    </row>
    <row r="100" spans="2:72" s="6" customFormat="1" ht="22.15" customHeight="1" outlineLevel="1" x14ac:dyDescent="0.25">
      <c r="B100" s="9" t="s">
        <v>113</v>
      </c>
      <c r="C100" s="9" t="str">
        <f t="shared" si="57"/>
        <v>147900705026010</v>
      </c>
      <c r="D100" s="112">
        <v>0</v>
      </c>
      <c r="E100" s="112">
        <v>0</v>
      </c>
      <c r="F100" s="113">
        <v>0</v>
      </c>
      <c r="G100" s="114">
        <v>0</v>
      </c>
      <c r="H100" s="113">
        <v>0</v>
      </c>
      <c r="I100" s="114">
        <v>0</v>
      </c>
      <c r="J100" s="113">
        <v>0</v>
      </c>
      <c r="K100" s="114">
        <v>0</v>
      </c>
      <c r="L100" s="113">
        <v>0</v>
      </c>
      <c r="M100" s="114">
        <v>0</v>
      </c>
      <c r="N100" s="113">
        <v>0</v>
      </c>
      <c r="O100" s="114">
        <v>0</v>
      </c>
      <c r="P100" s="113">
        <v>0</v>
      </c>
      <c r="Q100" s="114">
        <v>0</v>
      </c>
      <c r="R100" s="8">
        <f t="shared" si="58"/>
        <v>0</v>
      </c>
      <c r="S100" s="24">
        <f t="shared" si="65"/>
        <v>0</v>
      </c>
      <c r="T100" s="7"/>
      <c r="U100" s="5"/>
      <c r="V100" s="112">
        <v>0</v>
      </c>
      <c r="W100" s="112">
        <v>0</v>
      </c>
      <c r="X100" s="112">
        <v>0</v>
      </c>
      <c r="Y100" s="112">
        <v>0</v>
      </c>
      <c r="Z100" s="112">
        <v>0</v>
      </c>
      <c r="AA100" s="112">
        <v>0</v>
      </c>
      <c r="AB100" s="113">
        <v>0</v>
      </c>
      <c r="AC100" s="114">
        <v>0</v>
      </c>
      <c r="AD100" s="113">
        <v>0</v>
      </c>
      <c r="AE100" s="114">
        <v>0</v>
      </c>
      <c r="AF100" s="113">
        <v>0</v>
      </c>
      <c r="AG100" s="114">
        <v>0</v>
      </c>
      <c r="AH100" s="8">
        <f t="shared" si="59"/>
        <v>0</v>
      </c>
      <c r="AI100" s="24">
        <f t="shared" si="60"/>
        <v>0</v>
      </c>
      <c r="AJ100" s="7"/>
      <c r="AK100" s="98"/>
      <c r="AL100" s="164">
        <v>0</v>
      </c>
      <c r="AM100" s="164">
        <v>0</v>
      </c>
      <c r="AN100" s="164">
        <v>0</v>
      </c>
      <c r="AO100" s="164">
        <v>0</v>
      </c>
      <c r="AP100" s="164">
        <v>0</v>
      </c>
      <c r="AQ100" s="164">
        <v>0</v>
      </c>
      <c r="AR100" s="164">
        <v>0</v>
      </c>
      <c r="AS100" s="164">
        <v>0</v>
      </c>
      <c r="AT100" s="164">
        <v>0</v>
      </c>
      <c r="AU100" s="114">
        <v>0</v>
      </c>
      <c r="AV100" s="113">
        <v>0</v>
      </c>
      <c r="AW100" s="113">
        <v>0</v>
      </c>
      <c r="AX100" s="8">
        <f t="shared" si="61"/>
        <v>0</v>
      </c>
      <c r="AY100" s="24">
        <f t="shared" si="62"/>
        <v>0</v>
      </c>
      <c r="AZ100" s="7"/>
      <c r="BA100" s="98"/>
      <c r="BB100" s="126">
        <v>0</v>
      </c>
      <c r="BC100" s="123">
        <v>0</v>
      </c>
      <c r="BD100" s="115" cm="1">
        <f t="array" ref="BD100">_xlfn.IFS($B$3="LE1 2024",R100-BB100-BC100,$B$3="LE2 2024",AH100-BB100-BC100,$B$3="LE3 2024",AX100-BB100-BC100)</f>
        <v>0</v>
      </c>
      <c r="BE100" s="98"/>
      <c r="BF100" s="113">
        <v>0</v>
      </c>
      <c r="BG100" s="114">
        <v>0</v>
      </c>
      <c r="BH100" s="113">
        <v>0</v>
      </c>
      <c r="BI100" s="114">
        <v>0</v>
      </c>
      <c r="BJ100" s="113">
        <v>0</v>
      </c>
      <c r="BK100" s="114">
        <v>0</v>
      </c>
      <c r="BL100" s="113">
        <v>0</v>
      </c>
      <c r="BM100" s="114">
        <v>0</v>
      </c>
      <c r="BN100" s="113">
        <v>0</v>
      </c>
      <c r="BO100" s="114">
        <v>0</v>
      </c>
      <c r="BP100" s="113">
        <v>0</v>
      </c>
      <c r="BQ100" s="114">
        <v>0</v>
      </c>
      <c r="BR100" s="8">
        <f t="shared" si="63"/>
        <v>0</v>
      </c>
      <c r="BS100" s="24">
        <f t="shared" si="64"/>
        <v>0</v>
      </c>
      <c r="BT100" s="7"/>
    </row>
    <row r="101" spans="2:72" s="6" customFormat="1" ht="22.15" customHeight="1" outlineLevel="1" x14ac:dyDescent="0.25">
      <c r="B101" s="9" t="s">
        <v>201</v>
      </c>
      <c r="C101" s="9" t="str">
        <f t="shared" si="57"/>
        <v>147900705024000</v>
      </c>
      <c r="D101" s="112">
        <v>0</v>
      </c>
      <c r="E101" s="112">
        <v>0</v>
      </c>
      <c r="F101" s="113">
        <v>0</v>
      </c>
      <c r="G101" s="114">
        <v>0</v>
      </c>
      <c r="H101" s="113">
        <v>0</v>
      </c>
      <c r="I101" s="114">
        <v>0</v>
      </c>
      <c r="J101" s="113">
        <v>0</v>
      </c>
      <c r="K101" s="114">
        <v>0</v>
      </c>
      <c r="L101" s="113">
        <v>0</v>
      </c>
      <c r="M101" s="114">
        <v>0</v>
      </c>
      <c r="N101" s="113">
        <v>0</v>
      </c>
      <c r="O101" s="114">
        <v>0</v>
      </c>
      <c r="P101" s="113">
        <v>0</v>
      </c>
      <c r="Q101" s="114">
        <v>0</v>
      </c>
      <c r="R101" s="8">
        <f t="shared" si="58"/>
        <v>0</v>
      </c>
      <c r="S101" s="24">
        <f t="shared" si="65"/>
        <v>0</v>
      </c>
      <c r="T101" s="7"/>
      <c r="U101" s="5"/>
      <c r="V101" s="112">
        <v>0</v>
      </c>
      <c r="W101" s="112">
        <v>0</v>
      </c>
      <c r="X101" s="112">
        <v>0</v>
      </c>
      <c r="Y101" s="112">
        <v>0</v>
      </c>
      <c r="Z101" s="112">
        <v>0</v>
      </c>
      <c r="AA101" s="112">
        <v>0</v>
      </c>
      <c r="AB101" s="113">
        <v>0</v>
      </c>
      <c r="AC101" s="114">
        <v>0</v>
      </c>
      <c r="AD101" s="113">
        <v>0</v>
      </c>
      <c r="AE101" s="114">
        <v>0</v>
      </c>
      <c r="AF101" s="113">
        <v>0</v>
      </c>
      <c r="AG101" s="114">
        <v>0</v>
      </c>
      <c r="AH101" s="8">
        <f t="shared" si="59"/>
        <v>0</v>
      </c>
      <c r="AI101" s="24">
        <f t="shared" si="60"/>
        <v>0</v>
      </c>
      <c r="AJ101" s="7"/>
      <c r="AK101" s="98"/>
      <c r="AL101" s="164">
        <v>0</v>
      </c>
      <c r="AM101" s="164">
        <v>0</v>
      </c>
      <c r="AN101" s="164">
        <v>0</v>
      </c>
      <c r="AO101" s="164">
        <v>0</v>
      </c>
      <c r="AP101" s="164">
        <v>0</v>
      </c>
      <c r="AQ101" s="164">
        <v>0</v>
      </c>
      <c r="AR101" s="164">
        <v>0</v>
      </c>
      <c r="AS101" s="164">
        <v>0</v>
      </c>
      <c r="AT101" s="164">
        <v>0</v>
      </c>
      <c r="AU101" s="114">
        <v>0</v>
      </c>
      <c r="AV101" s="113">
        <v>0</v>
      </c>
      <c r="AW101" s="113">
        <v>0</v>
      </c>
      <c r="AX101" s="8">
        <f t="shared" si="61"/>
        <v>0</v>
      </c>
      <c r="AY101" s="24">
        <f t="shared" si="62"/>
        <v>0</v>
      </c>
      <c r="AZ101" s="7"/>
      <c r="BA101" s="98"/>
      <c r="BB101" s="126">
        <v>0</v>
      </c>
      <c r="BC101" s="123">
        <v>0</v>
      </c>
      <c r="BD101" s="115" cm="1">
        <f t="array" ref="BD101">_xlfn.IFS($B$3="LE1 2024",R101-BB101-BC101,$B$3="LE2 2024",AH101-BB101-BC101,$B$3="LE3 2024",AX101-BB101-BC101)</f>
        <v>0</v>
      </c>
      <c r="BE101" s="98"/>
      <c r="BF101" s="113">
        <v>0</v>
      </c>
      <c r="BG101" s="114">
        <v>0</v>
      </c>
      <c r="BH101" s="113">
        <v>0</v>
      </c>
      <c r="BI101" s="114">
        <v>0</v>
      </c>
      <c r="BJ101" s="113">
        <v>0</v>
      </c>
      <c r="BK101" s="114">
        <v>0</v>
      </c>
      <c r="BL101" s="113">
        <v>0</v>
      </c>
      <c r="BM101" s="114">
        <v>0</v>
      </c>
      <c r="BN101" s="113">
        <v>0</v>
      </c>
      <c r="BO101" s="114">
        <v>0</v>
      </c>
      <c r="BP101" s="113">
        <v>0</v>
      </c>
      <c r="BQ101" s="114">
        <v>0</v>
      </c>
      <c r="BR101" s="8">
        <f t="shared" si="63"/>
        <v>0</v>
      </c>
      <c r="BS101" s="24">
        <f t="shared" si="64"/>
        <v>0</v>
      </c>
      <c r="BT101" s="7"/>
    </row>
    <row r="102" spans="2:72" s="6" customFormat="1" ht="22.15" customHeight="1" outlineLevel="1" x14ac:dyDescent="0.25">
      <c r="B102" s="9" t="s">
        <v>202</v>
      </c>
      <c r="C102" s="9" t="str">
        <f t="shared" si="57"/>
        <v>147900705024030</v>
      </c>
      <c r="D102" s="112">
        <v>0</v>
      </c>
      <c r="E102" s="112">
        <v>0</v>
      </c>
      <c r="F102" s="113">
        <v>0</v>
      </c>
      <c r="G102" s="114">
        <v>0</v>
      </c>
      <c r="H102" s="113">
        <v>0</v>
      </c>
      <c r="I102" s="114">
        <v>0</v>
      </c>
      <c r="J102" s="113">
        <v>0</v>
      </c>
      <c r="K102" s="114">
        <v>0</v>
      </c>
      <c r="L102" s="113">
        <v>0</v>
      </c>
      <c r="M102" s="114">
        <v>0</v>
      </c>
      <c r="N102" s="113">
        <v>0</v>
      </c>
      <c r="O102" s="114">
        <v>0</v>
      </c>
      <c r="P102" s="113">
        <v>0</v>
      </c>
      <c r="Q102" s="114">
        <v>0</v>
      </c>
      <c r="R102" s="8">
        <f t="shared" si="58"/>
        <v>0</v>
      </c>
      <c r="S102" s="24">
        <f t="shared" si="65"/>
        <v>0</v>
      </c>
      <c r="T102" s="7"/>
      <c r="U102" s="5"/>
      <c r="V102" s="112">
        <v>0</v>
      </c>
      <c r="W102" s="112">
        <v>0</v>
      </c>
      <c r="X102" s="112">
        <v>0</v>
      </c>
      <c r="Y102" s="112">
        <v>0</v>
      </c>
      <c r="Z102" s="112">
        <v>0</v>
      </c>
      <c r="AA102" s="112">
        <v>0</v>
      </c>
      <c r="AB102" s="113">
        <v>0</v>
      </c>
      <c r="AC102" s="114">
        <v>0</v>
      </c>
      <c r="AD102" s="113">
        <v>0</v>
      </c>
      <c r="AE102" s="114">
        <v>0</v>
      </c>
      <c r="AF102" s="113">
        <v>0</v>
      </c>
      <c r="AG102" s="114">
        <v>0</v>
      </c>
      <c r="AH102" s="8">
        <f t="shared" si="59"/>
        <v>0</v>
      </c>
      <c r="AI102" s="24">
        <f t="shared" si="60"/>
        <v>0</v>
      </c>
      <c r="AJ102" s="7"/>
      <c r="AK102" s="98"/>
      <c r="AL102" s="164">
        <v>0</v>
      </c>
      <c r="AM102" s="164">
        <v>0</v>
      </c>
      <c r="AN102" s="164">
        <v>0</v>
      </c>
      <c r="AO102" s="164">
        <v>0</v>
      </c>
      <c r="AP102" s="164">
        <v>0</v>
      </c>
      <c r="AQ102" s="164">
        <v>0</v>
      </c>
      <c r="AR102" s="164">
        <v>0</v>
      </c>
      <c r="AS102" s="164">
        <v>0</v>
      </c>
      <c r="AT102" s="164">
        <v>0</v>
      </c>
      <c r="AU102" s="114">
        <v>0</v>
      </c>
      <c r="AV102" s="113">
        <v>0</v>
      </c>
      <c r="AW102" s="113">
        <v>0</v>
      </c>
      <c r="AX102" s="8">
        <f t="shared" si="61"/>
        <v>0</v>
      </c>
      <c r="AY102" s="24">
        <f t="shared" si="62"/>
        <v>0</v>
      </c>
      <c r="AZ102" s="7"/>
      <c r="BA102" s="98"/>
      <c r="BB102" s="126">
        <v>0</v>
      </c>
      <c r="BC102" s="123">
        <v>0</v>
      </c>
      <c r="BD102" s="115" cm="1">
        <f t="array" ref="BD102">_xlfn.IFS($B$3="LE1 2024",R102-BB102-BC102,$B$3="LE2 2024",AH102-BB102-BC102,$B$3="LE3 2024",AX102-BB102-BC102)</f>
        <v>0</v>
      </c>
      <c r="BE102" s="98"/>
      <c r="BF102" s="113">
        <v>0</v>
      </c>
      <c r="BG102" s="114">
        <v>0</v>
      </c>
      <c r="BH102" s="113">
        <v>0</v>
      </c>
      <c r="BI102" s="114">
        <v>0</v>
      </c>
      <c r="BJ102" s="113">
        <v>0</v>
      </c>
      <c r="BK102" s="114">
        <v>0</v>
      </c>
      <c r="BL102" s="113">
        <v>0</v>
      </c>
      <c r="BM102" s="114">
        <v>0</v>
      </c>
      <c r="BN102" s="113">
        <v>0</v>
      </c>
      <c r="BO102" s="114">
        <v>0</v>
      </c>
      <c r="BP102" s="113">
        <v>0</v>
      </c>
      <c r="BQ102" s="114">
        <v>0</v>
      </c>
      <c r="BR102" s="8">
        <f t="shared" si="63"/>
        <v>0</v>
      </c>
      <c r="BS102" s="24">
        <f t="shared" si="64"/>
        <v>0</v>
      </c>
      <c r="BT102" s="7"/>
    </row>
    <row r="103" spans="2:72" s="6" customFormat="1" ht="22.15" customHeight="1" outlineLevel="1" x14ac:dyDescent="0.25">
      <c r="B103" s="9" t="s">
        <v>114</v>
      </c>
      <c r="C103" s="9" t="str">
        <f t="shared" si="57"/>
        <v>147900705034030</v>
      </c>
      <c r="D103" s="112">
        <v>31535.19000000001</v>
      </c>
      <c r="E103" s="112">
        <v>40980</v>
      </c>
      <c r="F103" s="113">
        <v>3123.96</v>
      </c>
      <c r="G103" s="114">
        <v>3123.96</v>
      </c>
      <c r="H103" s="113">
        <v>3126.32</v>
      </c>
      <c r="I103" s="114">
        <v>3447.08</v>
      </c>
      <c r="J103" s="113">
        <v>3447.08</v>
      </c>
      <c r="K103" s="114">
        <v>3447.08</v>
      </c>
      <c r="L103" s="113">
        <v>3447.08</v>
      </c>
      <c r="M103" s="114">
        <v>3447.08</v>
      </c>
      <c r="N103" s="113">
        <v>3447.08</v>
      </c>
      <c r="O103" s="114">
        <v>3447.08</v>
      </c>
      <c r="P103" s="113">
        <v>3447.08</v>
      </c>
      <c r="Q103" s="114">
        <v>3447.04</v>
      </c>
      <c r="R103" s="8">
        <f t="shared" si="58"/>
        <v>40397.920000000006</v>
      </c>
      <c r="S103" s="24">
        <f t="shared" si="65"/>
        <v>-582.07999999999447</v>
      </c>
      <c r="T103" s="7"/>
      <c r="U103" s="5"/>
      <c r="V103" s="112">
        <v>3123.96</v>
      </c>
      <c r="W103" s="112">
        <v>3123.96</v>
      </c>
      <c r="X103" s="112">
        <v>3126.32</v>
      </c>
      <c r="Y103" s="112">
        <v>3123.96</v>
      </c>
      <c r="Z103" s="112">
        <v>3802.26</v>
      </c>
      <c r="AA103" s="112">
        <v>1761.83</v>
      </c>
      <c r="AB103" s="113">
        <v>4486.09</v>
      </c>
      <c r="AC103" s="114">
        <v>3123.96</v>
      </c>
      <c r="AD103" s="113">
        <v>3123.96</v>
      </c>
      <c r="AE103" s="114">
        <v>3123.96</v>
      </c>
      <c r="AF103" s="113">
        <v>3123.96</v>
      </c>
      <c r="AG103" s="114">
        <v>3123.96</v>
      </c>
      <c r="AH103" s="8">
        <f t="shared" si="59"/>
        <v>38168.18</v>
      </c>
      <c r="AI103" s="24">
        <f t="shared" si="60"/>
        <v>-2229.7400000000052</v>
      </c>
      <c r="AJ103" s="7"/>
      <c r="AK103" s="98"/>
      <c r="AL103" s="164">
        <v>3123.96</v>
      </c>
      <c r="AM103" s="164">
        <v>3123.96</v>
      </c>
      <c r="AN103" s="164">
        <v>3126.32</v>
      </c>
      <c r="AO103" s="164">
        <v>3123.96</v>
      </c>
      <c r="AP103" s="164">
        <v>3802.26</v>
      </c>
      <c r="AQ103" s="164">
        <v>1761.83</v>
      </c>
      <c r="AR103" s="164">
        <v>5608.31</v>
      </c>
      <c r="AS103" s="164">
        <v>3168.8</v>
      </c>
      <c r="AT103" s="164">
        <v>-157.09000000000265</v>
      </c>
      <c r="AU103" s="114">
        <v>6462.8899999999994</v>
      </c>
      <c r="AV103" s="113">
        <v>3152.9</v>
      </c>
      <c r="AW103" s="113">
        <v>3152.9</v>
      </c>
      <c r="AX103" s="8">
        <f t="shared" si="61"/>
        <v>39451</v>
      </c>
      <c r="AY103" s="24">
        <f t="shared" si="62"/>
        <v>1282.8199999999997</v>
      </c>
      <c r="AZ103" s="7"/>
      <c r="BA103" s="98"/>
      <c r="BB103" s="126">
        <v>36129.49000000002</v>
      </c>
      <c r="BC103" s="123">
        <v>0</v>
      </c>
      <c r="BD103" s="115" cm="1">
        <f t="array" ref="BD103">_xlfn.IFS($B$3="LE1 2024",R103-BB103-BC103,$B$3="LE2 2024",AH103-BB103-BC103,$B$3="LE3 2024",AX103-BB103-BC103)</f>
        <v>3321.5099999999802</v>
      </c>
      <c r="BE103" s="98"/>
      <c r="BF103" s="113">
        <v>3152.9</v>
      </c>
      <c r="BG103" s="114">
        <v>3152.9</v>
      </c>
      <c r="BH103" s="113">
        <v>3152.9</v>
      </c>
      <c r="BI103" s="114">
        <v>3152.9</v>
      </c>
      <c r="BJ103" s="113">
        <v>3152.9</v>
      </c>
      <c r="BK103" s="114">
        <v>3152.9</v>
      </c>
      <c r="BL103" s="113">
        <v>3152.9</v>
      </c>
      <c r="BM103" s="114">
        <v>3152.9</v>
      </c>
      <c r="BN103" s="113">
        <v>3152.9</v>
      </c>
      <c r="BO103" s="114">
        <v>3152.9</v>
      </c>
      <c r="BP103" s="113">
        <v>3152.9</v>
      </c>
      <c r="BQ103" s="114">
        <v>3152.9</v>
      </c>
      <c r="BR103" s="8">
        <f t="shared" si="63"/>
        <v>37834.80000000001</v>
      </c>
      <c r="BS103" s="24">
        <f t="shared" si="64"/>
        <v>-333.3799999999901</v>
      </c>
      <c r="BT103" s="7"/>
    </row>
    <row r="104" spans="2:72" s="6" customFormat="1" ht="22.15" customHeight="1" outlineLevel="1" x14ac:dyDescent="0.25">
      <c r="B104" s="9" t="s">
        <v>116</v>
      </c>
      <c r="C104" s="9" t="str">
        <f t="shared" si="57"/>
        <v>147900705034050</v>
      </c>
      <c r="D104" s="112">
        <v>0</v>
      </c>
      <c r="E104" s="112">
        <v>0</v>
      </c>
      <c r="F104" s="113">
        <v>0</v>
      </c>
      <c r="G104" s="114">
        <v>0</v>
      </c>
      <c r="H104" s="113">
        <v>0</v>
      </c>
      <c r="I104" s="114">
        <v>0</v>
      </c>
      <c r="J104" s="113">
        <v>0</v>
      </c>
      <c r="K104" s="114">
        <v>0</v>
      </c>
      <c r="L104" s="113">
        <v>0</v>
      </c>
      <c r="M104" s="114">
        <v>0</v>
      </c>
      <c r="N104" s="113">
        <v>0</v>
      </c>
      <c r="O104" s="114">
        <v>0</v>
      </c>
      <c r="P104" s="113">
        <v>0</v>
      </c>
      <c r="Q104" s="114">
        <v>0</v>
      </c>
      <c r="R104" s="8">
        <f t="shared" si="58"/>
        <v>0</v>
      </c>
      <c r="S104" s="24">
        <f t="shared" si="65"/>
        <v>0</v>
      </c>
      <c r="T104" s="7"/>
      <c r="U104" s="5"/>
      <c r="V104" s="112">
        <v>0</v>
      </c>
      <c r="W104" s="112">
        <v>0</v>
      </c>
      <c r="X104" s="112">
        <v>0</v>
      </c>
      <c r="Y104" s="112">
        <v>0</v>
      </c>
      <c r="Z104" s="112">
        <v>0</v>
      </c>
      <c r="AA104" s="112">
        <v>0</v>
      </c>
      <c r="AB104" s="113">
        <v>0</v>
      </c>
      <c r="AC104" s="114">
        <v>0</v>
      </c>
      <c r="AD104" s="113">
        <v>0</v>
      </c>
      <c r="AE104" s="114">
        <v>0</v>
      </c>
      <c r="AF104" s="113">
        <v>0</v>
      </c>
      <c r="AG104" s="114">
        <v>0</v>
      </c>
      <c r="AH104" s="8">
        <f t="shared" si="59"/>
        <v>0</v>
      </c>
      <c r="AI104" s="24">
        <f t="shared" si="60"/>
        <v>0</v>
      </c>
      <c r="AJ104" s="7"/>
      <c r="AK104" s="98"/>
      <c r="AL104" s="164">
        <v>0</v>
      </c>
      <c r="AM104" s="164">
        <v>0</v>
      </c>
      <c r="AN104" s="164">
        <v>0</v>
      </c>
      <c r="AO104" s="164">
        <v>0</v>
      </c>
      <c r="AP104" s="164">
        <v>0</v>
      </c>
      <c r="AQ104" s="164">
        <v>0</v>
      </c>
      <c r="AR104" s="164">
        <v>0</v>
      </c>
      <c r="AS104" s="164">
        <v>0</v>
      </c>
      <c r="AT104" s="164">
        <v>0</v>
      </c>
      <c r="AU104" s="114">
        <v>0</v>
      </c>
      <c r="AV104" s="113">
        <v>0</v>
      </c>
      <c r="AW104" s="113">
        <v>0</v>
      </c>
      <c r="AX104" s="8">
        <f t="shared" si="61"/>
        <v>0</v>
      </c>
      <c r="AY104" s="24">
        <f t="shared" si="62"/>
        <v>0</v>
      </c>
      <c r="AZ104" s="7"/>
      <c r="BA104" s="98"/>
      <c r="BB104" s="126">
        <v>0</v>
      </c>
      <c r="BC104" s="123">
        <v>0</v>
      </c>
      <c r="BD104" s="115" cm="1">
        <f t="array" ref="BD104">_xlfn.IFS($B$3="LE1 2024",R104-BB104-BC104,$B$3="LE2 2024",AH104-BB104-BC104,$B$3="LE3 2024",AX104-BB104-BC104)</f>
        <v>0</v>
      </c>
      <c r="BE104" s="98"/>
      <c r="BF104" s="113">
        <v>0</v>
      </c>
      <c r="BG104" s="114">
        <v>0</v>
      </c>
      <c r="BH104" s="113">
        <v>0</v>
      </c>
      <c r="BI104" s="114">
        <v>0</v>
      </c>
      <c r="BJ104" s="113">
        <v>0</v>
      </c>
      <c r="BK104" s="114">
        <v>0</v>
      </c>
      <c r="BL104" s="113">
        <v>0</v>
      </c>
      <c r="BM104" s="114">
        <v>0</v>
      </c>
      <c r="BN104" s="113">
        <v>0</v>
      </c>
      <c r="BO104" s="114">
        <v>0</v>
      </c>
      <c r="BP104" s="113">
        <v>0</v>
      </c>
      <c r="BQ104" s="114">
        <v>0</v>
      </c>
      <c r="BR104" s="8">
        <f t="shared" si="63"/>
        <v>0</v>
      </c>
      <c r="BS104" s="24">
        <f t="shared" si="64"/>
        <v>0</v>
      </c>
      <c r="BT104" s="7"/>
    </row>
    <row r="105" spans="2:72" s="6" customFormat="1" ht="22.15" customHeight="1" outlineLevel="1" x14ac:dyDescent="0.25">
      <c r="B105" s="9" t="s">
        <v>115</v>
      </c>
      <c r="C105" s="9" t="str">
        <f t="shared" si="57"/>
        <v>147900705034040</v>
      </c>
      <c r="D105" s="112">
        <v>0</v>
      </c>
      <c r="E105" s="112">
        <v>0</v>
      </c>
      <c r="F105" s="113">
        <v>0</v>
      </c>
      <c r="G105" s="114">
        <v>0</v>
      </c>
      <c r="H105" s="113">
        <v>0</v>
      </c>
      <c r="I105" s="114">
        <v>0</v>
      </c>
      <c r="J105" s="113">
        <v>0</v>
      </c>
      <c r="K105" s="114">
        <v>0</v>
      </c>
      <c r="L105" s="113">
        <v>0</v>
      </c>
      <c r="M105" s="114">
        <v>0</v>
      </c>
      <c r="N105" s="113">
        <v>0</v>
      </c>
      <c r="O105" s="114">
        <v>0</v>
      </c>
      <c r="P105" s="113">
        <v>0</v>
      </c>
      <c r="Q105" s="114">
        <v>0</v>
      </c>
      <c r="R105" s="8">
        <f t="shared" si="58"/>
        <v>0</v>
      </c>
      <c r="S105" s="24">
        <f t="shared" si="65"/>
        <v>0</v>
      </c>
      <c r="T105" s="7"/>
      <c r="U105" s="5"/>
      <c r="V105" s="112">
        <v>0</v>
      </c>
      <c r="W105" s="112">
        <v>0</v>
      </c>
      <c r="X105" s="112">
        <v>0</v>
      </c>
      <c r="Y105" s="112">
        <v>0</v>
      </c>
      <c r="Z105" s="112">
        <v>0</v>
      </c>
      <c r="AA105" s="112">
        <v>0</v>
      </c>
      <c r="AB105" s="113">
        <v>0</v>
      </c>
      <c r="AC105" s="114">
        <v>0</v>
      </c>
      <c r="AD105" s="113">
        <v>0</v>
      </c>
      <c r="AE105" s="114">
        <v>0</v>
      </c>
      <c r="AF105" s="113">
        <v>0</v>
      </c>
      <c r="AG105" s="114">
        <v>0</v>
      </c>
      <c r="AH105" s="8">
        <f t="shared" si="59"/>
        <v>0</v>
      </c>
      <c r="AI105" s="24">
        <f t="shared" si="60"/>
        <v>0</v>
      </c>
      <c r="AJ105" s="7"/>
      <c r="AK105" s="98"/>
      <c r="AL105" s="164">
        <v>0</v>
      </c>
      <c r="AM105" s="164">
        <v>0</v>
      </c>
      <c r="AN105" s="164">
        <v>0</v>
      </c>
      <c r="AO105" s="164">
        <v>0</v>
      </c>
      <c r="AP105" s="164">
        <v>0</v>
      </c>
      <c r="AQ105" s="164">
        <v>0</v>
      </c>
      <c r="AR105" s="164">
        <v>0</v>
      </c>
      <c r="AS105" s="164">
        <v>0</v>
      </c>
      <c r="AT105" s="164">
        <v>0</v>
      </c>
      <c r="AU105" s="114">
        <v>0</v>
      </c>
      <c r="AV105" s="113">
        <v>0</v>
      </c>
      <c r="AW105" s="113">
        <v>0</v>
      </c>
      <c r="AX105" s="8">
        <f t="shared" si="61"/>
        <v>0</v>
      </c>
      <c r="AY105" s="24">
        <f t="shared" si="62"/>
        <v>0</v>
      </c>
      <c r="AZ105" s="7"/>
      <c r="BA105" s="98"/>
      <c r="BB105" s="126">
        <v>0</v>
      </c>
      <c r="BC105" s="123">
        <v>0</v>
      </c>
      <c r="BD105" s="115" cm="1">
        <f t="array" ref="BD105">_xlfn.IFS($B$3="LE1 2024",R105-BB105-BC105,$B$3="LE2 2024",AH105-BB105-BC105,$B$3="LE3 2024",AX105-BB105-BC105)</f>
        <v>0</v>
      </c>
      <c r="BE105" s="98"/>
      <c r="BF105" s="113">
        <v>0</v>
      </c>
      <c r="BG105" s="114">
        <v>0</v>
      </c>
      <c r="BH105" s="113">
        <v>0</v>
      </c>
      <c r="BI105" s="114">
        <v>0</v>
      </c>
      <c r="BJ105" s="113">
        <v>0</v>
      </c>
      <c r="BK105" s="114">
        <v>0</v>
      </c>
      <c r="BL105" s="113">
        <v>0</v>
      </c>
      <c r="BM105" s="114">
        <v>0</v>
      </c>
      <c r="BN105" s="113">
        <v>0</v>
      </c>
      <c r="BO105" s="114">
        <v>0</v>
      </c>
      <c r="BP105" s="113">
        <v>0</v>
      </c>
      <c r="BQ105" s="114">
        <v>0</v>
      </c>
      <c r="BR105" s="8">
        <f t="shared" si="63"/>
        <v>0</v>
      </c>
      <c r="BS105" s="24">
        <f t="shared" si="64"/>
        <v>0</v>
      </c>
      <c r="BT105" s="7"/>
    </row>
    <row r="106" spans="2:72" s="6" customFormat="1" ht="22.15" customHeight="1" outlineLevel="1" x14ac:dyDescent="0.25">
      <c r="B106" s="9" t="s">
        <v>122</v>
      </c>
      <c r="C106" s="9" t="str">
        <f t="shared" si="57"/>
        <v>147900705012090</v>
      </c>
      <c r="D106" s="112">
        <v>38.32</v>
      </c>
      <c r="E106" s="112">
        <v>0</v>
      </c>
      <c r="F106" s="113">
        <v>0</v>
      </c>
      <c r="G106" s="114">
        <v>0</v>
      </c>
      <c r="H106" s="113">
        <v>0</v>
      </c>
      <c r="I106" s="114">
        <v>0</v>
      </c>
      <c r="J106" s="113">
        <v>0</v>
      </c>
      <c r="K106" s="114">
        <v>0</v>
      </c>
      <c r="L106" s="113">
        <v>0</v>
      </c>
      <c r="M106" s="114">
        <v>0</v>
      </c>
      <c r="N106" s="113">
        <v>0</v>
      </c>
      <c r="O106" s="114">
        <v>0</v>
      </c>
      <c r="P106" s="113">
        <v>0</v>
      </c>
      <c r="Q106" s="114">
        <v>0</v>
      </c>
      <c r="R106" s="8">
        <f t="shared" si="58"/>
        <v>0</v>
      </c>
      <c r="S106" s="24">
        <f t="shared" si="65"/>
        <v>0</v>
      </c>
      <c r="T106" s="7"/>
      <c r="U106" s="5"/>
      <c r="V106" s="112">
        <v>0</v>
      </c>
      <c r="W106" s="112">
        <v>0</v>
      </c>
      <c r="X106" s="112">
        <v>0</v>
      </c>
      <c r="Y106" s="112">
        <v>0</v>
      </c>
      <c r="Z106" s="112">
        <v>0</v>
      </c>
      <c r="AA106" s="112">
        <v>0</v>
      </c>
      <c r="AB106" s="113">
        <v>0</v>
      </c>
      <c r="AC106" s="114">
        <v>0</v>
      </c>
      <c r="AD106" s="113">
        <v>0</v>
      </c>
      <c r="AE106" s="114">
        <v>0</v>
      </c>
      <c r="AF106" s="113">
        <v>0</v>
      </c>
      <c r="AG106" s="114">
        <v>0</v>
      </c>
      <c r="AH106" s="8">
        <f t="shared" ref="AH106" si="68">SUM(V106:AG106)</f>
        <v>0</v>
      </c>
      <c r="AI106" s="24">
        <f t="shared" si="60"/>
        <v>0</v>
      </c>
      <c r="AJ106" s="7"/>
      <c r="AK106" s="98"/>
      <c r="AL106" s="164">
        <v>0</v>
      </c>
      <c r="AM106" s="164">
        <v>0</v>
      </c>
      <c r="AN106" s="164">
        <v>0</v>
      </c>
      <c r="AO106" s="164">
        <v>0</v>
      </c>
      <c r="AP106" s="164">
        <v>0</v>
      </c>
      <c r="AQ106" s="164">
        <v>0</v>
      </c>
      <c r="AR106" s="164">
        <v>0</v>
      </c>
      <c r="AS106" s="164">
        <v>0</v>
      </c>
      <c r="AT106" s="164">
        <v>0</v>
      </c>
      <c r="AU106" s="114">
        <v>0</v>
      </c>
      <c r="AV106" s="113">
        <v>0</v>
      </c>
      <c r="AW106" s="113">
        <v>0</v>
      </c>
      <c r="AX106" s="8">
        <f t="shared" si="61"/>
        <v>0</v>
      </c>
      <c r="AY106" s="24">
        <f t="shared" si="62"/>
        <v>0</v>
      </c>
      <c r="AZ106" s="7"/>
      <c r="BA106" s="98"/>
      <c r="BB106" s="126">
        <v>0</v>
      </c>
      <c r="BC106" s="123">
        <v>0</v>
      </c>
      <c r="BD106" s="115" cm="1">
        <f t="array" ref="BD106">_xlfn.IFS($B$3="LE1 2024",R106-BB106-BC106,$B$3="LE2 2024",AH106-BB106-BC106,$B$3="LE3 2024",AX106-BB106-BC106)</f>
        <v>0</v>
      </c>
      <c r="BE106" s="98"/>
      <c r="BF106" s="113">
        <v>0</v>
      </c>
      <c r="BG106" s="114">
        <v>0</v>
      </c>
      <c r="BH106" s="113">
        <v>0</v>
      </c>
      <c r="BI106" s="114">
        <v>0</v>
      </c>
      <c r="BJ106" s="113">
        <v>0</v>
      </c>
      <c r="BK106" s="114">
        <v>0</v>
      </c>
      <c r="BL106" s="113">
        <v>0</v>
      </c>
      <c r="BM106" s="114">
        <v>0</v>
      </c>
      <c r="BN106" s="113">
        <v>0</v>
      </c>
      <c r="BO106" s="114">
        <v>0</v>
      </c>
      <c r="BP106" s="113">
        <v>0</v>
      </c>
      <c r="BQ106" s="114">
        <v>0</v>
      </c>
      <c r="BR106" s="8">
        <f t="shared" si="63"/>
        <v>0</v>
      </c>
      <c r="BS106" s="24">
        <f t="shared" si="64"/>
        <v>0</v>
      </c>
      <c r="BT106" s="7"/>
    </row>
    <row r="107" spans="2:72" s="1" customFormat="1" ht="22.15" customHeight="1" x14ac:dyDescent="0.25">
      <c r="B107" s="4" t="s">
        <v>205</v>
      </c>
      <c r="C107" s="4"/>
      <c r="D107" s="3">
        <f>SUBTOTAL(9,D87:D106)</f>
        <v>34300.44000000001</v>
      </c>
      <c r="E107" s="3">
        <f>SUBTOTAL(9,E87:E106)</f>
        <v>44297.69</v>
      </c>
      <c r="F107" s="3">
        <f t="shared" ref="F107:S107" si="69">SUBTOTAL(9,F87:F106)</f>
        <v>3329.58</v>
      </c>
      <c r="G107" s="3">
        <f t="shared" si="69"/>
        <v>3173.55</v>
      </c>
      <c r="H107" s="3">
        <f t="shared" si="69"/>
        <v>3227.94</v>
      </c>
      <c r="I107" s="3">
        <f t="shared" si="69"/>
        <v>3782.0099999999998</v>
      </c>
      <c r="J107" s="3">
        <f t="shared" si="69"/>
        <v>3682.0299999999997</v>
      </c>
      <c r="K107" s="3">
        <f t="shared" si="69"/>
        <v>3882</v>
      </c>
      <c r="L107" s="3">
        <f t="shared" si="69"/>
        <v>3882.0299999999997</v>
      </c>
      <c r="M107" s="3">
        <f t="shared" si="69"/>
        <v>3682.0099999999998</v>
      </c>
      <c r="N107" s="3">
        <f t="shared" si="69"/>
        <v>3782.0299999999997</v>
      </c>
      <c r="O107" s="3">
        <f t="shared" si="69"/>
        <v>3782</v>
      </c>
      <c r="P107" s="3">
        <f t="shared" si="69"/>
        <v>3782.0299999999997</v>
      </c>
      <c r="Q107" s="3">
        <f t="shared" si="69"/>
        <v>3680.4</v>
      </c>
      <c r="R107" s="3">
        <f t="shared" si="69"/>
        <v>43667.610000000008</v>
      </c>
      <c r="S107" s="3">
        <f t="shared" si="69"/>
        <v>-630.07999999999447</v>
      </c>
      <c r="T107" s="2"/>
      <c r="U107" s="5"/>
      <c r="V107" s="3">
        <f t="shared" ref="V107:AI107" si="70">SUBTOTAL(9,V87:V106)</f>
        <v>3329.58</v>
      </c>
      <c r="W107" s="3">
        <f t="shared" si="70"/>
        <v>3173.55</v>
      </c>
      <c r="X107" s="3">
        <f t="shared" si="70"/>
        <v>3227.94</v>
      </c>
      <c r="Y107" s="3">
        <f t="shared" si="70"/>
        <v>3225.56</v>
      </c>
      <c r="Z107" s="3">
        <f t="shared" si="70"/>
        <v>3870.0400000000004</v>
      </c>
      <c r="AA107" s="3">
        <f t="shared" si="70"/>
        <v>1829.59</v>
      </c>
      <c r="AB107" s="3">
        <f t="shared" si="70"/>
        <v>4916.03</v>
      </c>
      <c r="AC107" s="3">
        <f t="shared" si="70"/>
        <v>3381.73</v>
      </c>
      <c r="AD107" s="3">
        <f t="shared" si="70"/>
        <v>3381.74</v>
      </c>
      <c r="AE107" s="3">
        <f t="shared" si="70"/>
        <v>3481.7200000000003</v>
      </c>
      <c r="AF107" s="3">
        <f t="shared" si="70"/>
        <v>3481.74</v>
      </c>
      <c r="AG107" s="3">
        <f t="shared" si="70"/>
        <v>3313.96</v>
      </c>
      <c r="AH107" s="3">
        <f t="shared" si="70"/>
        <v>40613.18</v>
      </c>
      <c r="AI107" s="3">
        <f t="shared" si="70"/>
        <v>-3054.4300000000053</v>
      </c>
      <c r="AJ107" s="2"/>
      <c r="AK107" s="98"/>
      <c r="AL107" s="3">
        <f t="shared" ref="AL107:AY107" si="71">SUBTOTAL(9,AL87:AL106)</f>
        <v>3329.58</v>
      </c>
      <c r="AM107" s="3">
        <f t="shared" si="71"/>
        <v>3173.55</v>
      </c>
      <c r="AN107" s="3">
        <f t="shared" si="71"/>
        <v>3227.94</v>
      </c>
      <c r="AO107" s="3">
        <f t="shared" si="71"/>
        <v>3225.56</v>
      </c>
      <c r="AP107" s="3">
        <f t="shared" si="71"/>
        <v>3870.0400000000004</v>
      </c>
      <c r="AQ107" s="3">
        <f t="shared" si="71"/>
        <v>1829.59</v>
      </c>
      <c r="AR107" s="3">
        <f t="shared" si="71"/>
        <v>5676.09</v>
      </c>
      <c r="AS107" s="3">
        <f t="shared" si="71"/>
        <v>3255.57</v>
      </c>
      <c r="AT107" s="3">
        <f t="shared" si="71"/>
        <v>-108.31000000000265</v>
      </c>
      <c r="AU107" s="3">
        <f t="shared" si="71"/>
        <v>7290.65</v>
      </c>
      <c r="AV107" s="3">
        <f t="shared" si="71"/>
        <v>3530.6800000000003</v>
      </c>
      <c r="AW107" s="3">
        <f t="shared" si="71"/>
        <v>3462.9</v>
      </c>
      <c r="AX107" s="3">
        <f t="shared" si="71"/>
        <v>41763.839999999997</v>
      </c>
      <c r="AY107" s="3">
        <f t="shared" si="71"/>
        <v>1150.6599999999996</v>
      </c>
      <c r="AZ107" s="2"/>
      <c r="BA107" s="98"/>
      <c r="BB107" s="3">
        <f t="shared" ref="BB107:BC107" si="72">SUBTOTAL(9,BB87:BB106)</f>
        <v>37189.590000000018</v>
      </c>
      <c r="BC107" s="3">
        <f t="shared" si="72"/>
        <v>0</v>
      </c>
      <c r="BD107" s="3">
        <f>SUBTOTAL(9,BD87:BD106)</f>
        <v>4574.24999999998</v>
      </c>
      <c r="BE107" s="98"/>
      <c r="BF107" s="3">
        <f t="shared" ref="BF107:BS107" si="73">SUBTOTAL(9,BF87:BF106)</f>
        <v>3152.9</v>
      </c>
      <c r="BG107" s="3">
        <f t="shared" si="73"/>
        <v>3152.9</v>
      </c>
      <c r="BH107" s="3">
        <f t="shared" si="73"/>
        <v>3752.9</v>
      </c>
      <c r="BI107" s="3">
        <f t="shared" si="73"/>
        <v>3152.9</v>
      </c>
      <c r="BJ107" s="3">
        <f t="shared" si="73"/>
        <v>3152.9</v>
      </c>
      <c r="BK107" s="3">
        <f t="shared" si="73"/>
        <v>3702.9</v>
      </c>
      <c r="BL107" s="3">
        <f t="shared" si="73"/>
        <v>3302.9</v>
      </c>
      <c r="BM107" s="3">
        <f t="shared" si="73"/>
        <v>3352.9</v>
      </c>
      <c r="BN107" s="3">
        <f t="shared" si="73"/>
        <v>3552.9</v>
      </c>
      <c r="BO107" s="3">
        <f t="shared" si="73"/>
        <v>3152.9</v>
      </c>
      <c r="BP107" s="3">
        <f t="shared" si="73"/>
        <v>3152.9</v>
      </c>
      <c r="BQ107" s="3">
        <f t="shared" si="73"/>
        <v>3302.9</v>
      </c>
      <c r="BR107" s="3">
        <f t="shared" si="73"/>
        <v>39884.80000000001</v>
      </c>
      <c r="BS107" s="3">
        <f t="shared" si="73"/>
        <v>-728.3799999999901</v>
      </c>
      <c r="BT107" s="2"/>
    </row>
    <row r="108" spans="2:72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98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98"/>
      <c r="BB108" s="5"/>
      <c r="BC108" s="5"/>
      <c r="BD108" s="5"/>
      <c r="BE108" s="98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</row>
    <row r="109" spans="2:72" s="10" customFormat="1" ht="75" x14ac:dyDescent="0.25">
      <c r="B109" s="151" t="s">
        <v>214</v>
      </c>
      <c r="C109" s="151" t="s">
        <v>69</v>
      </c>
      <c r="D109" s="152" t="s">
        <v>367</v>
      </c>
      <c r="E109" s="129" t="s">
        <v>186</v>
      </c>
      <c r="F109" s="131" t="s">
        <v>64</v>
      </c>
      <c r="G109" s="131" t="s">
        <v>63</v>
      </c>
      <c r="H109" s="131" t="s">
        <v>62</v>
      </c>
      <c r="I109" s="131" t="s">
        <v>61</v>
      </c>
      <c r="J109" s="131" t="s">
        <v>60</v>
      </c>
      <c r="K109" s="131" t="s">
        <v>59</v>
      </c>
      <c r="L109" s="131" t="s">
        <v>58</v>
      </c>
      <c r="M109" s="131" t="s">
        <v>57</v>
      </c>
      <c r="N109" s="131" t="s">
        <v>56</v>
      </c>
      <c r="O109" s="131" t="s">
        <v>55</v>
      </c>
      <c r="P109" s="131" t="s">
        <v>54</v>
      </c>
      <c r="Q109" s="131" t="s">
        <v>53</v>
      </c>
      <c r="R109" s="130" t="s">
        <v>364</v>
      </c>
      <c r="S109" s="109" t="s">
        <v>368</v>
      </c>
      <c r="T109" s="11" t="s">
        <v>51</v>
      </c>
      <c r="U109" s="5"/>
      <c r="V109" s="131" t="s">
        <v>64</v>
      </c>
      <c r="W109" s="131" t="s">
        <v>63</v>
      </c>
      <c r="X109" s="131" t="s">
        <v>62</v>
      </c>
      <c r="Y109" s="131" t="s">
        <v>61</v>
      </c>
      <c r="Z109" s="131" t="s">
        <v>60</v>
      </c>
      <c r="AA109" s="131" t="s">
        <v>59</v>
      </c>
      <c r="AB109" s="131" t="s">
        <v>58</v>
      </c>
      <c r="AC109" s="131" t="s">
        <v>57</v>
      </c>
      <c r="AD109" s="131" t="s">
        <v>56</v>
      </c>
      <c r="AE109" s="131" t="s">
        <v>55</v>
      </c>
      <c r="AF109" s="131" t="s">
        <v>54</v>
      </c>
      <c r="AG109" s="131" t="s">
        <v>53</v>
      </c>
      <c r="AH109" s="108" t="s">
        <v>365</v>
      </c>
      <c r="AI109" s="109" t="s">
        <v>369</v>
      </c>
      <c r="AJ109" s="11" t="s">
        <v>51</v>
      </c>
      <c r="AK109" s="98"/>
      <c r="AL109" s="97" t="s">
        <v>64</v>
      </c>
      <c r="AM109" s="97" t="s">
        <v>63</v>
      </c>
      <c r="AN109" s="97" t="s">
        <v>62</v>
      </c>
      <c r="AO109" s="97" t="s">
        <v>61</v>
      </c>
      <c r="AP109" s="97" t="s">
        <v>60</v>
      </c>
      <c r="AQ109" s="97" t="s">
        <v>59</v>
      </c>
      <c r="AR109" s="97" t="s">
        <v>58</v>
      </c>
      <c r="AS109" s="97" t="s">
        <v>57</v>
      </c>
      <c r="AT109" s="97" t="s">
        <v>56</v>
      </c>
      <c r="AU109" s="131" t="s">
        <v>55</v>
      </c>
      <c r="AV109" s="131" t="s">
        <v>54</v>
      </c>
      <c r="AW109" s="131" t="s">
        <v>53</v>
      </c>
      <c r="AX109" s="108" t="s">
        <v>366</v>
      </c>
      <c r="AY109" s="109" t="s">
        <v>370</v>
      </c>
      <c r="AZ109" s="11" t="s">
        <v>51</v>
      </c>
      <c r="BA109" s="98"/>
      <c r="BB109" s="127" t="s">
        <v>371</v>
      </c>
      <c r="BC109" s="127" t="s">
        <v>355</v>
      </c>
      <c r="BD109" s="128" t="s">
        <v>356</v>
      </c>
      <c r="BE109" s="98"/>
      <c r="BF109" s="131" t="s">
        <v>64</v>
      </c>
      <c r="BG109" s="131" t="s">
        <v>63</v>
      </c>
      <c r="BH109" s="131" t="s">
        <v>62</v>
      </c>
      <c r="BI109" s="131" t="s">
        <v>61</v>
      </c>
      <c r="BJ109" s="131" t="s">
        <v>60</v>
      </c>
      <c r="BK109" s="131" t="s">
        <v>59</v>
      </c>
      <c r="BL109" s="131" t="s">
        <v>58</v>
      </c>
      <c r="BM109" s="131" t="s">
        <v>57</v>
      </c>
      <c r="BN109" s="131" t="s">
        <v>56</v>
      </c>
      <c r="BO109" s="131" t="s">
        <v>55</v>
      </c>
      <c r="BP109" s="131" t="s">
        <v>54</v>
      </c>
      <c r="BQ109" s="131" t="s">
        <v>53</v>
      </c>
      <c r="BR109" s="108" t="s">
        <v>389</v>
      </c>
      <c r="BS109" s="109" t="s">
        <v>390</v>
      </c>
      <c r="BT109" s="11" t="s">
        <v>51</v>
      </c>
    </row>
    <row r="110" spans="2:72" s="6" customFormat="1" ht="22.15" hidden="1" customHeight="1" outlineLevel="1" x14ac:dyDescent="0.25">
      <c r="B110" s="52" t="s">
        <v>215</v>
      </c>
      <c r="C110" s="52" t="str">
        <f t="shared" ref="C110:C117" si="74">LEFT($B$4,8)&amp;LEFT(B110,7)</f>
        <v>147900705051020</v>
      </c>
      <c r="D110" s="112">
        <v>54082.03</v>
      </c>
      <c r="E110" s="112">
        <v>54285.099999999991</v>
      </c>
      <c r="F110" s="113">
        <f>'TTM LE1'!D66</f>
        <v>2215.1800000000003</v>
      </c>
      <c r="G110" s="114">
        <f>'TTM LE1'!E66</f>
        <v>40.700000000000003</v>
      </c>
      <c r="H110" s="113">
        <f>'TTM LE1'!F66</f>
        <v>0</v>
      </c>
      <c r="I110" s="114">
        <f>'TTM LE1'!G66</f>
        <v>0</v>
      </c>
      <c r="J110" s="113">
        <f>'TTM LE1'!H66</f>
        <v>0</v>
      </c>
      <c r="K110" s="114">
        <f>'TTM LE1'!I66</f>
        <v>11452</v>
      </c>
      <c r="L110" s="113">
        <f>'TTM LE1'!J66</f>
        <v>1120</v>
      </c>
      <c r="M110" s="114">
        <f>'TTM LE1'!K66</f>
        <v>0</v>
      </c>
      <c r="N110" s="113">
        <f>'TTM LE1'!L66</f>
        <v>0</v>
      </c>
      <c r="O110" s="114">
        <f>'TTM LE1'!M66</f>
        <v>11133.3</v>
      </c>
      <c r="P110" s="113">
        <f>'TTM LE1'!N66</f>
        <v>11133.3</v>
      </c>
      <c r="Q110" s="114">
        <f>'TTM LE1'!O66</f>
        <v>0</v>
      </c>
      <c r="R110" s="8">
        <f t="shared" ref="R110:R117" si="75">SUM(F110:Q110)</f>
        <v>37094.479999999996</v>
      </c>
      <c r="S110" s="24">
        <f t="shared" ref="S110:S117" si="76">R110-E110</f>
        <v>-17190.619999999995</v>
      </c>
      <c r="T110" s="7" t="s">
        <v>358</v>
      </c>
      <c r="U110" s="5"/>
      <c r="V110" s="112">
        <f>'TTM LE2'!D48</f>
        <v>2215.1800000000003</v>
      </c>
      <c r="W110" s="112">
        <f>'TTM LE2'!E48</f>
        <v>40.700000000000003</v>
      </c>
      <c r="X110" s="112">
        <f>'TTM LE2'!F48</f>
        <v>8521.0799999999963</v>
      </c>
      <c r="Y110" s="112">
        <f>'TTM LE2'!G48</f>
        <v>0</v>
      </c>
      <c r="Z110" s="112">
        <f>'TTM LE2'!H48</f>
        <v>0</v>
      </c>
      <c r="AA110" s="112">
        <f>'TTM LE2'!I48</f>
        <v>11452</v>
      </c>
      <c r="AB110" s="113">
        <f>'TTM LE2'!J48</f>
        <v>1660</v>
      </c>
      <c r="AC110" s="114">
        <f>'TTM LE2'!K48</f>
        <v>0</v>
      </c>
      <c r="AD110" s="113">
        <f>'TTM LE2'!L48</f>
        <v>0</v>
      </c>
      <c r="AE110" s="114">
        <f>'TTM LE2'!M48</f>
        <v>0</v>
      </c>
      <c r="AF110" s="113">
        <f>'TTM LE2'!N48</f>
        <v>11133.3</v>
      </c>
      <c r="AG110" s="114">
        <f>'TTM LE2'!O48</f>
        <v>0</v>
      </c>
      <c r="AH110" s="8">
        <f t="shared" ref="AH110:AH117" si="77">SUM(V110:AG110)</f>
        <v>35022.259999999995</v>
      </c>
      <c r="AI110" s="24">
        <f t="shared" ref="AI110:AI117" si="78">AH110-R110</f>
        <v>-2072.2200000000012</v>
      </c>
      <c r="AJ110" s="7" t="s">
        <v>359</v>
      </c>
      <c r="AK110" s="98"/>
      <c r="AL110" s="164">
        <f>'TTM LE3'!D48</f>
        <v>2215.1800000000003</v>
      </c>
      <c r="AM110" s="164">
        <f>'TTM LE3'!E48</f>
        <v>40.700000000000003</v>
      </c>
      <c r="AN110" s="164">
        <f>'TTM LE3'!F48</f>
        <v>8521.0799999999963</v>
      </c>
      <c r="AO110" s="164">
        <f>'TTM LE3'!G48</f>
        <v>0</v>
      </c>
      <c r="AP110" s="164">
        <f>'TTM LE3'!H48</f>
        <v>0</v>
      </c>
      <c r="AQ110" s="164">
        <f>'TTM LE3'!I48</f>
        <v>11452</v>
      </c>
      <c r="AR110" s="164">
        <f>'TTM LE3'!J48</f>
        <v>1660</v>
      </c>
      <c r="AS110" s="164">
        <f>'TTM LE3'!K48</f>
        <v>0</v>
      </c>
      <c r="AT110" s="164">
        <f>'TTM LE3'!L48</f>
        <v>0</v>
      </c>
      <c r="AU110" s="114">
        <f>'TTM LE3'!M48</f>
        <v>0</v>
      </c>
      <c r="AV110" s="113">
        <f>'TTM LE3'!N48</f>
        <v>10951.14</v>
      </c>
      <c r="AW110" s="113">
        <f>'TTM LE3'!O48</f>
        <v>0</v>
      </c>
      <c r="AX110" s="8">
        <f t="shared" ref="AX110:AX117" si="79">SUM(AL110:AW110)</f>
        <v>34840.099999999991</v>
      </c>
      <c r="AY110" s="24">
        <f t="shared" ref="AY110:AY117" si="80">AX110-AH110</f>
        <v>-182.16000000000349</v>
      </c>
      <c r="AZ110" s="7" t="s">
        <v>360</v>
      </c>
      <c r="BA110" s="98"/>
      <c r="BB110" s="126">
        <v>70343.539999999994</v>
      </c>
      <c r="BC110" s="133">
        <v>0</v>
      </c>
      <c r="BD110" s="115" cm="1">
        <f t="array" ref="BD110">_xlfn.IFS($B$3="LE1 2024",R110-BB110-BC110,$B$3="LE2 2024",AH110-BB110-BC110,$B$3="LE3 2024",AX110-BB110-BC110)</f>
        <v>-35503.440000000002</v>
      </c>
      <c r="BE110" s="98"/>
      <c r="BF110" s="113">
        <v>0</v>
      </c>
      <c r="BG110" s="114">
        <v>0</v>
      </c>
      <c r="BH110" s="113">
        <v>7773.2</v>
      </c>
      <c r="BI110" s="114">
        <v>0</v>
      </c>
      <c r="BJ110" s="113">
        <v>0</v>
      </c>
      <c r="BK110" s="114">
        <v>22266.6</v>
      </c>
      <c r="BL110" s="113">
        <v>11133.3</v>
      </c>
      <c r="BM110" s="114">
        <v>0</v>
      </c>
      <c r="BN110" s="113">
        <v>11133.3</v>
      </c>
      <c r="BO110" s="114">
        <v>0</v>
      </c>
      <c r="BP110" s="113">
        <v>0</v>
      </c>
      <c r="BQ110" s="114">
        <v>11133.3</v>
      </c>
      <c r="BR110" s="8">
        <f t="shared" ref="BR110:BR117" si="81">SUM(BF110:BQ110)</f>
        <v>63439.7</v>
      </c>
      <c r="BS110" s="24">
        <f t="shared" ref="BS110:BS117" si="82">BR110-AH110</f>
        <v>28417.440000000002</v>
      </c>
      <c r="BT110" s="7" t="s">
        <v>362</v>
      </c>
    </row>
    <row r="111" spans="2:72" s="6" customFormat="1" ht="22.15" hidden="1" customHeight="1" outlineLevel="1" x14ac:dyDescent="0.25">
      <c r="B111" s="9" t="s">
        <v>216</v>
      </c>
      <c r="C111" s="9" t="str">
        <f t="shared" si="74"/>
        <v>147900705052020</v>
      </c>
      <c r="D111" s="112">
        <v>21731.389999999992</v>
      </c>
      <c r="E111" s="112">
        <v>18526</v>
      </c>
      <c r="F111" s="113">
        <f>'TTM LE1'!D67</f>
        <v>7573.829999999999</v>
      </c>
      <c r="G111" s="114">
        <f>'TTM LE1'!E67</f>
        <v>643.29</v>
      </c>
      <c r="H111" s="113">
        <f>'TTM LE1'!F67</f>
        <v>0</v>
      </c>
      <c r="I111" s="114">
        <f>'TTM LE1'!G67</f>
        <v>0</v>
      </c>
      <c r="J111" s="113">
        <f>'TTM LE1'!H67</f>
        <v>0</v>
      </c>
      <c r="K111" s="114">
        <f>'TTM LE1'!I67</f>
        <v>2400</v>
      </c>
      <c r="L111" s="113">
        <f>'TTM LE1'!J67</f>
        <v>6000</v>
      </c>
      <c r="M111" s="114">
        <f>'TTM LE1'!K67</f>
        <v>0</v>
      </c>
      <c r="N111" s="113">
        <f>'TTM LE1'!L67</f>
        <v>0</v>
      </c>
      <c r="O111" s="114">
        <f>'TTM LE1'!M67</f>
        <v>2100</v>
      </c>
      <c r="P111" s="113">
        <f>'TTM LE1'!N67</f>
        <v>2100</v>
      </c>
      <c r="Q111" s="114">
        <f>'TTM LE1'!O67</f>
        <v>0</v>
      </c>
      <c r="R111" s="8">
        <f t="shared" si="75"/>
        <v>20817.12</v>
      </c>
      <c r="S111" s="24">
        <f t="shared" si="76"/>
        <v>2291.119999999999</v>
      </c>
      <c r="T111" s="7" t="s">
        <v>358</v>
      </c>
      <c r="U111" s="5"/>
      <c r="V111" s="112">
        <f>'TTM LE2'!D49</f>
        <v>7573.829999999999</v>
      </c>
      <c r="W111" s="112">
        <f>'TTM LE2'!E49</f>
        <v>643.29</v>
      </c>
      <c r="X111" s="112">
        <f>'TTM LE2'!F49</f>
        <v>5110.9700000000012</v>
      </c>
      <c r="Y111" s="112">
        <f>'TTM LE2'!G49</f>
        <v>0</v>
      </c>
      <c r="Z111" s="112">
        <f>'TTM LE2'!H49</f>
        <v>0</v>
      </c>
      <c r="AA111" s="112">
        <f>'TTM LE2'!I49</f>
        <v>2400</v>
      </c>
      <c r="AB111" s="113">
        <f>'TTM LE2'!J49</f>
        <v>6000</v>
      </c>
      <c r="AC111" s="114">
        <f>'TTM LE2'!K49</f>
        <v>0</v>
      </c>
      <c r="AD111" s="113">
        <f>'TTM LE2'!L49</f>
        <v>0</v>
      </c>
      <c r="AE111" s="114">
        <f>'TTM LE2'!M49</f>
        <v>0</v>
      </c>
      <c r="AF111" s="113">
        <f>'TTM LE2'!N49</f>
        <v>2100</v>
      </c>
      <c r="AG111" s="114">
        <f>'TTM LE2'!O49</f>
        <v>0</v>
      </c>
      <c r="AH111" s="8">
        <f t="shared" si="77"/>
        <v>23828.09</v>
      </c>
      <c r="AI111" s="24">
        <f t="shared" si="78"/>
        <v>3010.9700000000012</v>
      </c>
      <c r="AJ111" s="7" t="s">
        <v>359</v>
      </c>
      <c r="AK111" s="98"/>
      <c r="AL111" s="164">
        <f>'TTM LE3'!D49</f>
        <v>7573.829999999999</v>
      </c>
      <c r="AM111" s="164">
        <f>'TTM LE3'!E49</f>
        <v>643.29</v>
      </c>
      <c r="AN111" s="164">
        <f>'TTM LE3'!F49</f>
        <v>5110.9700000000012</v>
      </c>
      <c r="AO111" s="164">
        <f>'TTM LE3'!G49</f>
        <v>0</v>
      </c>
      <c r="AP111" s="164">
        <f>'TTM LE3'!H49</f>
        <v>0</v>
      </c>
      <c r="AQ111" s="164">
        <f>'TTM LE3'!I49</f>
        <v>2400</v>
      </c>
      <c r="AR111" s="164">
        <f>'TTM LE3'!J49</f>
        <v>6000</v>
      </c>
      <c r="AS111" s="164">
        <f>'TTM LE3'!K49</f>
        <v>0</v>
      </c>
      <c r="AT111" s="164">
        <f>'TTM LE3'!L49</f>
        <v>3004</v>
      </c>
      <c r="AU111" s="114">
        <f>'TTM LE3'!M49</f>
        <v>0</v>
      </c>
      <c r="AV111" s="113">
        <f>'TTM LE3'!N49</f>
        <v>2100</v>
      </c>
      <c r="AW111" s="113">
        <f>'TTM LE3'!O49</f>
        <v>0</v>
      </c>
      <c r="AX111" s="8">
        <f t="shared" si="79"/>
        <v>26832.09</v>
      </c>
      <c r="AY111" s="24">
        <f t="shared" si="80"/>
        <v>3004</v>
      </c>
      <c r="AZ111" s="7" t="s">
        <v>360</v>
      </c>
      <c r="BA111" s="98"/>
      <c r="BB111" s="126">
        <v>25245.540000000008</v>
      </c>
      <c r="BC111" s="123">
        <v>0</v>
      </c>
      <c r="BD111" s="115" cm="1">
        <f t="array" ref="BD111">_xlfn.IFS($B$3="LE1 2024",R111-BB111-BC111,$B$3="LE2 2024",AH111-BB111-BC111,$B$3="LE3 2024",AX111-BB111-BC111)</f>
        <v>1586.549999999992</v>
      </c>
      <c r="BE111" s="98"/>
      <c r="BF111" s="113">
        <v>0</v>
      </c>
      <c r="BG111" s="114">
        <v>0</v>
      </c>
      <c r="BH111" s="113">
        <v>2310</v>
      </c>
      <c r="BI111" s="114">
        <v>0</v>
      </c>
      <c r="BJ111" s="113">
        <v>0</v>
      </c>
      <c r="BK111" s="114">
        <v>4620</v>
      </c>
      <c r="BL111" s="113">
        <v>2310</v>
      </c>
      <c r="BM111" s="114">
        <v>2000</v>
      </c>
      <c r="BN111" s="113">
        <v>2310</v>
      </c>
      <c r="BO111" s="114">
        <v>0</v>
      </c>
      <c r="BP111" s="113">
        <v>0</v>
      </c>
      <c r="BQ111" s="114">
        <v>2310</v>
      </c>
      <c r="BR111" s="8">
        <f t="shared" si="81"/>
        <v>15860</v>
      </c>
      <c r="BS111" s="24">
        <f t="shared" si="82"/>
        <v>-7968.09</v>
      </c>
      <c r="BT111" s="7" t="s">
        <v>362</v>
      </c>
    </row>
    <row r="112" spans="2:72" s="6" customFormat="1" ht="22.15" hidden="1" customHeight="1" outlineLevel="1" x14ac:dyDescent="0.25">
      <c r="B112" s="9" t="s">
        <v>217</v>
      </c>
      <c r="C112" s="9" t="str">
        <f t="shared" si="74"/>
        <v>147900705054020</v>
      </c>
      <c r="D112" s="112">
        <v>0</v>
      </c>
      <c r="E112" s="112">
        <v>0</v>
      </c>
      <c r="F112" s="113">
        <f>'TTM LE1'!D68</f>
        <v>0</v>
      </c>
      <c r="G112" s="114">
        <f>'TTM LE1'!E68</f>
        <v>0</v>
      </c>
      <c r="H112" s="113">
        <f>'TTM LE1'!F68</f>
        <v>0</v>
      </c>
      <c r="I112" s="114">
        <f>'TTM LE1'!G68</f>
        <v>0</v>
      </c>
      <c r="J112" s="113">
        <f>'TTM LE1'!H68</f>
        <v>0</v>
      </c>
      <c r="K112" s="114">
        <f>'TTM LE1'!I68</f>
        <v>0</v>
      </c>
      <c r="L112" s="113">
        <f>'TTM LE1'!J68</f>
        <v>0</v>
      </c>
      <c r="M112" s="114">
        <f>'TTM LE1'!K68</f>
        <v>0</v>
      </c>
      <c r="N112" s="113">
        <f>'TTM LE1'!L68</f>
        <v>0</v>
      </c>
      <c r="O112" s="114">
        <f>'TTM LE1'!M68</f>
        <v>0</v>
      </c>
      <c r="P112" s="113">
        <f>'TTM LE1'!N68</f>
        <v>0</v>
      </c>
      <c r="Q112" s="114">
        <f>'TTM LE1'!O68</f>
        <v>0</v>
      </c>
      <c r="R112" s="8">
        <f t="shared" si="75"/>
        <v>0</v>
      </c>
      <c r="S112" s="24">
        <f t="shared" si="76"/>
        <v>0</v>
      </c>
      <c r="T112" s="7" t="s">
        <v>358</v>
      </c>
      <c r="U112" s="5"/>
      <c r="V112" s="112">
        <f>'TTM LE2'!D50</f>
        <v>0</v>
      </c>
      <c r="W112" s="112">
        <f>'TTM LE2'!E50</f>
        <v>0</v>
      </c>
      <c r="X112" s="112">
        <f>'TTM LE2'!F50</f>
        <v>0</v>
      </c>
      <c r="Y112" s="112">
        <f>'TTM LE2'!G50</f>
        <v>0</v>
      </c>
      <c r="Z112" s="112">
        <f>'TTM LE2'!H50</f>
        <v>0</v>
      </c>
      <c r="AA112" s="112">
        <f>'TTM LE2'!I50</f>
        <v>0</v>
      </c>
      <c r="AB112" s="113">
        <f>'TTM LE2'!J50</f>
        <v>0</v>
      </c>
      <c r="AC112" s="114">
        <f>'TTM LE2'!K50</f>
        <v>0</v>
      </c>
      <c r="AD112" s="113">
        <f>'TTM LE2'!L50</f>
        <v>0</v>
      </c>
      <c r="AE112" s="114">
        <f>'TTM LE2'!M50</f>
        <v>0</v>
      </c>
      <c r="AF112" s="113">
        <f>'TTM LE2'!N50</f>
        <v>0</v>
      </c>
      <c r="AG112" s="114">
        <f>'TTM LE2'!O50</f>
        <v>0</v>
      </c>
      <c r="AH112" s="8">
        <f t="shared" si="77"/>
        <v>0</v>
      </c>
      <c r="AI112" s="24">
        <f t="shared" si="78"/>
        <v>0</v>
      </c>
      <c r="AJ112" s="7" t="s">
        <v>359</v>
      </c>
      <c r="AK112" s="98"/>
      <c r="AL112" s="164">
        <f>'TTM LE3'!D50</f>
        <v>0</v>
      </c>
      <c r="AM112" s="164">
        <f>'TTM LE3'!E50</f>
        <v>0</v>
      </c>
      <c r="AN112" s="164">
        <f>'TTM LE3'!F50</f>
        <v>0</v>
      </c>
      <c r="AO112" s="164">
        <f>'TTM LE3'!G50</f>
        <v>0</v>
      </c>
      <c r="AP112" s="164">
        <f>'TTM LE3'!H50</f>
        <v>0</v>
      </c>
      <c r="AQ112" s="164">
        <f>'TTM LE3'!I50</f>
        <v>0</v>
      </c>
      <c r="AR112" s="164">
        <f>'TTM LE3'!J50</f>
        <v>0</v>
      </c>
      <c r="AS112" s="164">
        <f>'TTM LE3'!K50</f>
        <v>0</v>
      </c>
      <c r="AT112" s="164">
        <f>'TTM LE3'!L50</f>
        <v>0</v>
      </c>
      <c r="AU112" s="114">
        <f>'TTM LE3'!M50</f>
        <v>0</v>
      </c>
      <c r="AV112" s="113">
        <f>'TTM LE3'!N50</f>
        <v>2000</v>
      </c>
      <c r="AW112" s="113">
        <f>'TTM LE3'!O50</f>
        <v>0</v>
      </c>
      <c r="AX112" s="8">
        <f t="shared" si="79"/>
        <v>2000</v>
      </c>
      <c r="AY112" s="24">
        <f t="shared" si="80"/>
        <v>2000</v>
      </c>
      <c r="AZ112" s="7" t="s">
        <v>360</v>
      </c>
      <c r="BA112" s="98"/>
      <c r="BB112" s="126">
        <v>0</v>
      </c>
      <c r="BC112" s="123">
        <v>0</v>
      </c>
      <c r="BD112" s="115" cm="1">
        <f t="array" ref="BD112">_xlfn.IFS($B$3="LE1 2024",R112-BB112-BC112,$B$3="LE2 2024",AH112-BB112-BC112,$B$3="LE3 2024",AX112-BB112-BC112)</f>
        <v>2000</v>
      </c>
      <c r="BE112" s="98"/>
      <c r="BF112" s="113">
        <v>0</v>
      </c>
      <c r="BG112" s="114">
        <v>0</v>
      </c>
      <c r="BH112" s="113">
        <v>0</v>
      </c>
      <c r="BI112" s="114">
        <v>0</v>
      </c>
      <c r="BJ112" s="113">
        <v>0</v>
      </c>
      <c r="BK112" s="114">
        <v>0</v>
      </c>
      <c r="BL112" s="113">
        <v>0</v>
      </c>
      <c r="BM112" s="114">
        <v>0</v>
      </c>
      <c r="BN112" s="113">
        <v>0</v>
      </c>
      <c r="BO112" s="114">
        <v>0</v>
      </c>
      <c r="BP112" s="113">
        <v>0</v>
      </c>
      <c r="BQ112" s="114">
        <v>0</v>
      </c>
      <c r="BR112" s="8">
        <f t="shared" si="81"/>
        <v>0</v>
      </c>
      <c r="BS112" s="24">
        <f t="shared" si="82"/>
        <v>0</v>
      </c>
      <c r="BT112" s="7" t="s">
        <v>362</v>
      </c>
    </row>
    <row r="113" spans="2:72" s="6" customFormat="1" ht="22.15" hidden="1" customHeight="1" outlineLevel="1" x14ac:dyDescent="0.25">
      <c r="B113" s="9" t="s">
        <v>218</v>
      </c>
      <c r="C113" s="9" t="str">
        <f t="shared" si="74"/>
        <v>147900705055000</v>
      </c>
      <c r="D113" s="112">
        <v>47.97</v>
      </c>
      <c r="E113" s="112">
        <v>0</v>
      </c>
      <c r="F113" s="113">
        <v>0</v>
      </c>
      <c r="G113" s="114">
        <v>0</v>
      </c>
      <c r="H113" s="113">
        <v>0</v>
      </c>
      <c r="I113" s="114">
        <v>0</v>
      </c>
      <c r="J113" s="113">
        <v>0</v>
      </c>
      <c r="K113" s="114">
        <v>0</v>
      </c>
      <c r="L113" s="113">
        <v>0</v>
      </c>
      <c r="M113" s="114">
        <v>0</v>
      </c>
      <c r="N113" s="113">
        <v>0</v>
      </c>
      <c r="O113" s="114">
        <v>0</v>
      </c>
      <c r="P113" s="113">
        <v>0</v>
      </c>
      <c r="Q113" s="114">
        <v>0</v>
      </c>
      <c r="R113" s="8">
        <f t="shared" si="75"/>
        <v>0</v>
      </c>
      <c r="S113" s="24">
        <f t="shared" si="76"/>
        <v>0</v>
      </c>
      <c r="T113" s="7" t="s">
        <v>358</v>
      </c>
      <c r="U113" s="5"/>
      <c r="V113" s="112">
        <v>0</v>
      </c>
      <c r="W113" s="112">
        <v>0</v>
      </c>
      <c r="X113" s="112">
        <v>0</v>
      </c>
      <c r="Y113" s="112">
        <v>0</v>
      </c>
      <c r="Z113" s="112">
        <v>64.66</v>
      </c>
      <c r="AA113" s="112">
        <v>36.82</v>
      </c>
      <c r="AB113" s="113">
        <v>-36.82</v>
      </c>
      <c r="AC113" s="114">
        <v>0</v>
      </c>
      <c r="AD113" s="113">
        <v>0</v>
      </c>
      <c r="AE113" s="114">
        <v>0</v>
      </c>
      <c r="AF113" s="113">
        <v>0</v>
      </c>
      <c r="AG113" s="114">
        <v>0</v>
      </c>
      <c r="AH113" s="8">
        <f t="shared" si="77"/>
        <v>64.66</v>
      </c>
      <c r="AI113" s="24">
        <f t="shared" si="78"/>
        <v>64.66</v>
      </c>
      <c r="AJ113" s="7" t="s">
        <v>359</v>
      </c>
      <c r="AK113" s="98"/>
      <c r="AL113" s="164">
        <v>0</v>
      </c>
      <c r="AM113" s="164">
        <v>0</v>
      </c>
      <c r="AN113" s="164">
        <v>0</v>
      </c>
      <c r="AO113" s="164">
        <v>0</v>
      </c>
      <c r="AP113" s="164">
        <v>64.66</v>
      </c>
      <c r="AQ113" s="164">
        <v>36.82</v>
      </c>
      <c r="AR113" s="164">
        <v>0</v>
      </c>
      <c r="AS113" s="164">
        <v>0</v>
      </c>
      <c r="AT113" s="164">
        <v>0</v>
      </c>
      <c r="AU113" s="114">
        <v>0</v>
      </c>
      <c r="AV113" s="113">
        <v>0</v>
      </c>
      <c r="AW113" s="113">
        <v>0</v>
      </c>
      <c r="AX113" s="8">
        <f t="shared" si="79"/>
        <v>101.47999999999999</v>
      </c>
      <c r="AY113" s="24">
        <f t="shared" si="80"/>
        <v>36.819999999999993</v>
      </c>
      <c r="AZ113" s="7" t="s">
        <v>360</v>
      </c>
      <c r="BA113" s="98"/>
      <c r="BB113" s="126">
        <v>101.47999999999999</v>
      </c>
      <c r="BC113" s="123">
        <v>0</v>
      </c>
      <c r="BD113" s="115" cm="1">
        <f t="array" ref="BD113">_xlfn.IFS($B$3="LE1 2024",R113-BB113-BC113,$B$3="LE2 2024",AH113-BB113-BC113,$B$3="LE3 2024",AX113-BB113-BC113)</f>
        <v>0</v>
      </c>
      <c r="BE113" s="98"/>
      <c r="BF113" s="113">
        <v>0</v>
      </c>
      <c r="BG113" s="114">
        <v>0</v>
      </c>
      <c r="BH113" s="113">
        <v>0</v>
      </c>
      <c r="BI113" s="114">
        <v>0</v>
      </c>
      <c r="BJ113" s="113">
        <v>0</v>
      </c>
      <c r="BK113" s="114">
        <v>0</v>
      </c>
      <c r="BL113" s="113">
        <v>0</v>
      </c>
      <c r="BM113" s="114">
        <v>0</v>
      </c>
      <c r="BN113" s="113">
        <v>0</v>
      </c>
      <c r="BO113" s="114">
        <v>0</v>
      </c>
      <c r="BP113" s="113">
        <v>0</v>
      </c>
      <c r="BQ113" s="114">
        <v>0</v>
      </c>
      <c r="BR113" s="8">
        <f t="shared" si="81"/>
        <v>0</v>
      </c>
      <c r="BS113" s="24">
        <f t="shared" si="82"/>
        <v>-64.66</v>
      </c>
      <c r="BT113" s="7" t="s">
        <v>362</v>
      </c>
    </row>
    <row r="114" spans="2:72" s="6" customFormat="1" ht="22.15" hidden="1" customHeight="1" outlineLevel="1" x14ac:dyDescent="0.25">
      <c r="B114" s="9" t="s">
        <v>219</v>
      </c>
      <c r="C114" s="9" t="str">
        <f t="shared" si="74"/>
        <v>147900706020020</v>
      </c>
      <c r="D114" s="112">
        <v>18252.18</v>
      </c>
      <c r="E114" s="112">
        <v>16243.3</v>
      </c>
      <c r="F114" s="113">
        <f>'TTM LE1'!D69</f>
        <v>0</v>
      </c>
      <c r="G114" s="114">
        <f>'TTM LE1'!E69</f>
        <v>0</v>
      </c>
      <c r="H114" s="113">
        <f>'TTM LE1'!F69</f>
        <v>0</v>
      </c>
      <c r="I114" s="114">
        <f>'TTM LE1'!G69</f>
        <v>0</v>
      </c>
      <c r="J114" s="113">
        <f>'TTM LE1'!H69</f>
        <v>0</v>
      </c>
      <c r="K114" s="114">
        <f>'TTM LE1'!I69</f>
        <v>0</v>
      </c>
      <c r="L114" s="113">
        <f>'TTM LE1'!J69</f>
        <v>0</v>
      </c>
      <c r="M114" s="114">
        <f>'TTM LE1'!K69</f>
        <v>0</v>
      </c>
      <c r="N114" s="113">
        <f>'TTM LE1'!L69</f>
        <v>15793.3</v>
      </c>
      <c r="O114" s="114">
        <f>'TTM LE1'!M69</f>
        <v>0</v>
      </c>
      <c r="P114" s="113">
        <f>'TTM LE1'!N69</f>
        <v>0</v>
      </c>
      <c r="Q114" s="114">
        <f>'TTM LE1'!O69</f>
        <v>0</v>
      </c>
      <c r="R114" s="8">
        <f t="shared" si="75"/>
        <v>15793.3</v>
      </c>
      <c r="S114" s="24">
        <f t="shared" si="76"/>
        <v>-450</v>
      </c>
      <c r="T114" s="7" t="s">
        <v>358</v>
      </c>
      <c r="U114" s="5"/>
      <c r="V114" s="112">
        <f>'TTM LE2'!D51</f>
        <v>0</v>
      </c>
      <c r="W114" s="112">
        <f>'TTM LE2'!E51</f>
        <v>0</v>
      </c>
      <c r="X114" s="112">
        <f>'TTM LE2'!F51</f>
        <v>0</v>
      </c>
      <c r="Y114" s="112">
        <f>'TTM LE2'!G51</f>
        <v>0</v>
      </c>
      <c r="Z114" s="112">
        <f>'TTM LE2'!H51</f>
        <v>0</v>
      </c>
      <c r="AA114" s="112">
        <f>'TTM LE2'!I51</f>
        <v>0</v>
      </c>
      <c r="AB114" s="113">
        <f>'TTM LE2'!J51</f>
        <v>0</v>
      </c>
      <c r="AC114" s="114">
        <f>'TTM LE2'!K51</f>
        <v>0</v>
      </c>
      <c r="AD114" s="113">
        <f>'TTM LE2'!L51</f>
        <v>13500</v>
      </c>
      <c r="AE114" s="114">
        <f>'TTM LE2'!M51</f>
        <v>0</v>
      </c>
      <c r="AF114" s="113">
        <f>'TTM LE2'!N51</f>
        <v>0</v>
      </c>
      <c r="AG114" s="114">
        <f>'TTM LE2'!O51</f>
        <v>0</v>
      </c>
      <c r="AH114" s="8">
        <f t="shared" si="77"/>
        <v>13500</v>
      </c>
      <c r="AI114" s="24">
        <f t="shared" si="78"/>
        <v>-2293.2999999999993</v>
      </c>
      <c r="AJ114" s="7" t="s">
        <v>359</v>
      </c>
      <c r="AK114" s="98"/>
      <c r="AL114" s="164">
        <f>'TTM LE3'!D51</f>
        <v>0</v>
      </c>
      <c r="AM114" s="164">
        <f>'TTM LE3'!E51</f>
        <v>0</v>
      </c>
      <c r="AN114" s="164">
        <f>'TTM LE3'!F51</f>
        <v>0</v>
      </c>
      <c r="AO114" s="164">
        <f>'TTM LE3'!G51</f>
        <v>0</v>
      </c>
      <c r="AP114" s="164">
        <f>'TTM LE3'!H51</f>
        <v>0</v>
      </c>
      <c r="AQ114" s="164">
        <f>'TTM LE3'!I51</f>
        <v>0</v>
      </c>
      <c r="AR114" s="164">
        <f>'TTM LE3'!J51</f>
        <v>18629.64</v>
      </c>
      <c r="AS114" s="164">
        <f>'TTM LE3'!K51</f>
        <v>0</v>
      </c>
      <c r="AT114" s="164">
        <f>'TTM LE3'!L51</f>
        <v>0</v>
      </c>
      <c r="AU114" s="114">
        <f>'TTM LE3'!M51</f>
        <v>0</v>
      </c>
      <c r="AV114" s="113">
        <f>'TTM LE3'!N51</f>
        <v>0</v>
      </c>
      <c r="AW114" s="113">
        <f>'TTM LE3'!O51</f>
        <v>0</v>
      </c>
      <c r="AX114" s="8">
        <f>'TTM LE3'!P51</f>
        <v>18629.64</v>
      </c>
      <c r="AY114" s="24">
        <f t="shared" si="80"/>
        <v>5129.6399999999994</v>
      </c>
      <c r="AZ114" s="7" t="s">
        <v>360</v>
      </c>
      <c r="BA114" s="98"/>
      <c r="BB114" s="126">
        <v>13349.640000000005</v>
      </c>
      <c r="BC114" s="123">
        <v>0</v>
      </c>
      <c r="BD114" s="115" cm="1">
        <f t="array" ref="BD114">_xlfn.IFS($B$3="LE1 2024",R114-BB114-BC114,$B$3="LE2 2024",AH114-BB114-BC114,$B$3="LE3 2024",AX114-BB114-BC114)</f>
        <v>5279.9999999999945</v>
      </c>
      <c r="BE114" s="98"/>
      <c r="BF114" s="113">
        <v>0</v>
      </c>
      <c r="BG114" s="114">
        <v>0</v>
      </c>
      <c r="BH114" s="113">
        <v>0</v>
      </c>
      <c r="BI114" s="114">
        <v>0</v>
      </c>
      <c r="BJ114" s="113">
        <v>0</v>
      </c>
      <c r="BK114" s="114">
        <v>0</v>
      </c>
      <c r="BL114" s="113">
        <v>0</v>
      </c>
      <c r="BM114" s="114">
        <v>0</v>
      </c>
      <c r="BN114" s="113">
        <v>16243.3</v>
      </c>
      <c r="BO114" s="114">
        <v>0</v>
      </c>
      <c r="BP114" s="113">
        <v>0</v>
      </c>
      <c r="BQ114" s="114">
        <v>0</v>
      </c>
      <c r="BR114" s="8">
        <f t="shared" si="81"/>
        <v>16243.3</v>
      </c>
      <c r="BS114" s="24">
        <f t="shared" si="82"/>
        <v>2743.2999999999993</v>
      </c>
      <c r="BT114" s="7" t="s">
        <v>362</v>
      </c>
    </row>
    <row r="115" spans="2:72" s="6" customFormat="1" ht="22.15" hidden="1" customHeight="1" outlineLevel="1" x14ac:dyDescent="0.25">
      <c r="B115" s="9" t="s">
        <v>220</v>
      </c>
      <c r="C115" s="9" t="str">
        <f t="shared" si="74"/>
        <v>147900706020030</v>
      </c>
      <c r="D115" s="112">
        <v>4296.01</v>
      </c>
      <c r="E115" s="112">
        <v>0</v>
      </c>
      <c r="F115" s="113">
        <f>'TTM LE1'!D70</f>
        <v>0</v>
      </c>
      <c r="G115" s="114">
        <f>'TTM LE1'!E70</f>
        <v>0</v>
      </c>
      <c r="H115" s="113">
        <f>'TTM LE1'!F70</f>
        <v>0</v>
      </c>
      <c r="I115" s="114">
        <f>'TTM LE1'!G70</f>
        <v>0</v>
      </c>
      <c r="J115" s="113">
        <f>'TTM LE1'!H70</f>
        <v>0</v>
      </c>
      <c r="K115" s="114">
        <f>'TTM LE1'!I70</f>
        <v>0</v>
      </c>
      <c r="L115" s="113">
        <f>'TTM LE1'!J70</f>
        <v>0</v>
      </c>
      <c r="M115" s="114">
        <f>'TTM LE1'!K70</f>
        <v>0</v>
      </c>
      <c r="N115" s="113">
        <f>'TTM LE1'!L70</f>
        <v>0</v>
      </c>
      <c r="O115" s="114">
        <f>'TTM LE1'!M70</f>
        <v>0</v>
      </c>
      <c r="P115" s="113">
        <f>'TTM LE1'!N70</f>
        <v>0</v>
      </c>
      <c r="Q115" s="114">
        <f>'TTM LE1'!O70</f>
        <v>0</v>
      </c>
      <c r="R115" s="8">
        <f t="shared" si="75"/>
        <v>0</v>
      </c>
      <c r="S115" s="24">
        <f t="shared" si="76"/>
        <v>0</v>
      </c>
      <c r="T115" s="7" t="s">
        <v>358</v>
      </c>
      <c r="U115" s="5"/>
      <c r="V115" s="112">
        <f>'TTM LE2'!D52</f>
        <v>0</v>
      </c>
      <c r="W115" s="112">
        <f>'TTM LE2'!E52</f>
        <v>0</v>
      </c>
      <c r="X115" s="112">
        <f>'TTM LE2'!F52</f>
        <v>0</v>
      </c>
      <c r="Y115" s="112">
        <f>'TTM LE2'!G52</f>
        <v>0</v>
      </c>
      <c r="Z115" s="112">
        <f>'TTM LE2'!H52</f>
        <v>0</v>
      </c>
      <c r="AA115" s="112">
        <f>'TTM LE2'!I52</f>
        <v>0</v>
      </c>
      <c r="AB115" s="113">
        <f>'TTM LE2'!J52</f>
        <v>0</v>
      </c>
      <c r="AC115" s="114">
        <f>'TTM LE2'!K52</f>
        <v>0</v>
      </c>
      <c r="AD115" s="113">
        <f>'TTM LE2'!L52</f>
        <v>0</v>
      </c>
      <c r="AE115" s="114">
        <f>'TTM LE2'!M52</f>
        <v>0</v>
      </c>
      <c r="AF115" s="113">
        <f>'TTM LE2'!N52</f>
        <v>0</v>
      </c>
      <c r="AG115" s="114">
        <f>'TTM LE2'!O52</f>
        <v>0</v>
      </c>
      <c r="AH115" s="8">
        <f t="shared" si="77"/>
        <v>0</v>
      </c>
      <c r="AI115" s="24">
        <f t="shared" si="78"/>
        <v>0</v>
      </c>
      <c r="AJ115" s="7" t="s">
        <v>359</v>
      </c>
      <c r="AK115" s="98"/>
      <c r="AL115" s="164">
        <f>'TTM LE3'!D52</f>
        <v>0</v>
      </c>
      <c r="AM115" s="164">
        <f>'TTM LE3'!E52</f>
        <v>0</v>
      </c>
      <c r="AN115" s="164">
        <f>'TTM LE3'!F52</f>
        <v>0</v>
      </c>
      <c r="AO115" s="164">
        <f>'TTM LE3'!G52</f>
        <v>0</v>
      </c>
      <c r="AP115" s="164">
        <f>'TTM LE3'!H52</f>
        <v>0</v>
      </c>
      <c r="AQ115" s="164">
        <f>'TTM LE3'!I52</f>
        <v>0</v>
      </c>
      <c r="AR115" s="164">
        <f>'TTM LE3'!J52</f>
        <v>0</v>
      </c>
      <c r="AS115" s="164">
        <f>'TTM LE3'!K52</f>
        <v>0</v>
      </c>
      <c r="AT115" s="164">
        <f>'TTM LE3'!L52</f>
        <v>0</v>
      </c>
      <c r="AU115" s="114">
        <f>'TTM LE3'!M52</f>
        <v>0</v>
      </c>
      <c r="AV115" s="113">
        <f>'TTM LE3'!N52</f>
        <v>0</v>
      </c>
      <c r="AW115" s="113">
        <f>'TTM LE3'!O52</f>
        <v>0</v>
      </c>
      <c r="AX115" s="8">
        <f>'TTM LE3'!P52</f>
        <v>0</v>
      </c>
      <c r="AY115" s="24">
        <f t="shared" si="80"/>
        <v>0</v>
      </c>
      <c r="AZ115" s="7" t="s">
        <v>360</v>
      </c>
      <c r="BA115" s="98"/>
      <c r="BB115" s="126">
        <v>0</v>
      </c>
      <c r="BC115" s="123">
        <v>0</v>
      </c>
      <c r="BD115" s="115" cm="1">
        <f t="array" ref="BD115">_xlfn.IFS($B$3="LE1 2024",R115-BB115-BC115,$B$3="LE2 2024",AH115-BB115-BC115,$B$3="LE3 2024",AX115-BB115-BC115)</f>
        <v>0</v>
      </c>
      <c r="BE115" s="98"/>
      <c r="BF115" s="113">
        <v>0</v>
      </c>
      <c r="BG115" s="114">
        <v>0</v>
      </c>
      <c r="BH115" s="113">
        <v>0</v>
      </c>
      <c r="BI115" s="114">
        <v>0</v>
      </c>
      <c r="BJ115" s="113">
        <v>0</v>
      </c>
      <c r="BK115" s="114">
        <v>0</v>
      </c>
      <c r="BL115" s="113">
        <v>0</v>
      </c>
      <c r="BM115" s="114">
        <v>0</v>
      </c>
      <c r="BN115" s="113">
        <v>6050</v>
      </c>
      <c r="BO115" s="114">
        <v>0</v>
      </c>
      <c r="BP115" s="113">
        <v>0</v>
      </c>
      <c r="BQ115" s="114">
        <v>0</v>
      </c>
      <c r="BR115" s="8">
        <f t="shared" si="81"/>
        <v>6050</v>
      </c>
      <c r="BS115" s="24">
        <f t="shared" si="82"/>
        <v>6050</v>
      </c>
      <c r="BT115" s="7" t="s">
        <v>362</v>
      </c>
    </row>
    <row r="116" spans="2:72" s="6" customFormat="1" ht="22.15" hidden="1" customHeight="1" outlineLevel="1" x14ac:dyDescent="0.25">
      <c r="B116" s="9" t="s">
        <v>221</v>
      </c>
      <c r="C116" s="9" t="str">
        <f t="shared" si="74"/>
        <v>147900706028000</v>
      </c>
      <c r="D116" s="112">
        <v>4391.119999999999</v>
      </c>
      <c r="E116" s="112">
        <v>9300</v>
      </c>
      <c r="F116" s="113">
        <f>'TTM LE1'!D71</f>
        <v>247.29999999999998</v>
      </c>
      <c r="G116" s="114">
        <f>'TTM LE1'!E71</f>
        <v>20.29</v>
      </c>
      <c r="H116" s="113">
        <f>'TTM LE1'!F71</f>
        <v>832.41</v>
      </c>
      <c r="I116" s="114">
        <f>'TTM LE1'!G71</f>
        <v>2000</v>
      </c>
      <c r="J116" s="113">
        <f>'TTM LE1'!H71</f>
        <v>300</v>
      </c>
      <c r="K116" s="114">
        <f>'TTM LE1'!I71</f>
        <v>300</v>
      </c>
      <c r="L116" s="113">
        <f>'TTM LE1'!J71</f>
        <v>500</v>
      </c>
      <c r="M116" s="114">
        <f>'TTM LE1'!K71</f>
        <v>300</v>
      </c>
      <c r="N116" s="113">
        <f>'TTM LE1'!L71</f>
        <v>500</v>
      </c>
      <c r="O116" s="114">
        <f>'TTM LE1'!M71</f>
        <v>2000</v>
      </c>
      <c r="P116" s="113">
        <f>'TTM LE1'!N71</f>
        <v>300</v>
      </c>
      <c r="Q116" s="114">
        <f>'TTM LE1'!O71</f>
        <v>2000</v>
      </c>
      <c r="R116" s="8">
        <f t="shared" si="75"/>
        <v>9300</v>
      </c>
      <c r="S116" s="24">
        <f t="shared" si="76"/>
        <v>0</v>
      </c>
      <c r="T116" s="7" t="s">
        <v>358</v>
      </c>
      <c r="U116" s="5"/>
      <c r="V116" s="112">
        <f>'TTM LE2'!D53</f>
        <v>247.29999999999998</v>
      </c>
      <c r="W116" s="112">
        <f>'TTM LE2'!E53</f>
        <v>20.29</v>
      </c>
      <c r="X116" s="112">
        <f>'TTM LE2'!F53</f>
        <v>0</v>
      </c>
      <c r="Y116" s="112">
        <f>'TTM LE2'!G53</f>
        <v>137</v>
      </c>
      <c r="Z116" s="112">
        <f>'TTM LE2'!H53</f>
        <v>1202.48</v>
      </c>
      <c r="AA116" s="112">
        <f>'TTM LE2'!I53</f>
        <v>300</v>
      </c>
      <c r="AB116" s="113">
        <f>'TTM LE2'!J53</f>
        <v>500</v>
      </c>
      <c r="AC116" s="114">
        <f>'TTM LE2'!K53</f>
        <v>300</v>
      </c>
      <c r="AD116" s="113">
        <f>'TTM LE2'!L53</f>
        <v>500</v>
      </c>
      <c r="AE116" s="114">
        <f>'TTM LE2'!M53</f>
        <v>2000</v>
      </c>
      <c r="AF116" s="113">
        <f>'TTM LE2'!N53</f>
        <v>300</v>
      </c>
      <c r="AG116" s="114">
        <f>'TTM LE2'!O53</f>
        <v>2000</v>
      </c>
      <c r="AH116" s="8">
        <f t="shared" si="77"/>
        <v>7507.07</v>
      </c>
      <c r="AI116" s="24">
        <f t="shared" si="78"/>
        <v>-1792.9300000000003</v>
      </c>
      <c r="AJ116" s="7" t="s">
        <v>359</v>
      </c>
      <c r="AK116" s="98"/>
      <c r="AL116" s="164">
        <f>'TTM LE3'!D53</f>
        <v>247.29999999999998</v>
      </c>
      <c r="AM116" s="164">
        <f>'TTM LE3'!E53</f>
        <v>20.29</v>
      </c>
      <c r="AN116" s="164">
        <f>'TTM LE3'!F53</f>
        <v>0</v>
      </c>
      <c r="AO116" s="164">
        <f>'TTM LE3'!G53</f>
        <v>137</v>
      </c>
      <c r="AP116" s="164">
        <f>'TTM LE3'!H53</f>
        <v>1202.48</v>
      </c>
      <c r="AQ116" s="164">
        <f>'TTM LE3'!I53</f>
        <v>78</v>
      </c>
      <c r="AR116" s="164">
        <f>'TTM LE3'!J53</f>
        <v>0</v>
      </c>
      <c r="AS116" s="164">
        <f>'TTM LE3'!K53</f>
        <v>90</v>
      </c>
      <c r="AT116" s="164">
        <f>'TTM LE3'!L53</f>
        <v>500</v>
      </c>
      <c r="AU116" s="114">
        <f>'TTM LE3'!M53</f>
        <v>2000</v>
      </c>
      <c r="AV116" s="113">
        <f>'TTM LE3'!N53</f>
        <v>0</v>
      </c>
      <c r="AW116" s="113">
        <f>'TTM LE3'!O53</f>
        <v>4000</v>
      </c>
      <c r="AX116" s="8">
        <f>'TTM LE3'!P53</f>
        <v>8275.07</v>
      </c>
      <c r="AY116" s="24">
        <f t="shared" si="80"/>
        <v>768</v>
      </c>
      <c r="AZ116" s="7" t="s">
        <v>360</v>
      </c>
      <c r="BA116" s="98"/>
      <c r="BB116" s="126">
        <v>4134.3499999999995</v>
      </c>
      <c r="BC116" s="123">
        <v>0</v>
      </c>
      <c r="BD116" s="115" cm="1">
        <f t="array" ref="BD116">_xlfn.IFS($B$3="LE1 2024",R116-BB116-BC116,$B$3="LE2 2024",AH116-BB116-BC116,$B$3="LE3 2024",AX116-BB116-BC116)</f>
        <v>4140.72</v>
      </c>
      <c r="BE116" s="98"/>
      <c r="BF116" s="113">
        <v>500</v>
      </c>
      <c r="BG116" s="114">
        <v>0</v>
      </c>
      <c r="BH116" s="113">
        <v>500</v>
      </c>
      <c r="BI116" s="114">
        <v>2500</v>
      </c>
      <c r="BJ116" s="113">
        <v>500</v>
      </c>
      <c r="BK116" s="114">
        <v>0</v>
      </c>
      <c r="BL116" s="113">
        <v>0</v>
      </c>
      <c r="BM116" s="114">
        <v>0</v>
      </c>
      <c r="BN116" s="113">
        <v>2500</v>
      </c>
      <c r="BO116" s="114">
        <v>500</v>
      </c>
      <c r="BP116" s="113">
        <v>0</v>
      </c>
      <c r="BQ116" s="114">
        <v>500</v>
      </c>
      <c r="BR116" s="8">
        <f t="shared" si="81"/>
        <v>7500</v>
      </c>
      <c r="BS116" s="24">
        <f t="shared" si="82"/>
        <v>-7.069999999999709</v>
      </c>
      <c r="BT116" s="7" t="s">
        <v>362</v>
      </c>
    </row>
    <row r="117" spans="2:72" s="6" customFormat="1" ht="22.15" hidden="1" customHeight="1" outlineLevel="1" x14ac:dyDescent="0.25">
      <c r="B117" s="9" t="s">
        <v>222</v>
      </c>
      <c r="C117" s="9" t="str">
        <f t="shared" si="74"/>
        <v>147900706028020</v>
      </c>
      <c r="D117" s="112">
        <v>0</v>
      </c>
      <c r="E117" s="112">
        <v>1000</v>
      </c>
      <c r="F117" s="113">
        <f>'TTM LE1'!D72</f>
        <v>0</v>
      </c>
      <c r="G117" s="114">
        <f>'TTM LE1'!E72</f>
        <v>0</v>
      </c>
      <c r="H117" s="113">
        <f>'TTM LE1'!F72</f>
        <v>200</v>
      </c>
      <c r="I117" s="114">
        <f>'TTM LE1'!G72</f>
        <v>200</v>
      </c>
      <c r="J117" s="113">
        <f>'TTM LE1'!H72</f>
        <v>0</v>
      </c>
      <c r="K117" s="114">
        <f>'TTM LE1'!I72</f>
        <v>200</v>
      </c>
      <c r="L117" s="113">
        <f>'TTM LE1'!J72</f>
        <v>0</v>
      </c>
      <c r="M117" s="114">
        <f>'TTM LE1'!K72</f>
        <v>200</v>
      </c>
      <c r="N117" s="113">
        <f>'TTM LE1'!L72</f>
        <v>0</v>
      </c>
      <c r="O117" s="114">
        <f>'TTM LE1'!M72</f>
        <v>200</v>
      </c>
      <c r="P117" s="113">
        <f>'TTM LE1'!N72</f>
        <v>0</v>
      </c>
      <c r="Q117" s="114">
        <f>'TTM LE1'!O72</f>
        <v>0</v>
      </c>
      <c r="R117" s="8">
        <f t="shared" si="75"/>
        <v>1000</v>
      </c>
      <c r="S117" s="24">
        <f t="shared" si="76"/>
        <v>0</v>
      </c>
      <c r="T117" s="7" t="s">
        <v>358</v>
      </c>
      <c r="U117" s="5"/>
      <c r="V117" s="112">
        <f>'TTM LE2'!D54</f>
        <v>0</v>
      </c>
      <c r="W117" s="112">
        <f>'TTM LE2'!E54</f>
        <v>0</v>
      </c>
      <c r="X117" s="112">
        <f>'TTM LE2'!F54</f>
        <v>0</v>
      </c>
      <c r="Y117" s="112">
        <f>'TTM LE2'!G54</f>
        <v>200</v>
      </c>
      <c r="Z117" s="112">
        <f>'TTM LE2'!H54</f>
        <v>0</v>
      </c>
      <c r="AA117" s="112">
        <f>'TTM LE2'!I54</f>
        <v>200</v>
      </c>
      <c r="AB117" s="113">
        <f>'TTM LE2'!J54</f>
        <v>0</v>
      </c>
      <c r="AC117" s="114">
        <f>'TTM LE2'!K54</f>
        <v>200</v>
      </c>
      <c r="AD117" s="113">
        <f>'TTM LE2'!L54</f>
        <v>0</v>
      </c>
      <c r="AE117" s="114">
        <f>'TTM LE2'!M54</f>
        <v>200</v>
      </c>
      <c r="AF117" s="113">
        <f>'TTM LE2'!N54</f>
        <v>0</v>
      </c>
      <c r="AG117" s="114">
        <f>'TTM LE2'!O54</f>
        <v>0</v>
      </c>
      <c r="AH117" s="8">
        <f t="shared" si="77"/>
        <v>800</v>
      </c>
      <c r="AI117" s="24">
        <f t="shared" si="78"/>
        <v>-200</v>
      </c>
      <c r="AJ117" s="7" t="s">
        <v>359</v>
      </c>
      <c r="AK117" s="98"/>
      <c r="AL117" s="164">
        <f>'TTM LE3'!D54</f>
        <v>0</v>
      </c>
      <c r="AM117" s="164">
        <f>'TTM LE3'!E54</f>
        <v>0</v>
      </c>
      <c r="AN117" s="164">
        <f>'TTM LE3'!F54</f>
        <v>0</v>
      </c>
      <c r="AO117" s="164">
        <f>'TTM LE3'!G54</f>
        <v>0</v>
      </c>
      <c r="AP117" s="164">
        <f>'TTM LE3'!H54</f>
        <v>0</v>
      </c>
      <c r="AQ117" s="164">
        <f>'TTM LE3'!I54</f>
        <v>0</v>
      </c>
      <c r="AR117" s="164">
        <f>'TTM LE3'!J54</f>
        <v>0</v>
      </c>
      <c r="AS117" s="164">
        <f>'TTM LE3'!K54</f>
        <v>399.48</v>
      </c>
      <c r="AT117" s="164">
        <f>'TTM LE3'!L54</f>
        <v>0</v>
      </c>
      <c r="AU117" s="114">
        <f>'TTM LE3'!M54</f>
        <v>200</v>
      </c>
      <c r="AV117" s="113">
        <f>'TTM LE3'!N54</f>
        <v>200</v>
      </c>
      <c r="AW117" s="113">
        <f>'TTM LE3'!O54</f>
        <v>200</v>
      </c>
      <c r="AX117" s="8">
        <f>'TTM LE3'!P54</f>
        <v>999.48</v>
      </c>
      <c r="AY117" s="24">
        <f t="shared" si="80"/>
        <v>199.48000000000002</v>
      </c>
      <c r="AZ117" s="7" t="s">
        <v>360</v>
      </c>
      <c r="BA117" s="98"/>
      <c r="BB117" s="126">
        <v>199.73999999999995</v>
      </c>
      <c r="BC117" s="123">
        <v>0</v>
      </c>
      <c r="BD117" s="115" cm="1">
        <f t="array" ref="BD117">_xlfn.IFS($B$3="LE1 2024",R117-BB117-BC117,$B$3="LE2 2024",AH117-BB117-BC117,$B$3="LE3 2024",AX117-BB117-BC117)</f>
        <v>799.74</v>
      </c>
      <c r="BE117" s="98"/>
      <c r="BF117" s="113">
        <v>0</v>
      </c>
      <c r="BG117" s="114">
        <v>0</v>
      </c>
      <c r="BH117" s="113">
        <v>200</v>
      </c>
      <c r="BI117" s="114">
        <v>0</v>
      </c>
      <c r="BJ117" s="113">
        <v>0</v>
      </c>
      <c r="BK117" s="114">
        <v>0</v>
      </c>
      <c r="BL117" s="113">
        <v>200</v>
      </c>
      <c r="BM117" s="114">
        <v>0</v>
      </c>
      <c r="BN117" s="113">
        <v>200</v>
      </c>
      <c r="BO117" s="114">
        <v>0</v>
      </c>
      <c r="BP117" s="113">
        <v>200</v>
      </c>
      <c r="BQ117" s="114">
        <v>0</v>
      </c>
      <c r="BR117" s="8">
        <f t="shared" si="81"/>
        <v>800</v>
      </c>
      <c r="BS117" s="24">
        <f t="shared" si="82"/>
        <v>0</v>
      </c>
      <c r="BT117" s="7" t="s">
        <v>362</v>
      </c>
    </row>
    <row r="118" spans="2:72" s="1" customFormat="1" ht="22.15" customHeight="1" collapsed="1" x14ac:dyDescent="0.25">
      <c r="B118" s="4" t="s">
        <v>224</v>
      </c>
      <c r="C118" s="4" t="s">
        <v>224</v>
      </c>
      <c r="D118" s="3">
        <f t="shared" ref="D118:E118" si="83">SUBTOTAL(9,D110:D117)</f>
        <v>102800.69999999997</v>
      </c>
      <c r="E118" s="3">
        <f t="shared" si="83"/>
        <v>99354.4</v>
      </c>
      <c r="F118" s="3">
        <f t="shared" ref="F118:S118" si="84">SUBTOTAL(9,F110:F117)</f>
        <v>10036.309999999998</v>
      </c>
      <c r="G118" s="3">
        <f t="shared" si="84"/>
        <v>704.28</v>
      </c>
      <c r="H118" s="3">
        <f t="shared" si="84"/>
        <v>1032.4099999999999</v>
      </c>
      <c r="I118" s="3">
        <f t="shared" si="84"/>
        <v>2200</v>
      </c>
      <c r="J118" s="3">
        <f t="shared" si="84"/>
        <v>300</v>
      </c>
      <c r="K118" s="3">
        <f t="shared" si="84"/>
        <v>14352</v>
      </c>
      <c r="L118" s="3">
        <f t="shared" si="84"/>
        <v>7620</v>
      </c>
      <c r="M118" s="3">
        <f t="shared" si="84"/>
        <v>500</v>
      </c>
      <c r="N118" s="3">
        <f t="shared" si="84"/>
        <v>16293.3</v>
      </c>
      <c r="O118" s="3">
        <f t="shared" si="84"/>
        <v>15433.3</v>
      </c>
      <c r="P118" s="3">
        <f t="shared" si="84"/>
        <v>13533.3</v>
      </c>
      <c r="Q118" s="3">
        <f t="shared" si="84"/>
        <v>2000</v>
      </c>
      <c r="R118" s="3">
        <f t="shared" si="84"/>
        <v>84004.9</v>
      </c>
      <c r="S118" s="3">
        <f t="shared" si="84"/>
        <v>-15349.499999999996</v>
      </c>
      <c r="T118" s="2"/>
      <c r="U118" s="5"/>
      <c r="V118" s="3">
        <f t="shared" ref="V118" si="85">SUBTOTAL(9,V110:V117)</f>
        <v>10036.309999999998</v>
      </c>
      <c r="W118" s="3">
        <f t="shared" ref="W118" si="86">SUBTOTAL(9,W110:W117)</f>
        <v>704.28</v>
      </c>
      <c r="X118" s="3">
        <f t="shared" ref="X118" si="87">SUBTOTAL(9,X110:X117)</f>
        <v>13632.049999999997</v>
      </c>
      <c r="Y118" s="3">
        <f t="shared" ref="Y118" si="88">SUBTOTAL(9,Y110:Y117)</f>
        <v>337</v>
      </c>
      <c r="Z118" s="3">
        <f t="shared" ref="Z118" si="89">SUBTOTAL(9,Z110:Z117)</f>
        <v>1267.1400000000001</v>
      </c>
      <c r="AA118" s="3">
        <f t="shared" ref="AA118" si="90">SUBTOTAL(9,AA110:AA117)</f>
        <v>14388.82</v>
      </c>
      <c r="AB118" s="3">
        <f t="shared" ref="AB118" si="91">SUBTOTAL(9,AB110:AB117)</f>
        <v>8123.18</v>
      </c>
      <c r="AC118" s="3">
        <f t="shared" ref="AC118" si="92">SUBTOTAL(9,AC110:AC117)</f>
        <v>500</v>
      </c>
      <c r="AD118" s="3">
        <f t="shared" ref="AD118" si="93">SUBTOTAL(9,AD110:AD117)</f>
        <v>14000</v>
      </c>
      <c r="AE118" s="3">
        <f t="shared" ref="AE118" si="94">SUBTOTAL(9,AE110:AE117)</f>
        <v>2200</v>
      </c>
      <c r="AF118" s="3">
        <f t="shared" ref="AF118" si="95">SUBTOTAL(9,AF110:AF117)</f>
        <v>13533.3</v>
      </c>
      <c r="AG118" s="3">
        <f t="shared" ref="AG118" si="96">SUBTOTAL(9,AG110:AG117)</f>
        <v>2000</v>
      </c>
      <c r="AH118" s="3">
        <f t="shared" ref="AH118" si="97">SUBTOTAL(9,AH110:AH117)</f>
        <v>80722.079999999987</v>
      </c>
      <c r="AI118" s="3">
        <f t="shared" ref="AI118" si="98">SUBTOTAL(9,AI110:AI117)</f>
        <v>-3282.8199999999997</v>
      </c>
      <c r="AJ118" s="2"/>
      <c r="AK118" s="98"/>
      <c r="AL118" s="3">
        <f t="shared" ref="AL118" si="99">SUBTOTAL(9,AL110:AL117)</f>
        <v>10036.309999999998</v>
      </c>
      <c r="AM118" s="3">
        <f t="shared" ref="AM118" si="100">SUBTOTAL(9,AM110:AM117)</f>
        <v>704.28</v>
      </c>
      <c r="AN118" s="3">
        <f t="shared" ref="AN118" si="101">SUBTOTAL(9,AN110:AN117)</f>
        <v>13632.049999999997</v>
      </c>
      <c r="AO118" s="3">
        <f t="shared" ref="AO118" si="102">SUBTOTAL(9,AO110:AO117)</f>
        <v>137</v>
      </c>
      <c r="AP118" s="3">
        <f t="shared" ref="AP118" si="103">SUBTOTAL(9,AP110:AP117)</f>
        <v>1267.1400000000001</v>
      </c>
      <c r="AQ118" s="3">
        <f t="shared" ref="AQ118" si="104">SUBTOTAL(9,AQ110:AQ117)</f>
        <v>13966.82</v>
      </c>
      <c r="AR118" s="3">
        <f t="shared" ref="AR118" si="105">SUBTOTAL(9,AR110:AR117)</f>
        <v>26289.64</v>
      </c>
      <c r="AS118" s="3">
        <f t="shared" ref="AS118" si="106">SUBTOTAL(9,AS110:AS117)</f>
        <v>489.48</v>
      </c>
      <c r="AT118" s="3">
        <f t="shared" ref="AT118" si="107">SUBTOTAL(9,AT110:AT117)</f>
        <v>3504</v>
      </c>
      <c r="AU118" s="3">
        <f t="shared" ref="AU118" si="108">SUBTOTAL(9,AU110:AU117)</f>
        <v>2200</v>
      </c>
      <c r="AV118" s="3">
        <f t="shared" ref="AV118" si="109">SUBTOTAL(9,AV110:AV117)</f>
        <v>15251.14</v>
      </c>
      <c r="AW118" s="3">
        <f t="shared" ref="AW118" si="110">SUBTOTAL(9,AW110:AW117)</f>
        <v>4200</v>
      </c>
      <c r="AX118" s="3">
        <f t="shared" ref="AX118" si="111">SUBTOTAL(9,AX110:AX117)</f>
        <v>91677.86</v>
      </c>
      <c r="AY118" s="3">
        <f t="shared" ref="AY118" si="112">SUBTOTAL(9,AY110:AY117)</f>
        <v>10955.779999999995</v>
      </c>
      <c r="AZ118" s="2"/>
      <c r="BA118" s="98"/>
      <c r="BB118" s="3">
        <f t="shared" ref="BB118" si="113">SUBTOTAL(9,BB110:BB117)</f>
        <v>113374.29000000001</v>
      </c>
      <c r="BC118" s="3">
        <f t="shared" ref="BC118" si="114">SUBTOTAL(9,BC110:BC117)</f>
        <v>0</v>
      </c>
      <c r="BD118" s="3">
        <f t="shared" ref="BD118" si="115">SUBTOTAL(9,BD110:BD117)</f>
        <v>-21696.430000000018</v>
      </c>
      <c r="BE118" s="98"/>
      <c r="BF118" s="3">
        <f t="shared" ref="BF118" si="116">SUBTOTAL(9,BF110:BF117)</f>
        <v>500</v>
      </c>
      <c r="BG118" s="3">
        <f t="shared" ref="BG118" si="117">SUBTOTAL(9,BG110:BG117)</f>
        <v>0</v>
      </c>
      <c r="BH118" s="3">
        <f t="shared" ref="BH118" si="118">SUBTOTAL(9,BH110:BH117)</f>
        <v>10783.2</v>
      </c>
      <c r="BI118" s="3">
        <f t="shared" ref="BI118" si="119">SUBTOTAL(9,BI110:BI117)</f>
        <v>2500</v>
      </c>
      <c r="BJ118" s="3">
        <f t="shared" ref="BJ118" si="120">SUBTOTAL(9,BJ110:BJ117)</f>
        <v>500</v>
      </c>
      <c r="BK118" s="3">
        <f t="shared" ref="BK118" si="121">SUBTOTAL(9,BK110:BK117)</f>
        <v>26886.6</v>
      </c>
      <c r="BL118" s="3">
        <f t="shared" ref="BL118" si="122">SUBTOTAL(9,BL110:BL117)</f>
        <v>13643.3</v>
      </c>
      <c r="BM118" s="3">
        <f t="shared" ref="BM118" si="123">SUBTOTAL(9,BM110:BM117)</f>
        <v>2000</v>
      </c>
      <c r="BN118" s="3">
        <f t="shared" ref="BN118" si="124">SUBTOTAL(9,BN110:BN117)</f>
        <v>38436.6</v>
      </c>
      <c r="BO118" s="3">
        <f t="shared" ref="BO118" si="125">SUBTOTAL(9,BO110:BO117)</f>
        <v>500</v>
      </c>
      <c r="BP118" s="3">
        <f t="shared" ref="BP118" si="126">SUBTOTAL(9,BP110:BP117)</f>
        <v>200</v>
      </c>
      <c r="BQ118" s="3">
        <f t="shared" ref="BQ118" si="127">SUBTOTAL(9,BQ110:BQ117)</f>
        <v>13943.3</v>
      </c>
      <c r="BR118" s="3">
        <f t="shared" ref="BR118" si="128">SUBTOTAL(9,BR110:BR117)</f>
        <v>109893</v>
      </c>
      <c r="BS118" s="3">
        <f t="shared" ref="BS118" si="129">SUBTOTAL(9,BS110:BS117)</f>
        <v>29170.920000000002</v>
      </c>
      <c r="BT118" s="2"/>
    </row>
    <row r="119" spans="2:72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147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98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98"/>
      <c r="BB119" s="5"/>
      <c r="BC119" s="5"/>
      <c r="BD119" s="5"/>
      <c r="BE119" s="98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</row>
    <row r="120" spans="2:72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98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98"/>
      <c r="BB120" s="5"/>
      <c r="BC120" s="5"/>
      <c r="BD120" s="5"/>
      <c r="BE120" s="98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</row>
    <row r="121" spans="2:72" ht="75" x14ac:dyDescent="0.25">
      <c r="B121" s="137" t="s">
        <v>203</v>
      </c>
      <c r="C121" s="135"/>
      <c r="D121" s="124" t="s">
        <v>367</v>
      </c>
      <c r="E121" s="49" t="s">
        <v>186</v>
      </c>
      <c r="F121" s="45" t="s">
        <v>64</v>
      </c>
      <c r="G121" s="45" t="s">
        <v>63</v>
      </c>
      <c r="H121" s="45" t="s">
        <v>62</v>
      </c>
      <c r="I121" s="45" t="s">
        <v>61</v>
      </c>
      <c r="J121" s="45" t="s">
        <v>60</v>
      </c>
      <c r="K121" s="45" t="s">
        <v>59</v>
      </c>
      <c r="L121" s="45" t="s">
        <v>58</v>
      </c>
      <c r="M121" s="45" t="s">
        <v>57</v>
      </c>
      <c r="N121" s="45" t="s">
        <v>56</v>
      </c>
      <c r="O121" s="45" t="s">
        <v>55</v>
      </c>
      <c r="P121" s="45" t="s">
        <v>54</v>
      </c>
      <c r="Q121" s="45" t="s">
        <v>53</v>
      </c>
      <c r="R121" s="130" t="s">
        <v>364</v>
      </c>
      <c r="S121" s="109" t="s">
        <v>368</v>
      </c>
      <c r="T121" s="5"/>
      <c r="U121" s="5"/>
      <c r="V121" s="45" t="s">
        <v>64</v>
      </c>
      <c r="W121" s="45" t="s">
        <v>63</v>
      </c>
      <c r="X121" s="45" t="s">
        <v>62</v>
      </c>
      <c r="Y121" s="45" t="s">
        <v>61</v>
      </c>
      <c r="Z121" s="45" t="s">
        <v>60</v>
      </c>
      <c r="AA121" s="45" t="s">
        <v>59</v>
      </c>
      <c r="AB121" s="45" t="s">
        <v>58</v>
      </c>
      <c r="AC121" s="45" t="s">
        <v>57</v>
      </c>
      <c r="AD121" s="45" t="s">
        <v>56</v>
      </c>
      <c r="AE121" s="45" t="s">
        <v>55</v>
      </c>
      <c r="AF121" s="45" t="s">
        <v>54</v>
      </c>
      <c r="AG121" s="45" t="s">
        <v>53</v>
      </c>
      <c r="AH121" s="108" t="s">
        <v>365</v>
      </c>
      <c r="AI121" s="109" t="s">
        <v>369</v>
      </c>
      <c r="AJ121" s="5"/>
      <c r="AK121" s="98"/>
      <c r="AL121" s="45" t="s">
        <v>64</v>
      </c>
      <c r="AM121" s="45" t="s">
        <v>63</v>
      </c>
      <c r="AN121" s="45" t="s">
        <v>62</v>
      </c>
      <c r="AO121" s="45" t="s">
        <v>61</v>
      </c>
      <c r="AP121" s="45" t="s">
        <v>60</v>
      </c>
      <c r="AQ121" s="45" t="s">
        <v>59</v>
      </c>
      <c r="AR121" s="45" t="s">
        <v>58</v>
      </c>
      <c r="AS121" s="45" t="s">
        <v>57</v>
      </c>
      <c r="AT121" s="45" t="s">
        <v>56</v>
      </c>
      <c r="AU121" s="45" t="s">
        <v>55</v>
      </c>
      <c r="AV121" s="45" t="s">
        <v>54</v>
      </c>
      <c r="AW121" s="45" t="s">
        <v>53</v>
      </c>
      <c r="AX121" s="108" t="s">
        <v>365</v>
      </c>
      <c r="AY121" s="109" t="s">
        <v>370</v>
      </c>
      <c r="AZ121" s="5"/>
      <c r="BA121" s="98"/>
      <c r="BB121" s="127" t="s">
        <v>371</v>
      </c>
      <c r="BC121" s="127" t="s">
        <v>355</v>
      </c>
      <c r="BD121" s="128" t="s">
        <v>356</v>
      </c>
      <c r="BE121" s="98"/>
      <c r="BF121" s="45" t="s">
        <v>64</v>
      </c>
      <c r="BG121" s="45" t="s">
        <v>63</v>
      </c>
      <c r="BH121" s="45" t="s">
        <v>62</v>
      </c>
      <c r="BI121" s="45" t="s">
        <v>61</v>
      </c>
      <c r="BJ121" s="45" t="s">
        <v>60</v>
      </c>
      <c r="BK121" s="45" t="s">
        <v>59</v>
      </c>
      <c r="BL121" s="45" t="s">
        <v>58</v>
      </c>
      <c r="BM121" s="45" t="s">
        <v>57</v>
      </c>
      <c r="BN121" s="45" t="s">
        <v>56</v>
      </c>
      <c r="BO121" s="45" t="s">
        <v>55</v>
      </c>
      <c r="BP121" s="45" t="s">
        <v>54</v>
      </c>
      <c r="BQ121" s="45" t="s">
        <v>53</v>
      </c>
      <c r="BR121" s="108" t="s">
        <v>389</v>
      </c>
      <c r="BS121" s="109" t="s">
        <v>390</v>
      </c>
      <c r="BT121" s="5"/>
    </row>
    <row r="122" spans="2:72" ht="18.75" x14ac:dyDescent="0.3">
      <c r="B122" s="138" t="s">
        <v>223</v>
      </c>
      <c r="C122" s="135"/>
      <c r="D122" s="50">
        <f t="shared" ref="D122:E122" si="130">D12+D66+D76+D84+D107+D118</f>
        <v>3229932.7500000005</v>
      </c>
      <c r="E122" s="50">
        <f t="shared" si="130"/>
        <v>3310238.761712133</v>
      </c>
      <c r="F122" s="46">
        <f t="shared" ref="F122:Q122" si="131">F12+F66+F76+F84+F107+F118</f>
        <v>189607.13999999998</v>
      </c>
      <c r="G122" s="46">
        <f t="shared" si="131"/>
        <v>213098.94999999998</v>
      </c>
      <c r="H122" s="46">
        <f t="shared" si="131"/>
        <v>236067.24</v>
      </c>
      <c r="I122" s="46">
        <f t="shared" si="131"/>
        <v>300611.20999999996</v>
      </c>
      <c r="J122" s="46">
        <f t="shared" si="131"/>
        <v>284758.03000000003</v>
      </c>
      <c r="K122" s="46">
        <f t="shared" si="131"/>
        <v>337010</v>
      </c>
      <c r="L122" s="46">
        <f t="shared" si="131"/>
        <v>313572.15000000002</v>
      </c>
      <c r="M122" s="46">
        <f t="shared" si="131"/>
        <v>304571.13</v>
      </c>
      <c r="N122" s="46">
        <f t="shared" si="131"/>
        <v>289984.45</v>
      </c>
      <c r="O122" s="46">
        <f t="shared" si="131"/>
        <v>278026.65999999997</v>
      </c>
      <c r="P122" s="46">
        <f t="shared" si="131"/>
        <v>265034.69</v>
      </c>
      <c r="Q122" s="46">
        <f t="shared" si="131"/>
        <v>14892.279999999999</v>
      </c>
      <c r="R122" s="46">
        <f>SUM(F122:Q122)</f>
        <v>3027233.9299999997</v>
      </c>
      <c r="S122" s="51">
        <f>R122-E122</f>
        <v>-283004.83171213325</v>
      </c>
      <c r="T122" s="5"/>
      <c r="U122" s="5"/>
      <c r="V122" s="46">
        <f t="shared" ref="V122:AG122" si="132">V12+V66+V76+V84+V107+V118</f>
        <v>189607.13999999998</v>
      </c>
      <c r="W122" s="46">
        <f t="shared" si="132"/>
        <v>213098.94999999998</v>
      </c>
      <c r="X122" s="46">
        <f t="shared" si="132"/>
        <v>248666.87999999998</v>
      </c>
      <c r="Y122" s="46">
        <f t="shared" si="132"/>
        <v>281474.75</v>
      </c>
      <c r="Z122" s="46">
        <f t="shared" si="132"/>
        <v>274727.90999999997</v>
      </c>
      <c r="AA122" s="46">
        <f t="shared" si="132"/>
        <v>213632.61999999997</v>
      </c>
      <c r="AB122" s="46">
        <f t="shared" si="132"/>
        <v>383225.67483333329</v>
      </c>
      <c r="AC122" s="46">
        <f t="shared" si="132"/>
        <v>303188.28333333327</v>
      </c>
      <c r="AD122" s="46">
        <f t="shared" si="132"/>
        <v>277741.19333333336</v>
      </c>
      <c r="AE122" s="46">
        <f t="shared" si="132"/>
        <v>251501.79</v>
      </c>
      <c r="AF122" s="46">
        <f t="shared" si="132"/>
        <v>312937.26999999996</v>
      </c>
      <c r="AG122" s="46">
        <f t="shared" si="132"/>
        <v>299268.7699999999</v>
      </c>
      <c r="AH122" s="46">
        <f>SUM(V122:AG122)</f>
        <v>3249071.2314999998</v>
      </c>
      <c r="AI122" s="51">
        <f>AH122-U122</f>
        <v>3249071.2314999998</v>
      </c>
      <c r="AJ122" s="5"/>
      <c r="AK122" s="98"/>
      <c r="AL122" s="46">
        <f t="shared" ref="AL122:AW122" si="133">AL12+AL66+AL76+AL84+AL107+AL118</f>
        <v>189607.13999999998</v>
      </c>
      <c r="AM122" s="46">
        <f t="shared" si="133"/>
        <v>213098.94999999998</v>
      </c>
      <c r="AN122" s="46">
        <f t="shared" si="133"/>
        <v>248666.87999999998</v>
      </c>
      <c r="AO122" s="46">
        <f t="shared" si="133"/>
        <v>281274.75</v>
      </c>
      <c r="AP122" s="46">
        <f t="shared" si="133"/>
        <v>274727.90999999997</v>
      </c>
      <c r="AQ122" s="46">
        <f t="shared" si="133"/>
        <v>213210.61999999997</v>
      </c>
      <c r="AR122" s="46">
        <f t="shared" si="133"/>
        <v>333472.65000000008</v>
      </c>
      <c r="AS122" s="46">
        <f t="shared" si="133"/>
        <v>204577.63000000003</v>
      </c>
      <c r="AT122" s="46">
        <f t="shared" si="133"/>
        <v>275291.90000000002</v>
      </c>
      <c r="AU122" s="46">
        <f t="shared" si="133"/>
        <v>265583.63416666671</v>
      </c>
      <c r="AV122" s="46">
        <f t="shared" si="133"/>
        <v>302599.80000000005</v>
      </c>
      <c r="AW122" s="46">
        <f t="shared" si="133"/>
        <v>333761.21000000008</v>
      </c>
      <c r="AX122" s="46">
        <f>SUM(AL122:AW122)</f>
        <v>3135873.0741666667</v>
      </c>
      <c r="AY122" s="51">
        <f>AX122-AK122</f>
        <v>3135873.0741666667</v>
      </c>
      <c r="AZ122" s="5"/>
      <c r="BA122" s="98"/>
      <c r="BB122" s="46">
        <f t="shared" ref="BB122:BD122" si="134">BB12+BB66+BB76+BB84+BB107+BB118</f>
        <v>3102303.15</v>
      </c>
      <c r="BC122" s="46">
        <f t="shared" si="134"/>
        <v>0</v>
      </c>
      <c r="BD122" s="46">
        <f t="shared" si="134"/>
        <v>33569.924166666489</v>
      </c>
      <c r="BE122" s="98"/>
      <c r="BF122" s="46">
        <f t="shared" ref="BF122:BQ122" si="135">BF12+BF66+BF76+BF84+BF107+BF118</f>
        <v>224589.62666666665</v>
      </c>
      <c r="BG122" s="46">
        <f t="shared" si="135"/>
        <v>222989.68666666665</v>
      </c>
      <c r="BH122" s="46">
        <f t="shared" si="135"/>
        <v>322144.45666666672</v>
      </c>
      <c r="BI122" s="46">
        <f t="shared" si="135"/>
        <v>270149.33666666673</v>
      </c>
      <c r="BJ122" s="46">
        <f t="shared" si="135"/>
        <v>271057.46666666673</v>
      </c>
      <c r="BK122" s="46">
        <f t="shared" si="135"/>
        <v>268769.90666666662</v>
      </c>
      <c r="BL122" s="46">
        <f t="shared" si="135"/>
        <v>297676.60666666669</v>
      </c>
      <c r="BM122" s="46">
        <f t="shared" si="135"/>
        <v>268225.6166666667</v>
      </c>
      <c r="BN122" s="46">
        <f t="shared" si="135"/>
        <v>280696.44666666666</v>
      </c>
      <c r="BO122" s="46">
        <f t="shared" si="135"/>
        <v>238109.05666666664</v>
      </c>
      <c r="BP122" s="46">
        <f t="shared" si="135"/>
        <v>237159.05666666664</v>
      </c>
      <c r="BQ122" s="46">
        <f t="shared" si="135"/>
        <v>253141.99868583339</v>
      </c>
      <c r="BR122" s="46">
        <f>SUM(BF122:BQ122)</f>
        <v>3154709.2620191667</v>
      </c>
      <c r="BS122" s="51">
        <f>BR122-BE122</f>
        <v>3154709.2620191667</v>
      </c>
      <c r="BT122" s="5"/>
    </row>
    <row r="123" spans="2:72" x14ac:dyDescent="0.25">
      <c r="B123" s="5"/>
      <c r="C123" s="5"/>
      <c r="D123" s="53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98"/>
      <c r="AL123" s="181"/>
      <c r="AM123" s="181"/>
      <c r="AN123" s="181"/>
      <c r="AO123" s="181"/>
      <c r="AP123" s="181"/>
      <c r="AQ123" s="181"/>
      <c r="AR123" s="181"/>
      <c r="AS123" s="181"/>
      <c r="AT123" s="181"/>
      <c r="AU123" s="181"/>
      <c r="AV123" s="181"/>
      <c r="AW123" s="181"/>
      <c r="AX123" s="5"/>
      <c r="AY123" s="5"/>
      <c r="AZ123" s="5"/>
      <c r="BA123" s="98"/>
      <c r="BB123" s="5"/>
      <c r="BC123" s="5"/>
      <c r="BD123" s="53"/>
      <c r="BE123" s="98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</row>
    <row r="124" spans="2:72" ht="18.75" x14ac:dyDescent="0.3">
      <c r="B124" s="139" t="s">
        <v>361</v>
      </c>
      <c r="C124" s="135"/>
      <c r="D124" s="50">
        <f t="shared" ref="D124:S124" si="136">D122-D66</f>
        <v>524619.39000000013</v>
      </c>
      <c r="E124" s="50">
        <f t="shared" si="136"/>
        <v>417152.08999999985</v>
      </c>
      <c r="F124" s="136">
        <f t="shared" si="136"/>
        <v>13731.929999999993</v>
      </c>
      <c r="G124" s="136">
        <f t="shared" si="136"/>
        <v>8531.5</v>
      </c>
      <c r="H124" s="136">
        <f t="shared" si="136"/>
        <v>12880.020000000019</v>
      </c>
      <c r="I124" s="136">
        <f t="shared" si="136"/>
        <v>21361.849999999977</v>
      </c>
      <c r="J124" s="136">
        <f t="shared" si="136"/>
        <v>33817.450000000012</v>
      </c>
      <c r="K124" s="136">
        <f t="shared" si="136"/>
        <v>99069.419999999984</v>
      </c>
      <c r="L124" s="136">
        <f t="shared" si="136"/>
        <v>64533.570000000007</v>
      </c>
      <c r="M124" s="136">
        <f t="shared" si="136"/>
        <v>67587.430000000022</v>
      </c>
      <c r="N124" s="136">
        <f t="shared" si="136"/>
        <v>53910.750000000029</v>
      </c>
      <c r="O124" s="136">
        <f t="shared" si="136"/>
        <v>43050.719999999972</v>
      </c>
      <c r="P124" s="136">
        <f t="shared" si="136"/>
        <v>36150.75</v>
      </c>
      <c r="Q124" s="136">
        <f t="shared" si="136"/>
        <v>14515.82</v>
      </c>
      <c r="R124" s="136">
        <f t="shared" si="136"/>
        <v>469141.20999999996</v>
      </c>
      <c r="S124" s="136">
        <f t="shared" si="136"/>
        <v>51989.120000000228</v>
      </c>
      <c r="T124" s="5"/>
      <c r="U124" s="5"/>
      <c r="V124" s="136">
        <f t="shared" ref="V124:AH124" si="137">V122-V66</f>
        <v>13731.929999999993</v>
      </c>
      <c r="W124" s="136">
        <f t="shared" si="137"/>
        <v>8531.5</v>
      </c>
      <c r="X124" s="136">
        <f t="shared" si="137"/>
        <v>25479.660000000003</v>
      </c>
      <c r="Y124" s="136">
        <f t="shared" si="137"/>
        <v>49959.700000000012</v>
      </c>
      <c r="Z124" s="136">
        <f t="shared" si="137"/>
        <v>8877.2999999999884</v>
      </c>
      <c r="AA124" s="136">
        <f t="shared" si="137"/>
        <v>-3262.9100000000035</v>
      </c>
      <c r="AB124" s="136">
        <f t="shared" si="137"/>
        <v>112828.69</v>
      </c>
      <c r="AC124" s="136">
        <f t="shared" si="137"/>
        <v>77608.059999999939</v>
      </c>
      <c r="AD124" s="136">
        <f t="shared" si="137"/>
        <v>54070.97000000003</v>
      </c>
      <c r="AE124" s="136">
        <f t="shared" si="137"/>
        <v>17370.950000000012</v>
      </c>
      <c r="AF124" s="136">
        <f t="shared" si="137"/>
        <v>93983.139999999985</v>
      </c>
      <c r="AG124" s="136">
        <f t="shared" si="137"/>
        <v>14003.130000000005</v>
      </c>
      <c r="AH124" s="136">
        <f t="shared" si="137"/>
        <v>473182.11999999965</v>
      </c>
      <c r="AI124" s="136">
        <f>AI122-AI66</f>
        <v>3031274.84</v>
      </c>
      <c r="AJ124" s="5"/>
      <c r="AK124" s="98"/>
      <c r="AL124" s="136">
        <f t="shared" ref="AL124:AY124" si="138">AL122-AL66</f>
        <v>13731.929999999993</v>
      </c>
      <c r="AM124" s="136">
        <f t="shared" si="138"/>
        <v>8531.5</v>
      </c>
      <c r="AN124" s="136">
        <f t="shared" si="138"/>
        <v>25479.660000000003</v>
      </c>
      <c r="AO124" s="136">
        <f t="shared" si="138"/>
        <v>49759.700000000012</v>
      </c>
      <c r="AP124" s="136">
        <f t="shared" si="138"/>
        <v>8877.2999999999884</v>
      </c>
      <c r="AQ124" s="136">
        <f t="shared" si="138"/>
        <v>-3684.9100000000035</v>
      </c>
      <c r="AR124" s="136">
        <f t="shared" si="138"/>
        <v>78344.180000000051</v>
      </c>
      <c r="AS124" s="136">
        <f t="shared" si="138"/>
        <v>-2093.1599999999744</v>
      </c>
      <c r="AT124" s="136">
        <f t="shared" si="138"/>
        <v>60678.330000000016</v>
      </c>
      <c r="AU124" s="136">
        <f t="shared" si="138"/>
        <v>86390.950000000012</v>
      </c>
      <c r="AV124" s="136">
        <f t="shared" si="138"/>
        <v>65799.500000000029</v>
      </c>
      <c r="AW124" s="136">
        <f t="shared" si="138"/>
        <v>51545.150000000023</v>
      </c>
      <c r="AX124" s="136">
        <f t="shared" si="138"/>
        <v>443360.12999999989</v>
      </c>
      <c r="AY124" s="136">
        <f t="shared" si="138"/>
        <v>3219249.2415</v>
      </c>
      <c r="AZ124" s="5"/>
      <c r="BA124" s="98"/>
      <c r="BB124" s="136">
        <f>BB122-BB66</f>
        <v>385774.56999999983</v>
      </c>
      <c r="BC124" s="136">
        <f t="shared" ref="BC124:BD124" si="139">BC122-BC66</f>
        <v>0</v>
      </c>
      <c r="BD124" s="136">
        <f t="shared" si="139"/>
        <v>57585.559999999939</v>
      </c>
      <c r="BE124" s="98"/>
      <c r="BF124" s="136">
        <f t="shared" ref="BF124:BS124" si="140">BF122-BF66</f>
        <v>8784.5666666666511</v>
      </c>
      <c r="BG124" s="136">
        <f t="shared" si="140"/>
        <v>7484.5666666666511</v>
      </c>
      <c r="BH124" s="136">
        <f t="shared" si="140"/>
        <v>53617.766666666721</v>
      </c>
      <c r="BI124" s="136">
        <f t="shared" si="140"/>
        <v>44084.566666666709</v>
      </c>
      <c r="BJ124" s="136">
        <f t="shared" si="140"/>
        <v>27484.566666666709</v>
      </c>
      <c r="BK124" s="136">
        <f t="shared" si="140"/>
        <v>43671.166666666628</v>
      </c>
      <c r="BL124" s="136">
        <f t="shared" si="140"/>
        <v>71377.866666666698</v>
      </c>
      <c r="BM124" s="136">
        <f t="shared" si="140"/>
        <v>43284.566666666709</v>
      </c>
      <c r="BN124" s="136">
        <f t="shared" si="140"/>
        <v>55921.166666666628</v>
      </c>
      <c r="BO124" s="136">
        <f t="shared" si="140"/>
        <v>12234.566666666651</v>
      </c>
      <c r="BP124" s="136">
        <f t="shared" si="140"/>
        <v>12184.566666666651</v>
      </c>
      <c r="BQ124" s="136">
        <f t="shared" si="140"/>
        <v>22077.86666666664</v>
      </c>
      <c r="BR124" s="136">
        <f t="shared" si="140"/>
        <v>402207.79999999981</v>
      </c>
      <c r="BS124" s="136">
        <f t="shared" si="140"/>
        <v>3178096.9114999995</v>
      </c>
      <c r="BT124" s="5"/>
    </row>
    <row r="125" spans="2:72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182"/>
      <c r="AM125" s="182"/>
      <c r="AN125" s="182"/>
      <c r="AO125" s="182"/>
      <c r="AP125" s="182"/>
      <c r="AQ125" s="182"/>
      <c r="AR125" s="182"/>
      <c r="AS125" s="182"/>
      <c r="AT125" s="182"/>
      <c r="AU125" s="182"/>
      <c r="AV125" s="182"/>
      <c r="AW125" s="182"/>
      <c r="AX125" s="182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</row>
    <row r="126" spans="2:72" ht="18.75" x14ac:dyDescent="0.25">
      <c r="B126" s="26" t="s">
        <v>206</v>
      </c>
      <c r="C126" s="188" t="s">
        <v>391</v>
      </c>
      <c r="D126" s="188" t="s">
        <v>392</v>
      </c>
      <c r="E126" s="188" t="s">
        <v>392</v>
      </c>
      <c r="F126" s="27" t="s">
        <v>64</v>
      </c>
      <c r="G126" s="27" t="s">
        <v>63</v>
      </c>
      <c r="H126" s="27" t="s">
        <v>62</v>
      </c>
      <c r="I126" s="27" t="s">
        <v>61</v>
      </c>
      <c r="J126" s="27" t="s">
        <v>60</v>
      </c>
      <c r="K126" s="27" t="s">
        <v>59</v>
      </c>
      <c r="L126" s="27" t="s">
        <v>58</v>
      </c>
      <c r="M126" s="27" t="s">
        <v>57</v>
      </c>
      <c r="N126" s="27" t="s">
        <v>56</v>
      </c>
      <c r="O126" s="27" t="s">
        <v>55</v>
      </c>
      <c r="P126" s="27" t="s">
        <v>54</v>
      </c>
      <c r="Q126" s="27" t="s">
        <v>53</v>
      </c>
      <c r="R126" s="27" t="s">
        <v>52</v>
      </c>
      <c r="S126" s="5"/>
      <c r="T126" s="5"/>
      <c r="U126" s="5"/>
      <c r="V126" s="27" t="s">
        <v>64</v>
      </c>
      <c r="W126" s="27" t="s">
        <v>63</v>
      </c>
      <c r="X126" s="27" t="s">
        <v>62</v>
      </c>
      <c r="Y126" s="27" t="s">
        <v>61</v>
      </c>
      <c r="Z126" s="27" t="s">
        <v>60</v>
      </c>
      <c r="AA126" s="27" t="s">
        <v>59</v>
      </c>
      <c r="AB126" s="27" t="s">
        <v>58</v>
      </c>
      <c r="AC126" s="27" t="s">
        <v>57</v>
      </c>
      <c r="AD126" s="27" t="s">
        <v>56</v>
      </c>
      <c r="AE126" s="27" t="s">
        <v>55</v>
      </c>
      <c r="AF126" s="27" t="s">
        <v>54</v>
      </c>
      <c r="AG126" s="27" t="s">
        <v>53</v>
      </c>
      <c r="AH126" s="5"/>
      <c r="AI126" s="5"/>
      <c r="AJ126" s="5"/>
      <c r="AK126" s="5"/>
      <c r="AL126" s="27" t="s">
        <v>64</v>
      </c>
      <c r="AM126" s="27" t="s">
        <v>63</v>
      </c>
      <c r="AN126" s="27" t="s">
        <v>62</v>
      </c>
      <c r="AO126" s="27" t="s">
        <v>61</v>
      </c>
      <c r="AP126" s="27" t="s">
        <v>60</v>
      </c>
      <c r="AQ126" s="27" t="s">
        <v>59</v>
      </c>
      <c r="AR126" s="27" t="s">
        <v>58</v>
      </c>
      <c r="AS126" s="27" t="s">
        <v>57</v>
      </c>
      <c r="AT126" s="27" t="s">
        <v>56</v>
      </c>
      <c r="AU126" s="27" t="s">
        <v>55</v>
      </c>
      <c r="AV126" s="27" t="s">
        <v>54</v>
      </c>
      <c r="AW126" s="27" t="s">
        <v>53</v>
      </c>
      <c r="AX126" s="27" t="s">
        <v>52</v>
      </c>
      <c r="AY126" s="5"/>
      <c r="AZ126" s="5"/>
      <c r="BA126" s="5"/>
      <c r="BB126" s="5"/>
      <c r="BC126" s="5"/>
      <c r="BD126" s="5"/>
      <c r="BE126" s="5"/>
      <c r="BF126" s="27" t="s">
        <v>64</v>
      </c>
      <c r="BG126" s="27" t="s">
        <v>63</v>
      </c>
      <c r="BH126" s="27" t="s">
        <v>62</v>
      </c>
      <c r="BI126" s="27" t="s">
        <v>61</v>
      </c>
      <c r="BJ126" s="27" t="s">
        <v>60</v>
      </c>
      <c r="BK126" s="27" t="s">
        <v>59</v>
      </c>
      <c r="BL126" s="27" t="s">
        <v>58</v>
      </c>
      <c r="BM126" s="27" t="s">
        <v>57</v>
      </c>
      <c r="BN126" s="27" t="s">
        <v>56</v>
      </c>
      <c r="BO126" s="27" t="s">
        <v>55</v>
      </c>
      <c r="BP126" s="27" t="s">
        <v>54</v>
      </c>
      <c r="BQ126" s="27" t="s">
        <v>53</v>
      </c>
      <c r="BR126" s="27" t="s">
        <v>52</v>
      </c>
      <c r="BS126" s="5"/>
      <c r="BT126" s="5"/>
    </row>
    <row r="127" spans="2:72" x14ac:dyDescent="0.25">
      <c r="B127" s="35" t="s">
        <v>210</v>
      </c>
      <c r="C127" s="28" t="str">
        <f>LEFT($B$4,8)&amp;B127</f>
        <v>14790070External Analysis</v>
      </c>
      <c r="D127" s="28"/>
      <c r="E127" s="28"/>
      <c r="F127" s="29">
        <v>260</v>
      </c>
      <c r="G127" s="29">
        <v>1040</v>
      </c>
      <c r="H127" s="29"/>
      <c r="I127" s="29">
        <v>700</v>
      </c>
      <c r="J127" s="29">
        <v>500</v>
      </c>
      <c r="K127" s="29">
        <v>620</v>
      </c>
      <c r="L127" s="29">
        <v>200</v>
      </c>
      <c r="M127" s="29"/>
      <c r="N127" s="29"/>
      <c r="O127" s="29">
        <v>210</v>
      </c>
      <c r="P127" s="29">
        <v>210</v>
      </c>
      <c r="Q127" s="29">
        <v>210</v>
      </c>
      <c r="R127" s="30">
        <f>SUM(F127:Q127)</f>
        <v>3950</v>
      </c>
      <c r="S127" s="5"/>
      <c r="T127" s="5"/>
      <c r="U127" s="5"/>
      <c r="V127" s="29">
        <v>260</v>
      </c>
      <c r="W127" s="29">
        <v>1040</v>
      </c>
      <c r="X127" s="29">
        <v>-550</v>
      </c>
      <c r="Y127" s="29">
        <v>1330</v>
      </c>
      <c r="Z127" s="29">
        <v>220</v>
      </c>
      <c r="AA127" s="29">
        <v>1120</v>
      </c>
      <c r="AB127" s="29">
        <v>0</v>
      </c>
      <c r="AC127" s="29">
        <v>0</v>
      </c>
      <c r="AD127" s="29">
        <v>0</v>
      </c>
      <c r="AE127" s="29">
        <v>550</v>
      </c>
      <c r="AF127" s="29">
        <v>550</v>
      </c>
      <c r="AG127" s="29">
        <v>550</v>
      </c>
      <c r="AH127" s="5"/>
      <c r="AI127" s="5"/>
      <c r="AJ127" s="5"/>
      <c r="AK127" s="5"/>
      <c r="AL127" s="29">
        <v>260</v>
      </c>
      <c r="AM127" s="29">
        <v>1040</v>
      </c>
      <c r="AN127" s="29">
        <v>-550</v>
      </c>
      <c r="AO127" s="29">
        <v>1330</v>
      </c>
      <c r="AP127" s="29">
        <v>220</v>
      </c>
      <c r="AQ127" s="29">
        <v>280</v>
      </c>
      <c r="AR127" s="29">
        <v>2220</v>
      </c>
      <c r="AS127" s="29">
        <v>140</v>
      </c>
      <c r="AT127" s="29">
        <v>1700</v>
      </c>
      <c r="AU127" s="29">
        <v>1220</v>
      </c>
      <c r="AV127" s="29">
        <v>1220</v>
      </c>
      <c r="AW127" s="29">
        <v>470</v>
      </c>
      <c r="AX127" s="30">
        <f>SUM(AL127:AW127)</f>
        <v>9550</v>
      </c>
      <c r="AY127" s="5"/>
      <c r="AZ127" s="5"/>
      <c r="BA127" s="5"/>
      <c r="BB127" s="5"/>
      <c r="BC127" s="5"/>
      <c r="BD127" s="5"/>
      <c r="BE127" s="5"/>
      <c r="BF127" s="29">
        <v>0</v>
      </c>
      <c r="BG127" s="29">
        <v>0</v>
      </c>
      <c r="BH127" s="29">
        <v>0</v>
      </c>
      <c r="BI127" s="29">
        <v>0</v>
      </c>
      <c r="BJ127" s="29">
        <v>0</v>
      </c>
      <c r="BK127" s="29">
        <v>0</v>
      </c>
      <c r="BL127" s="29">
        <v>0</v>
      </c>
      <c r="BM127" s="29">
        <v>0</v>
      </c>
      <c r="BN127" s="29">
        <v>0</v>
      </c>
      <c r="BO127" s="29">
        <v>0</v>
      </c>
      <c r="BP127" s="29">
        <v>0</v>
      </c>
      <c r="BQ127" s="29">
        <v>0</v>
      </c>
      <c r="BR127" s="30">
        <f>SUM(BF127:BQ127)</f>
        <v>0</v>
      </c>
      <c r="BS127" s="5"/>
      <c r="BT127" s="5"/>
    </row>
    <row r="128" spans="2:72" x14ac:dyDescent="0.25">
      <c r="B128" s="35" t="s">
        <v>211</v>
      </c>
      <c r="C128" s="28" t="str">
        <f>LEFT($B$4,8)&amp;B128</f>
        <v>14790070Materials and shipping</v>
      </c>
      <c r="D128" s="28"/>
      <c r="E128" s="28"/>
      <c r="F128" s="29">
        <v>-280</v>
      </c>
      <c r="G128" s="29">
        <v>3290</v>
      </c>
      <c r="H128" s="29">
        <v>10449</v>
      </c>
      <c r="I128" s="29">
        <v>6363</v>
      </c>
      <c r="J128" s="29">
        <v>30662</v>
      </c>
      <c r="K128" s="29">
        <v>61662</v>
      </c>
      <c r="L128" s="29">
        <v>57966</v>
      </c>
      <c r="M128" s="29">
        <v>50769</v>
      </c>
      <c r="N128" s="29">
        <v>37384</v>
      </c>
      <c r="O128" s="29">
        <v>37584</v>
      </c>
      <c r="P128" s="29">
        <v>2584</v>
      </c>
      <c r="Q128" s="29">
        <v>4822</v>
      </c>
      <c r="R128" s="30">
        <f t="shared" ref="R128:R129" si="141">SUM(F128:Q128)</f>
        <v>303255</v>
      </c>
      <c r="S128" s="5"/>
      <c r="T128" s="5"/>
      <c r="U128" s="5"/>
      <c r="V128" s="29">
        <v>-260</v>
      </c>
      <c r="W128" s="29">
        <v>3290</v>
      </c>
      <c r="X128" s="29">
        <v>8590</v>
      </c>
      <c r="Y128" s="29">
        <v>27410</v>
      </c>
      <c r="Z128" s="29">
        <v>1790</v>
      </c>
      <c r="AA128" s="29">
        <v>22860</v>
      </c>
      <c r="AB128" s="29">
        <v>54590</v>
      </c>
      <c r="AC128" s="29">
        <v>56000</v>
      </c>
      <c r="AD128" s="29">
        <v>3230</v>
      </c>
      <c r="AE128" s="29">
        <v>10200</v>
      </c>
      <c r="AF128" s="29">
        <v>45200</v>
      </c>
      <c r="AG128" s="29">
        <v>13440</v>
      </c>
      <c r="AH128" s="5"/>
      <c r="AI128" s="5"/>
      <c r="AJ128" s="5"/>
      <c r="AK128" s="5"/>
      <c r="AL128" s="29">
        <v>-260</v>
      </c>
      <c r="AM128" s="29">
        <v>3290</v>
      </c>
      <c r="AN128" s="29">
        <v>8590</v>
      </c>
      <c r="AO128" s="29">
        <v>27410</v>
      </c>
      <c r="AP128" s="29">
        <v>1790</v>
      </c>
      <c r="AQ128" s="29">
        <v>1260</v>
      </c>
      <c r="AR128" s="29">
        <v>7990</v>
      </c>
      <c r="AS128" s="29">
        <v>14930</v>
      </c>
      <c r="AT128" s="29">
        <v>86420</v>
      </c>
      <c r="AU128" s="29">
        <v>3210</v>
      </c>
      <c r="AV128" s="29">
        <v>37590</v>
      </c>
      <c r="AW128" s="29">
        <v>4650</v>
      </c>
      <c r="AX128" s="30">
        <f t="shared" ref="AX128:AX130" si="142">SUM(AL128:AW128)</f>
        <v>196870</v>
      </c>
      <c r="AY128" s="5"/>
      <c r="AZ128" s="5"/>
      <c r="BA128" s="5"/>
      <c r="BB128" s="5"/>
      <c r="BC128" s="5"/>
      <c r="BD128" s="5"/>
      <c r="BE128" s="5"/>
      <c r="BF128" s="29">
        <v>0</v>
      </c>
      <c r="BG128" s="29">
        <v>0</v>
      </c>
      <c r="BH128" s="29">
        <v>0</v>
      </c>
      <c r="BI128" s="29">
        <v>0</v>
      </c>
      <c r="BJ128" s="29">
        <v>0</v>
      </c>
      <c r="BK128" s="29">
        <v>0</v>
      </c>
      <c r="BL128" s="29">
        <v>0</v>
      </c>
      <c r="BM128" s="29">
        <v>0</v>
      </c>
      <c r="BN128" s="29">
        <v>0</v>
      </c>
      <c r="BO128" s="29">
        <v>0</v>
      </c>
      <c r="BP128" s="29">
        <v>0</v>
      </c>
      <c r="BQ128" s="29">
        <v>0</v>
      </c>
      <c r="BR128" s="30">
        <f t="shared" ref="BR128:BR130" si="143">SUM(BF128:BQ128)</f>
        <v>0</v>
      </c>
      <c r="BS128" s="5"/>
      <c r="BT128" s="5"/>
    </row>
    <row r="129" spans="2:70" x14ac:dyDescent="0.25">
      <c r="B129" s="35" t="s">
        <v>212</v>
      </c>
      <c r="C129" s="28" t="str">
        <f>LEFT($B$4,8)&amp;B129</f>
        <v>14790070Other External Agreements</v>
      </c>
      <c r="D129" s="28"/>
      <c r="E129" s="28"/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30">
        <f t="shared" si="141"/>
        <v>0</v>
      </c>
      <c r="S129" s="5"/>
      <c r="T129" s="5"/>
      <c r="U129" s="5"/>
      <c r="V129" s="29">
        <v>0</v>
      </c>
      <c r="W129" s="29">
        <v>0</v>
      </c>
      <c r="X129" s="29">
        <v>290</v>
      </c>
      <c r="Y129" s="29">
        <v>22160</v>
      </c>
      <c r="Z129" s="29">
        <v>0</v>
      </c>
      <c r="AA129" s="29">
        <v>0</v>
      </c>
      <c r="AB129" s="29">
        <v>0</v>
      </c>
      <c r="AC129" s="29">
        <v>0</v>
      </c>
      <c r="AD129" s="29">
        <v>0</v>
      </c>
      <c r="AE129" s="29">
        <v>0</v>
      </c>
      <c r="AF129" s="29">
        <v>0</v>
      </c>
      <c r="AG129" s="29">
        <v>0</v>
      </c>
      <c r="AH129" s="5"/>
      <c r="AI129" s="5"/>
      <c r="AJ129" s="5"/>
      <c r="AK129" s="5"/>
      <c r="AL129" s="29">
        <v>0</v>
      </c>
      <c r="AM129" s="29">
        <v>0</v>
      </c>
      <c r="AN129" s="29">
        <v>290</v>
      </c>
      <c r="AO129" s="29">
        <v>22160</v>
      </c>
      <c r="AP129" s="29">
        <v>0</v>
      </c>
      <c r="AQ129" s="29">
        <v>-22160</v>
      </c>
      <c r="AR129" s="29">
        <v>21320</v>
      </c>
      <c r="AS129" s="29">
        <v>-21320</v>
      </c>
      <c r="AT129" s="29">
        <v>0</v>
      </c>
      <c r="AU129" s="29">
        <v>0</v>
      </c>
      <c r="AV129" s="29">
        <v>0</v>
      </c>
      <c r="AW129" s="29">
        <v>0</v>
      </c>
      <c r="AX129" s="30">
        <f t="shared" si="142"/>
        <v>290</v>
      </c>
      <c r="AY129" s="5"/>
      <c r="AZ129" s="5"/>
      <c r="BA129" s="5"/>
      <c r="BB129" s="5"/>
      <c r="BC129" s="5"/>
      <c r="BD129" s="5"/>
      <c r="BE129" s="5"/>
      <c r="BF129" s="29">
        <v>0</v>
      </c>
      <c r="BG129" s="29">
        <v>0</v>
      </c>
      <c r="BH129" s="29">
        <v>0</v>
      </c>
      <c r="BI129" s="29">
        <v>0</v>
      </c>
      <c r="BJ129" s="29">
        <v>0</v>
      </c>
      <c r="BK129" s="29">
        <v>0</v>
      </c>
      <c r="BL129" s="29">
        <v>0</v>
      </c>
      <c r="BM129" s="29">
        <v>0</v>
      </c>
      <c r="BN129" s="29">
        <v>0</v>
      </c>
      <c r="BO129" s="29">
        <v>0</v>
      </c>
      <c r="BP129" s="29">
        <v>0</v>
      </c>
      <c r="BQ129" s="29">
        <v>0</v>
      </c>
      <c r="BR129" s="30">
        <f t="shared" si="143"/>
        <v>0</v>
      </c>
    </row>
    <row r="130" spans="2:70" x14ac:dyDescent="0.25">
      <c r="B130" s="35" t="s">
        <v>213</v>
      </c>
      <c r="C130" s="28" t="str">
        <f>LEFT($B$4,8)&amp;B130</f>
        <v>14790070Travel, Training, Meetings</v>
      </c>
      <c r="D130" s="28"/>
      <c r="E130" s="28"/>
      <c r="F130" s="29">
        <v>2690</v>
      </c>
      <c r="G130" s="29">
        <v>6350</v>
      </c>
      <c r="H130" s="29">
        <v>12500</v>
      </c>
      <c r="I130" s="29">
        <v>8330</v>
      </c>
      <c r="J130" s="29"/>
      <c r="K130" s="29">
        <v>2500</v>
      </c>
      <c r="L130" s="29">
        <v>12500</v>
      </c>
      <c r="M130" s="29">
        <v>18330</v>
      </c>
      <c r="N130" s="29">
        <v>2500</v>
      </c>
      <c r="O130" s="29">
        <v>830</v>
      </c>
      <c r="P130" s="29">
        <v>830</v>
      </c>
      <c r="Q130" s="29">
        <v>9160</v>
      </c>
      <c r="R130" s="30">
        <f t="shared" ref="R130" si="144">SUM(F130:Q130)</f>
        <v>76520</v>
      </c>
      <c r="S130" s="5"/>
      <c r="T130" s="5"/>
      <c r="U130" s="5"/>
      <c r="V130" s="29">
        <v>2690</v>
      </c>
      <c r="W130" s="29">
        <v>6350</v>
      </c>
      <c r="X130" s="29">
        <v>90</v>
      </c>
      <c r="Y130" s="29">
        <v>2190</v>
      </c>
      <c r="Z130" s="29">
        <v>5310</v>
      </c>
      <c r="AA130" s="29">
        <v>11000</v>
      </c>
      <c r="AB130" s="29">
        <v>12000</v>
      </c>
      <c r="AC130" s="29">
        <v>0</v>
      </c>
      <c r="AD130" s="29">
        <v>0</v>
      </c>
      <c r="AE130" s="29">
        <v>0</v>
      </c>
      <c r="AF130" s="29">
        <v>0</v>
      </c>
      <c r="AG130" s="29">
        <v>5000</v>
      </c>
      <c r="AH130" s="5"/>
      <c r="AI130" s="5"/>
      <c r="AJ130" s="5"/>
      <c r="AK130" s="5"/>
      <c r="AL130" s="29">
        <v>2690</v>
      </c>
      <c r="AM130" s="29">
        <v>6350</v>
      </c>
      <c r="AN130" s="29">
        <v>90</v>
      </c>
      <c r="AO130" s="29">
        <v>2190</v>
      </c>
      <c r="AP130" s="29">
        <v>5310</v>
      </c>
      <c r="AQ130" s="29">
        <v>3320</v>
      </c>
      <c r="AR130" s="29">
        <v>3560</v>
      </c>
      <c r="AS130" s="29">
        <v>170</v>
      </c>
      <c r="AT130" s="29">
        <v>5000</v>
      </c>
      <c r="AU130" s="29">
        <v>0</v>
      </c>
      <c r="AV130" s="29">
        <v>0</v>
      </c>
      <c r="AW130" s="29">
        <v>0</v>
      </c>
      <c r="AX130" s="30">
        <f t="shared" si="142"/>
        <v>28680</v>
      </c>
      <c r="AY130" s="5"/>
      <c r="AZ130" s="5"/>
      <c r="BA130" s="5"/>
      <c r="BB130" s="5"/>
      <c r="BC130" s="5"/>
      <c r="BD130" s="5"/>
      <c r="BE130" s="5"/>
      <c r="BF130" s="29">
        <v>0</v>
      </c>
      <c r="BG130" s="29">
        <v>0</v>
      </c>
      <c r="BH130" s="29">
        <v>0</v>
      </c>
      <c r="BI130" s="29">
        <v>0</v>
      </c>
      <c r="BJ130" s="29">
        <v>0</v>
      </c>
      <c r="BK130" s="29">
        <v>0</v>
      </c>
      <c r="BL130" s="29">
        <v>0</v>
      </c>
      <c r="BM130" s="29">
        <v>0</v>
      </c>
      <c r="BN130" s="29">
        <v>0</v>
      </c>
      <c r="BO130" s="29">
        <v>0</v>
      </c>
      <c r="BP130" s="29">
        <v>0</v>
      </c>
      <c r="BQ130" s="29">
        <v>0</v>
      </c>
      <c r="BR130" s="30">
        <f t="shared" si="143"/>
        <v>0</v>
      </c>
    </row>
    <row r="131" spans="2:70" x14ac:dyDescent="0.25">
      <c r="B131" s="31" t="s">
        <v>208</v>
      </c>
      <c r="C131" s="34"/>
      <c r="D131" s="34"/>
      <c r="E131" s="34"/>
      <c r="F131" s="32">
        <f>SUBTOTAL(9,F127:F130)</f>
        <v>2670</v>
      </c>
      <c r="G131" s="32">
        <f t="shared" ref="G131:R131" si="145">SUBTOTAL(9,G127:G130)</f>
        <v>10680</v>
      </c>
      <c r="H131" s="32">
        <f t="shared" si="145"/>
        <v>22949</v>
      </c>
      <c r="I131" s="32">
        <f t="shared" si="145"/>
        <v>15393</v>
      </c>
      <c r="J131" s="32">
        <f t="shared" si="145"/>
        <v>31162</v>
      </c>
      <c r="K131" s="32">
        <f t="shared" si="145"/>
        <v>64782</v>
      </c>
      <c r="L131" s="32">
        <f t="shared" si="145"/>
        <v>70666</v>
      </c>
      <c r="M131" s="32">
        <f t="shared" si="145"/>
        <v>69099</v>
      </c>
      <c r="N131" s="32">
        <f t="shared" si="145"/>
        <v>39884</v>
      </c>
      <c r="O131" s="32">
        <f t="shared" si="145"/>
        <v>38624</v>
      </c>
      <c r="P131" s="32">
        <f t="shared" si="145"/>
        <v>3624</v>
      </c>
      <c r="Q131" s="32">
        <f t="shared" si="145"/>
        <v>14192</v>
      </c>
      <c r="R131" s="32">
        <f t="shared" si="145"/>
        <v>383725</v>
      </c>
      <c r="S131" s="5"/>
      <c r="T131" s="5"/>
      <c r="U131" s="5"/>
      <c r="V131" s="32">
        <f>SUBTOTAL(9,V127:V130)</f>
        <v>2690</v>
      </c>
      <c r="W131" s="32">
        <f t="shared" ref="W131:AH131" si="146">SUBTOTAL(9,W127:W130)</f>
        <v>10680</v>
      </c>
      <c r="X131" s="32">
        <f t="shared" si="146"/>
        <v>8420</v>
      </c>
      <c r="Y131" s="32">
        <f t="shared" si="146"/>
        <v>53090</v>
      </c>
      <c r="Z131" s="32">
        <f t="shared" si="146"/>
        <v>7320</v>
      </c>
      <c r="AA131" s="32">
        <f t="shared" si="146"/>
        <v>34980</v>
      </c>
      <c r="AB131" s="32">
        <f t="shared" si="146"/>
        <v>66590</v>
      </c>
      <c r="AC131" s="32">
        <f t="shared" si="146"/>
        <v>56000</v>
      </c>
      <c r="AD131" s="32">
        <f t="shared" si="146"/>
        <v>3230</v>
      </c>
      <c r="AE131" s="32">
        <f t="shared" si="146"/>
        <v>10750</v>
      </c>
      <c r="AF131" s="32">
        <f t="shared" si="146"/>
        <v>45750</v>
      </c>
      <c r="AG131" s="32">
        <f t="shared" si="146"/>
        <v>18990</v>
      </c>
      <c r="AH131" s="5"/>
      <c r="AI131" s="5"/>
      <c r="AJ131" s="5"/>
      <c r="AK131" s="5"/>
      <c r="AL131" s="32">
        <f>SUBTOTAL(9,AL127:AL130)</f>
        <v>2690</v>
      </c>
      <c r="AM131" s="32">
        <f t="shared" ref="AM131:AX131" si="147">SUBTOTAL(9,AM127:AM130)</f>
        <v>10680</v>
      </c>
      <c r="AN131" s="32">
        <f t="shared" si="147"/>
        <v>8420</v>
      </c>
      <c r="AO131" s="32">
        <f t="shared" si="147"/>
        <v>53090</v>
      </c>
      <c r="AP131" s="32">
        <f t="shared" si="147"/>
        <v>7320</v>
      </c>
      <c r="AQ131" s="32">
        <f t="shared" si="147"/>
        <v>-17300</v>
      </c>
      <c r="AR131" s="32">
        <f t="shared" si="147"/>
        <v>35090</v>
      </c>
      <c r="AS131" s="32">
        <f t="shared" si="147"/>
        <v>-6080</v>
      </c>
      <c r="AT131" s="32">
        <f t="shared" si="147"/>
        <v>93120</v>
      </c>
      <c r="AU131" s="32">
        <f t="shared" si="147"/>
        <v>4430</v>
      </c>
      <c r="AV131" s="32">
        <f t="shared" si="147"/>
        <v>38810</v>
      </c>
      <c r="AW131" s="32">
        <f t="shared" si="147"/>
        <v>5120</v>
      </c>
      <c r="AX131" s="32">
        <f t="shared" si="147"/>
        <v>235390</v>
      </c>
      <c r="AY131" s="5"/>
      <c r="AZ131" s="5"/>
      <c r="BA131" s="5"/>
      <c r="BB131" s="5"/>
      <c r="BC131" s="5"/>
      <c r="BD131" s="5"/>
      <c r="BE131" s="5"/>
      <c r="BF131" s="32">
        <f>SUBTOTAL(9,BF127:BF130)</f>
        <v>0</v>
      </c>
      <c r="BG131" s="32">
        <f t="shared" ref="BG131:BR131" si="148">SUBTOTAL(9,BG127:BG130)</f>
        <v>0</v>
      </c>
      <c r="BH131" s="32">
        <f t="shared" si="148"/>
        <v>0</v>
      </c>
      <c r="BI131" s="32">
        <f t="shared" si="148"/>
        <v>0</v>
      </c>
      <c r="BJ131" s="32">
        <f t="shared" si="148"/>
        <v>0</v>
      </c>
      <c r="BK131" s="32">
        <f t="shared" si="148"/>
        <v>0</v>
      </c>
      <c r="BL131" s="32">
        <f t="shared" si="148"/>
        <v>0</v>
      </c>
      <c r="BM131" s="32">
        <f t="shared" si="148"/>
        <v>0</v>
      </c>
      <c r="BN131" s="32">
        <f t="shared" si="148"/>
        <v>0</v>
      </c>
      <c r="BO131" s="32">
        <f t="shared" si="148"/>
        <v>0</v>
      </c>
      <c r="BP131" s="32">
        <f t="shared" si="148"/>
        <v>0</v>
      </c>
      <c r="BQ131" s="32">
        <f t="shared" si="148"/>
        <v>0</v>
      </c>
      <c r="BR131" s="32">
        <f t="shared" si="148"/>
        <v>0</v>
      </c>
    </row>
    <row r="132" spans="2:70" x14ac:dyDescent="0.25">
      <c r="B132" s="13"/>
      <c r="C132" s="13"/>
      <c r="D132" s="13"/>
      <c r="E132" s="13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5"/>
      <c r="T132" s="5"/>
      <c r="U132" s="5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5"/>
      <c r="AI132" s="5"/>
      <c r="AJ132" s="5"/>
      <c r="AK132" s="5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5"/>
      <c r="AZ132" s="5"/>
      <c r="BA132" s="5"/>
      <c r="BB132" s="5"/>
      <c r="BC132" s="5"/>
      <c r="BD132" s="5"/>
      <c r="BE132" s="5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</row>
    <row r="133" spans="2:70" ht="18.75" x14ac:dyDescent="0.25">
      <c r="B133" s="26" t="s">
        <v>207</v>
      </c>
      <c r="C133" s="188" t="s">
        <v>391</v>
      </c>
      <c r="D133" s="188" t="s">
        <v>392</v>
      </c>
      <c r="E133" s="188" t="s">
        <v>392</v>
      </c>
      <c r="F133" s="27" t="s">
        <v>64</v>
      </c>
      <c r="G133" s="27" t="s">
        <v>63</v>
      </c>
      <c r="H133" s="27" t="s">
        <v>62</v>
      </c>
      <c r="I133" s="27" t="s">
        <v>61</v>
      </c>
      <c r="J133" s="27" t="s">
        <v>60</v>
      </c>
      <c r="K133" s="27" t="s">
        <v>59</v>
      </c>
      <c r="L133" s="27" t="s">
        <v>58</v>
      </c>
      <c r="M133" s="27" t="s">
        <v>57</v>
      </c>
      <c r="N133" s="27" t="s">
        <v>56</v>
      </c>
      <c r="O133" s="27" t="s">
        <v>55</v>
      </c>
      <c r="P133" s="27" t="s">
        <v>54</v>
      </c>
      <c r="Q133" s="27" t="s">
        <v>53</v>
      </c>
      <c r="R133" s="27" t="s">
        <v>52</v>
      </c>
      <c r="S133" s="5"/>
      <c r="T133" s="5"/>
      <c r="U133" s="5"/>
      <c r="V133" s="27" t="s">
        <v>64</v>
      </c>
      <c r="W133" s="27" t="s">
        <v>63</v>
      </c>
      <c r="X133" s="27" t="s">
        <v>62</v>
      </c>
      <c r="Y133" s="27" t="s">
        <v>61</v>
      </c>
      <c r="Z133" s="27" t="s">
        <v>60</v>
      </c>
      <c r="AA133" s="27" t="s">
        <v>59</v>
      </c>
      <c r="AB133" s="27" t="s">
        <v>58</v>
      </c>
      <c r="AC133" s="27" t="s">
        <v>57</v>
      </c>
      <c r="AD133" s="27" t="s">
        <v>56</v>
      </c>
      <c r="AE133" s="27" t="s">
        <v>55</v>
      </c>
      <c r="AF133" s="27" t="s">
        <v>54</v>
      </c>
      <c r="AG133" s="27" t="s">
        <v>53</v>
      </c>
      <c r="AH133" s="5"/>
      <c r="AI133" s="5"/>
      <c r="AJ133" s="5"/>
      <c r="AK133" s="5"/>
      <c r="AL133" s="27" t="s">
        <v>64</v>
      </c>
      <c r="AM133" s="27" t="s">
        <v>63</v>
      </c>
      <c r="AN133" s="27" t="s">
        <v>62</v>
      </c>
      <c r="AO133" s="27" t="s">
        <v>61</v>
      </c>
      <c r="AP133" s="27" t="s">
        <v>60</v>
      </c>
      <c r="AQ133" s="27" t="s">
        <v>59</v>
      </c>
      <c r="AR133" s="27" t="s">
        <v>58</v>
      </c>
      <c r="AS133" s="27" t="s">
        <v>57</v>
      </c>
      <c r="AT133" s="27" t="s">
        <v>56</v>
      </c>
      <c r="AU133" s="27" t="s">
        <v>55</v>
      </c>
      <c r="AV133" s="27" t="s">
        <v>54</v>
      </c>
      <c r="AW133" s="27" t="s">
        <v>53</v>
      </c>
      <c r="AX133" s="27" t="s">
        <v>52</v>
      </c>
      <c r="AY133" s="5"/>
      <c r="AZ133" s="5"/>
      <c r="BA133" s="5"/>
      <c r="BB133" s="5"/>
      <c r="BC133" s="5"/>
      <c r="BD133" s="5"/>
      <c r="BE133" s="5"/>
      <c r="BF133" s="27" t="s">
        <v>64</v>
      </c>
      <c r="BG133" s="27" t="s">
        <v>63</v>
      </c>
      <c r="BH133" s="27" t="s">
        <v>62</v>
      </c>
      <c r="BI133" s="27" t="s">
        <v>61</v>
      </c>
      <c r="BJ133" s="27" t="s">
        <v>60</v>
      </c>
      <c r="BK133" s="27" t="s">
        <v>59</v>
      </c>
      <c r="BL133" s="27" t="s">
        <v>58</v>
      </c>
      <c r="BM133" s="27" t="s">
        <v>57</v>
      </c>
      <c r="BN133" s="27" t="s">
        <v>56</v>
      </c>
      <c r="BO133" s="27" t="s">
        <v>55</v>
      </c>
      <c r="BP133" s="27" t="s">
        <v>54</v>
      </c>
      <c r="BQ133" s="27" t="s">
        <v>53</v>
      </c>
      <c r="BR133" s="27" t="s">
        <v>52</v>
      </c>
    </row>
    <row r="134" spans="2:70" x14ac:dyDescent="0.25">
      <c r="B134" s="35" t="s">
        <v>210</v>
      </c>
      <c r="C134" s="28" t="str">
        <f>C69</f>
        <v>147900705034010</v>
      </c>
      <c r="D134" s="28"/>
      <c r="E134" s="28"/>
      <c r="F134" s="33">
        <f>VLOOKUP($C134,$C$7:$S$118,4,FALSE)-F127</f>
        <v>1.6700000000000159</v>
      </c>
      <c r="G134" s="33">
        <f>VLOOKUP($C134,$C$7:$S$118,5,FALSE)-G127</f>
        <v>-3.0599999999999454</v>
      </c>
      <c r="H134" s="33">
        <f>VLOOKUP($C134,$C$7:$S$118,6,FALSE)-H127</f>
        <v>-542.78</v>
      </c>
      <c r="I134" s="33">
        <f>VLOOKUP($C134,$C$7:$S$118,7,FALSE)-I127</f>
        <v>471.42000000000007</v>
      </c>
      <c r="J134" s="33">
        <f>VLOOKUP($C134,$C$7:$S$118,8,FALSE)-J127</f>
        <v>671.42000000000007</v>
      </c>
      <c r="K134" s="33">
        <f>VLOOKUP($C134,$C$7:$S$118,9,FALSE)-K127</f>
        <v>551.42000000000007</v>
      </c>
      <c r="L134" s="33">
        <f>VLOOKUP($C134,$C$7:$S$118,10,FALSE)-L127</f>
        <v>971.42000000000007</v>
      </c>
      <c r="M134" s="33">
        <f>VLOOKUP($C134,$C$7:$S$118,11,FALSE)-M127</f>
        <v>1171.42</v>
      </c>
      <c r="N134" s="33">
        <f>VLOOKUP($C134,$C$7:$S$118,12,FALSE)-N127</f>
        <v>1171.42</v>
      </c>
      <c r="O134" s="33">
        <f>VLOOKUP($C134,$C$7:$S$118,13,FALSE)-O127</f>
        <v>961.42000000000007</v>
      </c>
      <c r="P134" s="33">
        <f>VLOOKUP($C134,$C$7:$S$118,14,FALSE)-P127</f>
        <v>961.42000000000007</v>
      </c>
      <c r="Q134" s="33">
        <f>VLOOKUP($C134,$C$7:$S$118,15,FALSE)-Q127</f>
        <v>961.42000000000007</v>
      </c>
      <c r="R134" s="30">
        <f t="shared" ref="R134:R137" si="149">SUM(F134:Q134)</f>
        <v>7348.6100000000006</v>
      </c>
      <c r="S134" s="5"/>
      <c r="T134" s="5"/>
      <c r="U134" s="5"/>
      <c r="V134" s="33">
        <f>VLOOKUP($C134,$C$7:$AG$118,20,FALSE)-V127</f>
        <v>1.6700000000000159</v>
      </c>
      <c r="W134" s="33">
        <f>VLOOKUP($C134,$C$7:$AG$118,21,FALSE)-W127</f>
        <v>-3.0599999999999454</v>
      </c>
      <c r="X134" s="33">
        <f>VLOOKUP($C134,$C$7:$AG$118,22,FALSE)-X127</f>
        <v>7.2200000000000273</v>
      </c>
      <c r="Y134" s="33">
        <f>VLOOKUP($C134,$C$7:$AG$118,23,FALSE)-Y127</f>
        <v>5.75</v>
      </c>
      <c r="Z134" s="33">
        <f>VLOOKUP($C134,$C$7:$AG$118,24,FALSE)-Z127</f>
        <v>6.1800000000000068</v>
      </c>
      <c r="AA134" s="33">
        <f>VLOOKUP($C134,$C$7:$AG$118,25,FALSE)-AA127</f>
        <v>-841.96</v>
      </c>
      <c r="AB134" s="33">
        <f>VLOOKUP($C134,$C$7:$AG$118,26,FALSE)-AB127</f>
        <v>1120.33</v>
      </c>
      <c r="AC134" s="33">
        <f>VLOOKUP($C134,$C$7:$AG$118,27,FALSE)-AC127</f>
        <v>1120.33</v>
      </c>
      <c r="AD134" s="33">
        <f>VLOOKUP($C134,$C$7:$AG$118,28,FALSE)-AD127</f>
        <v>1120.33</v>
      </c>
      <c r="AE134" s="33">
        <f>VLOOKUP($C134,$C$7:$AG$118,29,FALSE)-AE127</f>
        <v>570.32999999999993</v>
      </c>
      <c r="AF134" s="33">
        <f>VLOOKUP($C134,$C$7:$AG$118,30,FALSE)-AF127</f>
        <v>570.32999999999993</v>
      </c>
      <c r="AG134" s="33">
        <f>VLOOKUP($C134,$C$7:$AG$118,31,FALSE)-AG127</f>
        <v>570.30999999999995</v>
      </c>
      <c r="AH134" s="5"/>
      <c r="AI134" s="5"/>
      <c r="AJ134" s="5"/>
      <c r="AK134" s="5"/>
      <c r="AL134" s="33">
        <f>VLOOKUP($C134,$C$7:$AW$118,36,FALSE)-AL127</f>
        <v>1.6700000000000159</v>
      </c>
      <c r="AM134" s="33">
        <f>VLOOKUP($C134,$C$7:$AW$118,37,FALSE)-AM127</f>
        <v>-3.0599999999999454</v>
      </c>
      <c r="AN134" s="33">
        <f>VLOOKUP($C134,$C$7:$AW$118,38,FALSE)-AN127</f>
        <v>7.2200000000000273</v>
      </c>
      <c r="AO134" s="33">
        <f>VLOOKUP($C134,$C$7:$AW$118,39,FALSE)-AO127</f>
        <v>5.75</v>
      </c>
      <c r="AP134" s="33">
        <f>VLOOKUP($C134,$C$7:$AW$118,40,FALSE)-AP127</f>
        <v>6.1800000000000068</v>
      </c>
      <c r="AQ134" s="33">
        <f>VLOOKUP($C134,$C$7:$AW$118,41,FALSE)-AQ127</f>
        <v>-1.9599999999999795</v>
      </c>
      <c r="AR134" s="33">
        <f>VLOOKUP($C134,$C$7:$AW$118,42,FALSE)-AR127</f>
        <v>0</v>
      </c>
      <c r="AS134" s="33">
        <f>VLOOKUP($C134,$C$7:$AW$118,43,FALSE)-AS127</f>
        <v>0</v>
      </c>
      <c r="AT134" s="33">
        <f>VLOOKUP($C134,$C$7:$AW$118,44,FALSE)-AT127</f>
        <v>-564.5</v>
      </c>
      <c r="AU134" s="33">
        <f>VLOOKUP($C134,$C$7:$AW$118,45,FALSE)-AU127</f>
        <v>6.4600000000000364</v>
      </c>
      <c r="AV134" s="33">
        <f>VLOOKUP($C134,$C$7:$AW$118,46,FALSE)-AV127</f>
        <v>-220</v>
      </c>
      <c r="AW134" s="33">
        <f>VLOOKUP($C134,$C$7:$AW$118,47,FALSE)-AW127</f>
        <v>530</v>
      </c>
      <c r="AX134" s="30">
        <f t="shared" ref="AX134:AX137" si="150">SUM(AL134:AW134)</f>
        <v>-232.23999999999978</v>
      </c>
      <c r="AY134" s="5"/>
      <c r="AZ134" s="5"/>
      <c r="BA134" s="5"/>
      <c r="BB134" s="5"/>
      <c r="BC134" s="5"/>
      <c r="BD134" s="5"/>
      <c r="BE134" s="5"/>
      <c r="BF134" s="33">
        <f>VLOOKUP($C134,$C$7:$BS$118,56,FALSE)-BF127</f>
        <v>200</v>
      </c>
      <c r="BG134" s="33">
        <f>VLOOKUP($C134,$C$7:$BS$118,57,FALSE)-BG127</f>
        <v>500</v>
      </c>
      <c r="BH134" s="33">
        <f>VLOOKUP($C134,$C$7:$BS$118,58,FALSE)-BH127</f>
        <v>500</v>
      </c>
      <c r="BI134" s="33">
        <f>VLOOKUP($C134,$C$7:$BS$118,59,FALSE)-BI127</f>
        <v>1000</v>
      </c>
      <c r="BJ134" s="33">
        <f>VLOOKUP($C134,$C$7:$BS$118,60,FALSE)-BJ127</f>
        <v>500</v>
      </c>
      <c r="BK134" s="33">
        <f>VLOOKUP($C134,$C$7:$BS$118,61,FALSE)-BK127</f>
        <v>500</v>
      </c>
      <c r="BL134" s="33">
        <f>VLOOKUP($C134,$C$7:$BS$118,62,FALSE)-BL127</f>
        <v>1000</v>
      </c>
      <c r="BM134" s="33">
        <f>VLOOKUP($C134,$C$7:$BS$118,63,FALSE)-BM127</f>
        <v>500</v>
      </c>
      <c r="BN134" s="33">
        <f>VLOOKUP($C134,$C$7:$BS$118,64,FALSE)-BN127</f>
        <v>500</v>
      </c>
      <c r="BO134" s="33">
        <f>VLOOKUP($C134,$C$7:$BS$118,65,FALSE)-BO127</f>
        <v>1000</v>
      </c>
      <c r="BP134" s="33">
        <f>VLOOKUP($C134,$C$7:$BS$118,66,FALSE)-BP127</f>
        <v>500</v>
      </c>
      <c r="BQ134" s="33">
        <f>VLOOKUP($C134,$C$7:$BS$118,67,FALSE)-BQ127</f>
        <v>500</v>
      </c>
      <c r="BR134" s="30">
        <f t="shared" ref="BR134:BR137" si="151">SUM(BF134:BQ134)</f>
        <v>7200</v>
      </c>
    </row>
    <row r="135" spans="2:70" x14ac:dyDescent="0.25">
      <c r="B135" s="35" t="s">
        <v>211</v>
      </c>
      <c r="C135" s="28" t="s">
        <v>204</v>
      </c>
      <c r="D135" s="28"/>
      <c r="E135" s="28"/>
      <c r="F135" s="33">
        <f>VLOOKUP($C135,$C$7:$S$118,4,FALSE)-VLOOKUP($C134,$C$7:$S$118,4,FALSE)-F128</f>
        <v>384.37000000000018</v>
      </c>
      <c r="G135" s="33">
        <f>VLOOKUP($C135,$C$7:$S$118,5,FALSE)-VLOOKUP($C134,$C$7:$S$118,5,FALSE)-G128</f>
        <v>326.73</v>
      </c>
      <c r="H135" s="33">
        <f>VLOOKUP($C135,$C$7:$S$118,6,FALSE)-VLOOKUP($C134,$C$7:$S$118,6,FALSE)-H128</f>
        <v>-1577.9299999999985</v>
      </c>
      <c r="I135" s="33">
        <f>VLOOKUP($C135,$C$7:$S$118,7,FALSE)-VLOOKUP($C134,$C$7:$S$118,7,FALSE)-I128</f>
        <v>8136.7999999999993</v>
      </c>
      <c r="J135" s="33">
        <f>VLOOKUP($C135,$C$7:$S$118,8,FALSE)-VLOOKUP($C134,$C$7:$S$118,8,FALSE)-J128</f>
        <v>-1998</v>
      </c>
      <c r="K135" s="33">
        <f>VLOOKUP($C135,$C$7:$S$118,9,FALSE)-VLOOKUP($C134,$C$7:$S$118,9,FALSE)-K128</f>
        <v>-10998</v>
      </c>
      <c r="L135" s="33">
        <f>VLOOKUP($C135,$C$7:$S$118,10,FALSE)-VLOOKUP($C134,$C$7:$S$118,10,FALSE)-L128</f>
        <v>-6105.8799999999974</v>
      </c>
      <c r="M135" s="33">
        <f>VLOOKUP($C135,$C$7:$S$118,11,FALSE)-VLOOKUP($C134,$C$7:$S$118,11,FALSE)-M128</f>
        <v>-4105</v>
      </c>
      <c r="N135" s="33">
        <f>VLOOKUP($C135,$C$7:$S$118,12,FALSE)-VLOOKUP($C134,$C$7:$S$118,12,FALSE)-N128</f>
        <v>-4720</v>
      </c>
      <c r="O135" s="33">
        <f>VLOOKUP($C135,$C$7:$S$118,13,FALSE)-VLOOKUP($C134,$C$7:$S$118,13,FALSE)-O128</f>
        <v>-14920</v>
      </c>
      <c r="P135" s="33">
        <f>VLOOKUP($C135,$C$7:$S$118,14,FALSE)-VLOOKUP($C134,$C$7:$S$118,14,FALSE)-P128</f>
        <v>15080</v>
      </c>
      <c r="Q135" s="33">
        <f>VLOOKUP($C135,$C$7:$S$118,15,FALSE)-VLOOKUP($C134,$C$7:$S$118,15,FALSE)-Q128</f>
        <v>2842</v>
      </c>
      <c r="R135" s="30">
        <f t="shared" si="149"/>
        <v>-17654.909999999996</v>
      </c>
      <c r="S135" s="5"/>
      <c r="T135" s="5"/>
      <c r="U135" s="5"/>
      <c r="V135" s="33">
        <f>VLOOKUP($C135,$C$7:$AG$118,20,FALSE)-VLOOKUP($C134,$C$7:$AG$118,20,FALSE)-V128</f>
        <v>364.37000000000018</v>
      </c>
      <c r="W135" s="33">
        <f>VLOOKUP($C135,$C$7:$AG$118,21,FALSE)-VLOOKUP($C134,$C$7:$AG$118,21,FALSE)-W128</f>
        <v>326.73</v>
      </c>
      <c r="X135" s="33">
        <f>VLOOKUP($C135,$C$7:$AG$118,22,FALSE)-VLOOKUP($C134,$C$7:$AG$118,22,FALSE)-X128</f>
        <v>281.07000000000153</v>
      </c>
      <c r="Y135" s="33">
        <f>VLOOKUP($C135,$C$7:$AG$118,23,FALSE)-VLOOKUP($C134,$C$7:$AG$118,23,FALSE)-Y128</f>
        <v>284.22999999999956</v>
      </c>
      <c r="Z135" s="33">
        <f>VLOOKUP($C135,$C$7:$AG$118,24,FALSE)-VLOOKUP($C134,$C$7:$AG$118,24,FALSE)-Z128</f>
        <v>1723.94</v>
      </c>
      <c r="AA135" s="33">
        <f>VLOOKUP($C135,$C$7:$AG$118,25,FALSE)-VLOOKUP($C134,$C$7:$AG$118,25,FALSE)-AA128</f>
        <v>-20472.14</v>
      </c>
      <c r="AB135" s="33">
        <f>VLOOKUP($C135,$C$7:$AG$118,26,FALSE)-VLOOKUP($C134,$C$7:$AG$118,26,FALSE)-AB128</f>
        <v>21931.929999999993</v>
      </c>
      <c r="AC135" s="33">
        <f>VLOOKUP($C135,$C$7:$AG$118,27,FALSE)-VLOOKUP($C134,$C$7:$AG$118,27,FALSE)-AC128</f>
        <v>568.90000000000146</v>
      </c>
      <c r="AD135" s="33">
        <f>VLOOKUP($C135,$C$7:$AG$118,28,FALSE)-VLOOKUP($C134,$C$7:$AG$118,28,FALSE)-AD128</f>
        <v>3338.8999999999996</v>
      </c>
      <c r="AE135" s="33">
        <f>VLOOKUP($C135,$C$7:$AG$118,29,FALSE)-VLOOKUP($C134,$C$7:$AG$118,29,FALSE)-AE128</f>
        <v>368.89999999999964</v>
      </c>
      <c r="AF135" s="33">
        <f>VLOOKUP($C135,$C$7:$AG$118,30,FALSE)-VLOOKUP($C134,$C$7:$AG$118,30,FALSE)-AF128</f>
        <v>30647.76999999999</v>
      </c>
      <c r="AG135" s="33">
        <f>VLOOKUP($C135,$C$7:$AG$118,31,FALSE)-VLOOKUP($C134,$C$7:$AG$118,31,FALSE)-AG128</f>
        <v>-5871.1400000000012</v>
      </c>
      <c r="AH135" s="5"/>
      <c r="AI135" s="5"/>
      <c r="AJ135" s="5"/>
      <c r="AK135" s="5"/>
      <c r="AL135" s="33">
        <f>VLOOKUP($C135,$C$7:$AW$118,36,FALSE)-VLOOKUP($C134,$C$7:$AW$118,36,FALSE)-AL128</f>
        <v>364.37000000000018</v>
      </c>
      <c r="AM135" s="33">
        <f>VLOOKUP($C135,$C$7:$AW$118,37,FALSE)-VLOOKUP($C134,$C$7:$AW$118,37,FALSE)-AM128</f>
        <v>326.73</v>
      </c>
      <c r="AN135" s="33">
        <f>VLOOKUP($C135,$C$7:$AW$118,38,FALSE)-VLOOKUP($C134,$C$7:$AW$118,38,FALSE)-AN128</f>
        <v>281.07000000000153</v>
      </c>
      <c r="AO135" s="33">
        <f>VLOOKUP($C135,$C$7:$AW$118,39,FALSE)-VLOOKUP($C134,$C$7:$AW$118,39,FALSE)-AO128</f>
        <v>284.22999999999956</v>
      </c>
      <c r="AP135" s="33">
        <f>VLOOKUP($C135,$C$7:$AW$118,40,FALSE)-VLOOKUP($C134,$C$7:$AW$118,40,FALSE)-AP128</f>
        <v>1723.94</v>
      </c>
      <c r="AQ135" s="33">
        <f>VLOOKUP($C135,$C$7:$AW$118,41,FALSE)-VLOOKUP($C134,$C$7:$AW$118,41,FALSE)-AQ128</f>
        <v>1127.8600000000001</v>
      </c>
      <c r="AR135" s="33">
        <f>VLOOKUP($C135,$C$7:$AW$118,42,FALSE)-VLOOKUP($C134,$C$7:$AW$118,42,FALSE)-AR128</f>
        <v>611.54000000000087</v>
      </c>
      <c r="AS135" s="33">
        <f>VLOOKUP($C135,$C$7:$AW$118,43,FALSE)-VLOOKUP($C134,$C$7:$AW$118,43,FALSE)-AS128</f>
        <v>411.79000000000087</v>
      </c>
      <c r="AT135" s="33">
        <f>VLOOKUP($C135,$C$7:$AW$118,44,FALSE)-VLOOKUP($C134,$C$7:$AW$118,44,FALSE)-AT128</f>
        <v>-30272.86</v>
      </c>
      <c r="AU135" s="33">
        <f>VLOOKUP($C135,$C$7:$AW$118,45,FALSE)-VLOOKUP($C134,$C$7:$AW$118,45,FALSE)-AU128</f>
        <v>32331.739999999998</v>
      </c>
      <c r="AV135" s="33">
        <f>VLOOKUP($C135,$C$7:$AW$118,46,FALSE)-VLOOKUP($C134,$C$7:$AW$118,46,FALSE)-AV128</f>
        <v>8427.68</v>
      </c>
      <c r="AW135" s="33">
        <f>VLOOKUP($C135,$C$7:$AW$118,47,FALSE)-VLOOKUP($C134,$C$7:$AW$118,47,FALSE)-AW128</f>
        <v>38232.25</v>
      </c>
      <c r="AX135" s="30">
        <f t="shared" si="150"/>
        <v>53850.34</v>
      </c>
      <c r="AY135" s="5"/>
      <c r="AZ135" s="5"/>
      <c r="BA135" s="5"/>
      <c r="BB135" s="5"/>
      <c r="BC135" s="5"/>
      <c r="BD135" s="5"/>
      <c r="BE135" s="5"/>
      <c r="BF135" s="33">
        <f>VLOOKUP($C135,$C$7:$BS$118,56,FALSE)-VLOOKUP($C134,$C$7:$BS$118,56,FALSE)-BF128</f>
        <v>3700</v>
      </c>
      <c r="BG135" s="33">
        <f>VLOOKUP($C135,$C$7:$BS$118,57,FALSE)-VLOOKUP($C134,$C$7:$BS$118,57,FALSE)-BG128</f>
        <v>2600</v>
      </c>
      <c r="BH135" s="33">
        <f>VLOOKUP($C135,$C$7:$BS$118,58,FALSE)-VLOOKUP($C134,$C$7:$BS$118,58,FALSE)-BH128</f>
        <v>37350</v>
      </c>
      <c r="BI135" s="33">
        <f>VLOOKUP($C135,$C$7:$BS$118,59,FALSE)-VLOOKUP($C134,$C$7:$BS$118,59,FALSE)-BI128</f>
        <v>36200</v>
      </c>
      <c r="BJ135" s="33">
        <f>VLOOKUP($C135,$C$7:$BS$118,60,FALSE)-VLOOKUP($C134,$C$7:$BS$118,60,FALSE)-BJ128</f>
        <v>7100</v>
      </c>
      <c r="BK135" s="33">
        <f>VLOOKUP($C135,$C$7:$BS$118,61,FALSE)-VLOOKUP($C134,$C$7:$BS$118,61,FALSE)-BK128</f>
        <v>11350</v>
      </c>
      <c r="BL135" s="33">
        <f>VLOOKUP($C135,$C$7:$BS$118,62,FALSE)-VLOOKUP($C134,$C$7:$BS$118,62,FALSE)-BL128</f>
        <v>37200</v>
      </c>
      <c r="BM135" s="33">
        <f>VLOOKUP($C135,$C$7:$BS$118,63,FALSE)-VLOOKUP($C134,$C$7:$BS$118,63,FALSE)-BM128</f>
        <v>36200</v>
      </c>
      <c r="BN135" s="33">
        <f>VLOOKUP($C135,$C$7:$BS$118,64,FALSE)-VLOOKUP($C134,$C$7:$BS$118,64,FALSE)-BN128</f>
        <v>12200</v>
      </c>
      <c r="BO135" s="33">
        <f>VLOOKUP($C135,$C$7:$BS$118,65,FALSE)-VLOOKUP($C134,$C$7:$BS$118,65,FALSE)-BO128</f>
        <v>6350</v>
      </c>
      <c r="BP135" s="33">
        <f>VLOOKUP($C135,$C$7:$BS$118,66,FALSE)-VLOOKUP($C134,$C$7:$BS$118,66,FALSE)-BP128</f>
        <v>7100</v>
      </c>
      <c r="BQ135" s="33">
        <f>VLOOKUP($C135,$C$7:$BS$118,67,FALSE)-VLOOKUP($C134,$C$7:$BS$118,67,FALSE)-BQ128</f>
        <v>3100</v>
      </c>
      <c r="BR135" s="30">
        <f t="shared" si="151"/>
        <v>200450</v>
      </c>
    </row>
    <row r="136" spans="2:70" x14ac:dyDescent="0.25">
      <c r="B136" s="35" t="s">
        <v>212</v>
      </c>
      <c r="C136" s="28" t="s">
        <v>195</v>
      </c>
      <c r="D136" s="28"/>
      <c r="E136" s="28"/>
      <c r="F136" s="33">
        <f>VLOOKUP($C136,$C$7:$S$118,4,FALSE)-F129</f>
        <v>0</v>
      </c>
      <c r="G136" s="33">
        <f>VLOOKUP($C136,$C$7:$S$118,5,FALSE)-G129</f>
        <v>0</v>
      </c>
      <c r="H136" s="33">
        <f>VLOOKUP($C136,$C$7:$S$118,6,FALSE)-H129</f>
        <v>291.38</v>
      </c>
      <c r="I136" s="33">
        <f>VLOOKUP($C136,$C$7:$S$118,7,FALSE)-I129</f>
        <v>-291.38</v>
      </c>
      <c r="J136" s="33">
        <f>VLOOKUP($C136,$C$7:$S$118,8,FALSE)-J129</f>
        <v>0</v>
      </c>
      <c r="K136" s="33">
        <f>VLOOKUP($C136,$C$7:$S$118,9,FALSE)-K129</f>
        <v>29000</v>
      </c>
      <c r="L136" s="33">
        <f>VLOOKUP($C136,$C$7:$S$118,10,FALSE)-L129</f>
        <v>0</v>
      </c>
      <c r="M136" s="33">
        <f>VLOOKUP($C136,$C$7:$S$118,11,FALSE)-M129</f>
        <v>15570</v>
      </c>
      <c r="N136" s="33">
        <f>VLOOKUP($C136,$C$7:$S$118,12,FALSE)-N129</f>
        <v>0</v>
      </c>
      <c r="O136" s="33">
        <f>VLOOKUP($C136,$C$7:$S$118,13,FALSE)-O129</f>
        <v>0</v>
      </c>
      <c r="P136" s="33">
        <f>VLOOKUP($C136,$C$7:$S$118,14,FALSE)-P129</f>
        <v>0</v>
      </c>
      <c r="Q136" s="33">
        <f>VLOOKUP($C136,$C$7:$S$118,15,FALSE)-Q129</f>
        <v>0</v>
      </c>
      <c r="R136" s="30">
        <f t="shared" si="149"/>
        <v>44570</v>
      </c>
      <c r="S136" s="5"/>
      <c r="T136" s="5"/>
      <c r="U136" s="5"/>
      <c r="V136" s="33">
        <f>VLOOKUP($C136,$C$7:$AG$118,20,FALSE)-V129</f>
        <v>0</v>
      </c>
      <c r="W136" s="33">
        <f>VLOOKUP($C136,$C$7:$AG$118,21,FALSE)-W129</f>
        <v>0</v>
      </c>
      <c r="X136" s="33">
        <f>VLOOKUP($C136,$C$7:$AG$118,22,FALSE)-X129</f>
        <v>1.3799999999999955</v>
      </c>
      <c r="Y136" s="33">
        <f>VLOOKUP($C136,$C$7:$AG$118,23,FALSE)-Y129</f>
        <v>-4792.84</v>
      </c>
      <c r="Z136" s="33">
        <f>VLOOKUP($C136,$C$7:$AG$118,24,FALSE)-Z129</f>
        <v>0</v>
      </c>
      <c r="AA136" s="33">
        <f>VLOOKUP($C136,$C$7:$AG$118,25,FALSE)-AA129</f>
        <v>-22147.219999999998</v>
      </c>
      <c r="AB136" s="33">
        <f>VLOOKUP($C136,$C$7:$AG$118,26,FALSE)-AB129</f>
        <v>22147.22</v>
      </c>
      <c r="AC136" s="33">
        <f>VLOOKUP($C136,$C$7:$AG$118,27,FALSE)-AC129</f>
        <v>16037.1</v>
      </c>
      <c r="AD136" s="33">
        <f>VLOOKUP($C136,$C$7:$AG$118,28,FALSE)-AD129</f>
        <v>29000</v>
      </c>
      <c r="AE136" s="33">
        <f>VLOOKUP($C136,$C$7:$AG$118,29,FALSE)-AE129</f>
        <v>0</v>
      </c>
      <c r="AF136" s="33">
        <f>VLOOKUP($C136,$C$7:$AG$118,30,FALSE)-AF129</f>
        <v>0</v>
      </c>
      <c r="AG136" s="33">
        <f>VLOOKUP($C136,$C$7:$AG$118,31,FALSE)-AG129</f>
        <v>0</v>
      </c>
      <c r="AH136" s="5"/>
      <c r="AI136" s="5"/>
      <c r="AJ136" s="5"/>
      <c r="AK136" s="5"/>
      <c r="AL136" s="33">
        <f>VLOOKUP($C136,$C$7:$AW$118,36,FALSE)-AL129</f>
        <v>0</v>
      </c>
      <c r="AM136" s="33">
        <f>VLOOKUP($C136,$C$7:$AW$118,37,FALSE)-AM129</f>
        <v>0</v>
      </c>
      <c r="AN136" s="33">
        <f>VLOOKUP($C136,$C$7:$AW$118,38,FALSE)-AN129</f>
        <v>1.3799999999999955</v>
      </c>
      <c r="AO136" s="33">
        <f>VLOOKUP($C136,$C$7:$AW$118,39,FALSE)-AO129</f>
        <v>-4792.84</v>
      </c>
      <c r="AP136" s="33">
        <f>VLOOKUP($C136,$C$7:$AW$118,40,FALSE)-AP129</f>
        <v>0</v>
      </c>
      <c r="AQ136" s="33">
        <f>VLOOKUP($C136,$C$7:$AW$118,41,FALSE)-AQ129</f>
        <v>12.779999999998836</v>
      </c>
      <c r="AR136" s="33">
        <f>VLOOKUP($C136,$C$7:$AW$118,42,FALSE)-AR129</f>
        <v>14236.910000000003</v>
      </c>
      <c r="AS136" s="33">
        <f>VLOOKUP($C136,$C$7:$AW$118,43,FALSE)-AS129</f>
        <v>0</v>
      </c>
      <c r="AT136" s="33">
        <f>VLOOKUP($C136,$C$7:$AW$118,44,FALSE)-AT129</f>
        <v>0</v>
      </c>
      <c r="AU136" s="33">
        <f>VLOOKUP($C136,$C$7:$AW$118,45,FALSE)-AU129</f>
        <v>40132.1</v>
      </c>
      <c r="AV136" s="33">
        <f>VLOOKUP($C136,$C$7:$AW$118,46,FALSE)-AV129</f>
        <v>0</v>
      </c>
      <c r="AW136" s="33">
        <f>VLOOKUP($C136,$C$7:$AW$118,47,FALSE)-AW129</f>
        <v>0</v>
      </c>
      <c r="AX136" s="30">
        <f t="shared" si="150"/>
        <v>49590.33</v>
      </c>
      <c r="AY136" s="5"/>
      <c r="AZ136" s="5"/>
      <c r="BA136" s="5"/>
      <c r="BB136" s="5"/>
      <c r="BC136" s="5"/>
      <c r="BD136" s="5"/>
      <c r="BE136" s="5"/>
      <c r="BF136" s="33">
        <f>VLOOKUP($C136,$C$7:$BS$118,56,FALSE)-BF129</f>
        <v>1231.6666666666667</v>
      </c>
      <c r="BG136" s="33">
        <f>VLOOKUP($C136,$C$7:$BS$118,57,FALSE)-BG129</f>
        <v>1231.6666666666667</v>
      </c>
      <c r="BH136" s="33">
        <f>VLOOKUP($C136,$C$7:$BS$118,58,FALSE)-BH129</f>
        <v>1231.6666666666667</v>
      </c>
      <c r="BI136" s="33">
        <f>VLOOKUP($C136,$C$7:$BS$118,59,FALSE)-BI129</f>
        <v>1231.6666666666667</v>
      </c>
      <c r="BJ136" s="33">
        <f>VLOOKUP($C136,$C$7:$BS$118,60,FALSE)-BJ129</f>
        <v>16231.666666666666</v>
      </c>
      <c r="BK136" s="33">
        <f>VLOOKUP($C136,$C$7:$BS$118,61,FALSE)-BK129</f>
        <v>1231.6666666666667</v>
      </c>
      <c r="BL136" s="33">
        <f>VLOOKUP($C136,$C$7:$BS$118,62,FALSE)-BL129</f>
        <v>16231.666666666666</v>
      </c>
      <c r="BM136" s="33">
        <f>VLOOKUP($C136,$C$7:$BS$118,63,FALSE)-BM129</f>
        <v>1231.6666666666667</v>
      </c>
      <c r="BN136" s="33">
        <f>VLOOKUP($C136,$C$7:$BS$118,64,FALSE)-BN129</f>
        <v>1231.6666666666667</v>
      </c>
      <c r="BO136" s="33">
        <f>VLOOKUP($C136,$C$7:$BS$118,65,FALSE)-BO129</f>
        <v>1231.6666666666667</v>
      </c>
      <c r="BP136" s="33">
        <f>VLOOKUP($C136,$C$7:$BS$118,66,FALSE)-BP129</f>
        <v>1231.6666666666667</v>
      </c>
      <c r="BQ136" s="33">
        <f>VLOOKUP($C136,$C$7:$BS$118,67,FALSE)-BQ129</f>
        <v>1231.6666666666667</v>
      </c>
      <c r="BR136" s="30">
        <f t="shared" si="151"/>
        <v>44779.999999999985</v>
      </c>
    </row>
    <row r="137" spans="2:70" x14ac:dyDescent="0.25">
      <c r="B137" s="35" t="s">
        <v>213</v>
      </c>
      <c r="C137" s="28" t="s">
        <v>224</v>
      </c>
      <c r="D137" s="28"/>
      <c r="E137" s="28"/>
      <c r="F137" s="33">
        <f>VLOOKUP($C137,$C$7:$S$118,4,FALSE)-F130</f>
        <v>7346.3099999999977</v>
      </c>
      <c r="G137" s="33">
        <f>VLOOKUP($C137,$C$7:$S$118,5,FALSE)-G130</f>
        <v>-5645.72</v>
      </c>
      <c r="H137" s="33">
        <f>VLOOKUP($C137,$C$7:$S$118,6,FALSE)-H130</f>
        <v>-11467.59</v>
      </c>
      <c r="I137" s="33">
        <f>VLOOKUP($C137,$C$7:$S$118,7,FALSE)-I130</f>
        <v>-6130</v>
      </c>
      <c r="J137" s="33">
        <f>VLOOKUP($C137,$C$7:$S$118,8,FALSE)-J130</f>
        <v>300</v>
      </c>
      <c r="K137" s="33">
        <f>VLOOKUP($C137,$C$7:$S$118,9,FALSE)-K130</f>
        <v>11852</v>
      </c>
      <c r="L137" s="33">
        <f>VLOOKUP($C137,$C$7:$S$118,10,FALSE)-L130</f>
        <v>-4880</v>
      </c>
      <c r="M137" s="33">
        <f>VLOOKUP($C137,$C$7:$S$118,11,FALSE)-M130</f>
        <v>-17830</v>
      </c>
      <c r="N137" s="33">
        <f>VLOOKUP($C137,$C$7:$S$118,12,FALSE)-N130</f>
        <v>13793.3</v>
      </c>
      <c r="O137" s="33">
        <f>VLOOKUP($C137,$C$7:$S$118,13,FALSE)-O130</f>
        <v>14603.3</v>
      </c>
      <c r="P137" s="33">
        <f>VLOOKUP($C137,$C$7:$S$118,14,FALSE)-P130</f>
        <v>12703.3</v>
      </c>
      <c r="Q137" s="33">
        <f>VLOOKUP($C137,$C$7:$S$118,15,FALSE)-Q130</f>
        <v>-7160</v>
      </c>
      <c r="R137" s="30">
        <f t="shared" si="149"/>
        <v>7484.8999999999942</v>
      </c>
      <c r="S137" s="5"/>
      <c r="T137" s="5"/>
      <c r="U137" s="5"/>
      <c r="V137" s="33">
        <f>VLOOKUP($C137,$C$7:$AG$118,20,FALSE)-V130</f>
        <v>7346.3099999999977</v>
      </c>
      <c r="W137" s="33">
        <f>VLOOKUP($C137,$C$7:$AG$118,21,FALSE)-W130</f>
        <v>-5645.72</v>
      </c>
      <c r="X137" s="33">
        <f>VLOOKUP($C137,$C$7:$AG$118,22,FALSE)-X130</f>
        <v>13542.049999999997</v>
      </c>
      <c r="Y137" s="33">
        <f>VLOOKUP($C137,$C$7:$AG$118,23,FALSE)-Y130</f>
        <v>-1853</v>
      </c>
      <c r="Z137" s="33">
        <f>VLOOKUP($C137,$C$7:$AG$118,24,FALSE)-Z130</f>
        <v>-4042.8599999999997</v>
      </c>
      <c r="AA137" s="33">
        <f>VLOOKUP($C137,$C$7:$AG$118,25,FALSE)-AA130</f>
        <v>3388.8199999999997</v>
      </c>
      <c r="AB137" s="33">
        <f>VLOOKUP($C137,$C$7:$AG$118,26,FALSE)-AB130</f>
        <v>-3876.8199999999997</v>
      </c>
      <c r="AC137" s="33">
        <f>VLOOKUP($C137,$C$7:$AG$118,27,FALSE)-AC130</f>
        <v>500</v>
      </c>
      <c r="AD137" s="33">
        <f>VLOOKUP($C137,$C$7:$AG$118,28,FALSE)-AD130</f>
        <v>14000</v>
      </c>
      <c r="AE137" s="33">
        <f>VLOOKUP($C137,$C$7:$AG$118,29,FALSE)-AE130</f>
        <v>2200</v>
      </c>
      <c r="AF137" s="33">
        <f>VLOOKUP($C137,$C$7:$AG$118,30,FALSE)-AF130</f>
        <v>13533.3</v>
      </c>
      <c r="AG137" s="33">
        <f>VLOOKUP($C137,$C$7:$AG$118,31,FALSE)-AG130</f>
        <v>-3000</v>
      </c>
      <c r="AH137" s="5"/>
      <c r="AI137" s="5"/>
      <c r="AJ137" s="5"/>
      <c r="AK137" s="5"/>
      <c r="AL137" s="33">
        <f>VLOOKUP($C137,$C$7:$AW$118,36,FALSE)-AL130</f>
        <v>7346.3099999999977</v>
      </c>
      <c r="AM137" s="33">
        <f>VLOOKUP($C137,$C$7:$AW$118,37,FALSE)-AM130</f>
        <v>-5645.72</v>
      </c>
      <c r="AN137" s="33">
        <f>VLOOKUP($C137,$C$7:$AW$118,38,FALSE)-AN130</f>
        <v>13542.049999999997</v>
      </c>
      <c r="AO137" s="33">
        <f>VLOOKUP($C137,$C$7:$AW$118,38,FALSE)-AO130</f>
        <v>11442.049999999997</v>
      </c>
      <c r="AP137" s="33">
        <f>VLOOKUP($C137,$C$7:$AW$118,40,FALSE)-AP130</f>
        <v>-4042.8599999999997</v>
      </c>
      <c r="AQ137" s="33">
        <f>VLOOKUP($C137,$C$7:$AW$118,41,FALSE)-AQ130</f>
        <v>10646.82</v>
      </c>
      <c r="AR137" s="33">
        <f>VLOOKUP($C137,$C$7:$AW$118,42,FALSE)-AR130</f>
        <v>22729.64</v>
      </c>
      <c r="AS137" s="33">
        <f>VLOOKUP($C137,$C$7:$AW$118,43,FALSE)-AS130</f>
        <v>319.48</v>
      </c>
      <c r="AT137" s="33">
        <f>VLOOKUP($C137,$C$7:$AW$118,44,FALSE)-AT130</f>
        <v>-1496</v>
      </c>
      <c r="AU137" s="33">
        <f>VLOOKUP($C137,$C$7:$AW$118,45,FALSE)-AU130</f>
        <v>2200</v>
      </c>
      <c r="AV137" s="33">
        <f>VLOOKUP($C137,$C$7:$AW$118,46,FALSE)-AV130</f>
        <v>15251.14</v>
      </c>
      <c r="AW137" s="33">
        <f>VLOOKUP($C137,$C$7:$AW$118,47,FALSE)-AW130</f>
        <v>4200</v>
      </c>
      <c r="AX137" s="30">
        <f t="shared" si="150"/>
        <v>76492.91</v>
      </c>
      <c r="AY137" s="5"/>
      <c r="AZ137" s="5"/>
      <c r="BA137" s="5"/>
      <c r="BB137" s="5"/>
      <c r="BC137" s="5"/>
      <c r="BD137" s="5"/>
      <c r="BE137" s="5"/>
      <c r="BF137" s="33">
        <f>VLOOKUP($C137,$C$7:$BS$118,56,FALSE)-BF130</f>
        <v>500</v>
      </c>
      <c r="BG137" s="33">
        <f>VLOOKUP($C137,$C$7:$BS$118,57,FALSE)-BG130</f>
        <v>0</v>
      </c>
      <c r="BH137" s="33">
        <f>VLOOKUP($C137,$C$7:$BS$118,58,FALSE)-BH130</f>
        <v>10783.2</v>
      </c>
      <c r="BI137" s="33">
        <f>VLOOKUP($C137,$C$7:$BS$118,38,FALSE)-BI130</f>
        <v>13632.049999999997</v>
      </c>
      <c r="BJ137" s="33">
        <f>VLOOKUP($C137,$C$7:$BS$118,60,FALSE)-BJ130</f>
        <v>500</v>
      </c>
      <c r="BK137" s="33">
        <f>VLOOKUP($C137,$C$7:$BS$118,61,FALSE)-BK130</f>
        <v>26886.6</v>
      </c>
      <c r="BL137" s="33">
        <f>VLOOKUP($C137,$C$7:$BS$118,62,FALSE)-BL130</f>
        <v>13643.3</v>
      </c>
      <c r="BM137" s="33">
        <f>VLOOKUP($C137,$C$7:$BS$118,63,FALSE)-BM130</f>
        <v>2000</v>
      </c>
      <c r="BN137" s="33">
        <f>VLOOKUP($C137,$C$7:$BS$118,64,FALSE)-BN130</f>
        <v>38436.6</v>
      </c>
      <c r="BO137" s="33">
        <f>VLOOKUP($C137,$C$7:$BS$118,65,FALSE)-BO130</f>
        <v>500</v>
      </c>
      <c r="BP137" s="33">
        <f>VLOOKUP($C137,$C$7:$BS$118,66,FALSE)-BP130</f>
        <v>200</v>
      </c>
      <c r="BQ137" s="33">
        <f>VLOOKUP($C137,$C$7:$BS$118,67,FALSE)-BQ130</f>
        <v>13943.3</v>
      </c>
      <c r="BR137" s="30">
        <f t="shared" si="151"/>
        <v>121025.05</v>
      </c>
    </row>
    <row r="138" spans="2:70" x14ac:dyDescent="0.25">
      <c r="B138" s="31" t="s">
        <v>209</v>
      </c>
      <c r="C138" s="34"/>
      <c r="D138" s="34"/>
      <c r="E138" s="34"/>
      <c r="F138" s="32">
        <f>SUBTOTAL(9,F134:F137)</f>
        <v>7732.3499999999976</v>
      </c>
      <c r="G138" s="32">
        <f t="shared" ref="G138:R138" si="152">SUBTOTAL(9,G134:G137)</f>
        <v>-5322.05</v>
      </c>
      <c r="H138" s="32">
        <f t="shared" si="152"/>
        <v>-13296.919999999998</v>
      </c>
      <c r="I138" s="32">
        <f t="shared" si="152"/>
        <v>2186.84</v>
      </c>
      <c r="J138" s="32">
        <f t="shared" si="152"/>
        <v>-1026.58</v>
      </c>
      <c r="K138" s="32">
        <f t="shared" si="152"/>
        <v>30405.42</v>
      </c>
      <c r="L138" s="32">
        <f t="shared" si="152"/>
        <v>-10014.459999999997</v>
      </c>
      <c r="M138" s="32">
        <f t="shared" si="152"/>
        <v>-5193.58</v>
      </c>
      <c r="N138" s="32">
        <f t="shared" si="152"/>
        <v>10244.719999999999</v>
      </c>
      <c r="O138" s="32">
        <f t="shared" si="152"/>
        <v>644.71999999999935</v>
      </c>
      <c r="P138" s="32">
        <f t="shared" si="152"/>
        <v>28744.720000000001</v>
      </c>
      <c r="Q138" s="32">
        <f t="shared" si="152"/>
        <v>-3356.58</v>
      </c>
      <c r="R138" s="32">
        <f t="shared" si="152"/>
        <v>41748.6</v>
      </c>
      <c r="S138" s="5"/>
      <c r="T138" s="5"/>
      <c r="U138" s="5"/>
      <c r="V138" s="32">
        <f>SUBTOTAL(9,V134:V137)</f>
        <v>7712.3499999999976</v>
      </c>
      <c r="W138" s="32">
        <f t="shared" ref="W138:AH138" si="153">SUBTOTAL(9,W134:W137)</f>
        <v>-5322.05</v>
      </c>
      <c r="X138" s="32">
        <f t="shared" si="153"/>
        <v>13831.72</v>
      </c>
      <c r="Y138" s="32">
        <f t="shared" si="153"/>
        <v>-6355.8600000000006</v>
      </c>
      <c r="Z138" s="32">
        <f t="shared" si="153"/>
        <v>-2312.7399999999998</v>
      </c>
      <c r="AA138" s="32">
        <f t="shared" si="153"/>
        <v>-40072.499999999993</v>
      </c>
      <c r="AB138" s="32">
        <f t="shared" si="153"/>
        <v>41322.659999999996</v>
      </c>
      <c r="AC138" s="32">
        <f t="shared" si="153"/>
        <v>18226.330000000002</v>
      </c>
      <c r="AD138" s="32">
        <f t="shared" si="153"/>
        <v>47459.229999999996</v>
      </c>
      <c r="AE138" s="32">
        <f t="shared" si="153"/>
        <v>3139.2299999999996</v>
      </c>
      <c r="AF138" s="32">
        <f t="shared" si="153"/>
        <v>44751.399999999994</v>
      </c>
      <c r="AG138" s="32">
        <f t="shared" si="153"/>
        <v>-8300.8300000000017</v>
      </c>
      <c r="AH138" s="5"/>
      <c r="AI138" s="5"/>
      <c r="AJ138" s="5"/>
      <c r="AK138" s="5"/>
      <c r="AL138" s="32">
        <f>SUBTOTAL(9,AL134:AL137)</f>
        <v>7712.3499999999976</v>
      </c>
      <c r="AM138" s="32">
        <f t="shared" ref="AM138:AX138" si="154">SUBTOTAL(9,AM134:AM137)</f>
        <v>-5322.05</v>
      </c>
      <c r="AN138" s="32">
        <f t="shared" si="154"/>
        <v>13831.72</v>
      </c>
      <c r="AO138" s="32">
        <f t="shared" si="154"/>
        <v>6939.1899999999969</v>
      </c>
      <c r="AP138" s="32">
        <f t="shared" si="154"/>
        <v>-2312.7399999999998</v>
      </c>
      <c r="AQ138" s="32">
        <f t="shared" si="154"/>
        <v>11785.499999999998</v>
      </c>
      <c r="AR138" s="32">
        <f t="shared" si="154"/>
        <v>37578.090000000004</v>
      </c>
      <c r="AS138" s="32">
        <f t="shared" si="154"/>
        <v>731.27000000000089</v>
      </c>
      <c r="AT138" s="32">
        <f t="shared" si="154"/>
        <v>-32333.360000000001</v>
      </c>
      <c r="AU138" s="32">
        <f t="shared" si="154"/>
        <v>74670.299999999988</v>
      </c>
      <c r="AV138" s="32">
        <f t="shared" si="154"/>
        <v>23458.82</v>
      </c>
      <c r="AW138" s="32">
        <f t="shared" si="154"/>
        <v>42962.25</v>
      </c>
      <c r="AX138" s="32">
        <f t="shared" si="154"/>
        <v>179701.34</v>
      </c>
      <c r="AY138" s="5"/>
      <c r="AZ138" s="5"/>
      <c r="BA138" s="5"/>
      <c r="BB138" s="5"/>
      <c r="BC138" s="5"/>
      <c r="BD138" s="5"/>
      <c r="BE138" s="5"/>
      <c r="BF138" s="32">
        <f>SUBTOTAL(9,BF134:BF137)</f>
        <v>5631.666666666667</v>
      </c>
      <c r="BG138" s="32">
        <f t="shared" ref="BG138:BR138" si="155">SUBTOTAL(9,BG134:BG137)</f>
        <v>4331.666666666667</v>
      </c>
      <c r="BH138" s="32">
        <f t="shared" si="155"/>
        <v>49864.866666666669</v>
      </c>
      <c r="BI138" s="32">
        <f t="shared" si="155"/>
        <v>52063.71666666666</v>
      </c>
      <c r="BJ138" s="32">
        <f t="shared" si="155"/>
        <v>24331.666666666664</v>
      </c>
      <c r="BK138" s="32">
        <f t="shared" si="155"/>
        <v>39968.266666666663</v>
      </c>
      <c r="BL138" s="32">
        <f t="shared" si="155"/>
        <v>68074.96666666666</v>
      </c>
      <c r="BM138" s="32">
        <f t="shared" si="155"/>
        <v>39931.666666666664</v>
      </c>
      <c r="BN138" s="32">
        <f t="shared" si="155"/>
        <v>52368.266666666663</v>
      </c>
      <c r="BO138" s="32">
        <f t="shared" si="155"/>
        <v>9081.6666666666661</v>
      </c>
      <c r="BP138" s="32">
        <f t="shared" si="155"/>
        <v>9031.6666666666661</v>
      </c>
      <c r="BQ138" s="32">
        <f t="shared" si="155"/>
        <v>18774.966666666667</v>
      </c>
      <c r="BR138" s="32">
        <f t="shared" si="155"/>
        <v>373455.05</v>
      </c>
    </row>
    <row r="139" spans="2:70" hidden="1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3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3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3"/>
    </row>
    <row r="140" spans="2:70" ht="18.75" hidden="1" x14ac:dyDescent="0.25">
      <c r="B140" s="26" t="s">
        <v>363</v>
      </c>
      <c r="C140" s="188" t="s">
        <v>391</v>
      </c>
      <c r="D140" s="188" t="s">
        <v>392</v>
      </c>
      <c r="E140" s="188" t="s">
        <v>392</v>
      </c>
      <c r="F140" s="27" t="s">
        <v>64</v>
      </c>
      <c r="G140" s="27" t="s">
        <v>63</v>
      </c>
      <c r="H140" s="27" t="s">
        <v>62</v>
      </c>
      <c r="I140" s="27" t="s">
        <v>61</v>
      </c>
      <c r="J140" s="27" t="s">
        <v>60</v>
      </c>
      <c r="K140" s="27" t="s">
        <v>59</v>
      </c>
      <c r="L140" s="27" t="s">
        <v>58</v>
      </c>
      <c r="M140" s="27" t="s">
        <v>57</v>
      </c>
      <c r="N140" s="27" t="s">
        <v>56</v>
      </c>
      <c r="O140" s="27" t="s">
        <v>55</v>
      </c>
      <c r="P140" s="27" t="s">
        <v>54</v>
      </c>
      <c r="Q140" s="27" t="s">
        <v>53</v>
      </c>
      <c r="R140" s="27" t="s">
        <v>52</v>
      </c>
      <c r="S140" s="5"/>
      <c r="T140" s="5"/>
      <c r="U140" s="5"/>
      <c r="V140" s="27" t="s">
        <v>64</v>
      </c>
      <c r="W140" s="27" t="s">
        <v>63</v>
      </c>
      <c r="X140" s="27" t="s">
        <v>62</v>
      </c>
      <c r="Y140" s="27" t="s">
        <v>61</v>
      </c>
      <c r="Z140" s="27" t="s">
        <v>60</v>
      </c>
      <c r="AA140" s="27" t="s">
        <v>59</v>
      </c>
      <c r="AB140" s="27" t="s">
        <v>58</v>
      </c>
      <c r="AC140" s="27" t="s">
        <v>57</v>
      </c>
      <c r="AD140" s="27" t="s">
        <v>56</v>
      </c>
      <c r="AE140" s="27" t="s">
        <v>55</v>
      </c>
      <c r="AF140" s="27" t="s">
        <v>54</v>
      </c>
      <c r="AG140" s="27" t="s">
        <v>53</v>
      </c>
      <c r="AH140" s="5"/>
      <c r="AI140" s="5"/>
      <c r="AJ140" s="5"/>
      <c r="AK140" s="5"/>
      <c r="AL140" s="27" t="s">
        <v>64</v>
      </c>
      <c r="AM140" s="27" t="s">
        <v>63</v>
      </c>
      <c r="AN140" s="27" t="s">
        <v>62</v>
      </c>
      <c r="AO140" s="27" t="s">
        <v>61</v>
      </c>
      <c r="AP140" s="27" t="s">
        <v>60</v>
      </c>
      <c r="AQ140" s="27" t="s">
        <v>59</v>
      </c>
      <c r="AR140" s="27" t="s">
        <v>58</v>
      </c>
      <c r="AS140" s="27" t="s">
        <v>57</v>
      </c>
      <c r="AT140" s="27" t="s">
        <v>56</v>
      </c>
      <c r="AU140" s="27" t="s">
        <v>55</v>
      </c>
      <c r="AV140" s="27" t="s">
        <v>54</v>
      </c>
      <c r="AW140" s="27" t="s">
        <v>53</v>
      </c>
      <c r="AX140" s="27" t="s">
        <v>52</v>
      </c>
      <c r="AY140" s="5"/>
      <c r="AZ140" s="5"/>
      <c r="BA140" s="5"/>
      <c r="BB140" s="5"/>
      <c r="BC140" s="5"/>
      <c r="BD140" s="5"/>
      <c r="BE140" s="5"/>
      <c r="BF140" s="27" t="s">
        <v>64</v>
      </c>
      <c r="BG140" s="27" t="s">
        <v>63</v>
      </c>
      <c r="BH140" s="27" t="s">
        <v>62</v>
      </c>
      <c r="BI140" s="27" t="s">
        <v>61</v>
      </c>
      <c r="BJ140" s="27" t="s">
        <v>60</v>
      </c>
      <c r="BK140" s="27" t="s">
        <v>59</v>
      </c>
      <c r="BL140" s="27" t="s">
        <v>58</v>
      </c>
      <c r="BM140" s="27" t="s">
        <v>57</v>
      </c>
      <c r="BN140" s="27" t="s">
        <v>56</v>
      </c>
      <c r="BO140" s="27" t="s">
        <v>55</v>
      </c>
      <c r="BP140" s="27" t="s">
        <v>54</v>
      </c>
      <c r="BQ140" s="27" t="s">
        <v>53</v>
      </c>
      <c r="BR140" s="27" t="s">
        <v>52</v>
      </c>
    </row>
    <row r="141" spans="2:70" hidden="1" x14ac:dyDescent="0.25">
      <c r="B141" s="35" t="s">
        <v>210</v>
      </c>
      <c r="C141" s="28" t="str">
        <f>LEFT($B$4,8)&amp;B141</f>
        <v>14790070External Analysis</v>
      </c>
      <c r="D141" s="28"/>
      <c r="E141" s="28"/>
      <c r="F141" s="33">
        <f t="shared" ref="F141:Q141" si="156">F69</f>
        <v>261.67</v>
      </c>
      <c r="G141" s="33">
        <f t="shared" si="156"/>
        <v>1036.94</v>
      </c>
      <c r="H141" s="33">
        <f t="shared" si="156"/>
        <v>-542.78</v>
      </c>
      <c r="I141" s="33">
        <f t="shared" si="156"/>
        <v>1171.42</v>
      </c>
      <c r="J141" s="33">
        <f t="shared" si="156"/>
        <v>1171.42</v>
      </c>
      <c r="K141" s="33">
        <f t="shared" si="156"/>
        <v>1171.42</v>
      </c>
      <c r="L141" s="33">
        <f t="shared" si="156"/>
        <v>1171.42</v>
      </c>
      <c r="M141" s="33">
        <f t="shared" si="156"/>
        <v>1171.42</v>
      </c>
      <c r="N141" s="33">
        <f t="shared" si="156"/>
        <v>1171.42</v>
      </c>
      <c r="O141" s="33">
        <f t="shared" si="156"/>
        <v>1171.42</v>
      </c>
      <c r="P141" s="33">
        <f t="shared" si="156"/>
        <v>1171.42</v>
      </c>
      <c r="Q141" s="33">
        <f t="shared" si="156"/>
        <v>1171.42</v>
      </c>
      <c r="R141" s="30">
        <f>SUM(F141:Q141)</f>
        <v>11298.61</v>
      </c>
      <c r="S141" s="5"/>
      <c r="T141" s="5"/>
      <c r="U141" s="5"/>
      <c r="V141" s="33">
        <f>V69</f>
        <v>261.67</v>
      </c>
      <c r="W141" s="33">
        <f t="shared" ref="W141:AG141" si="157">W69</f>
        <v>1036.94</v>
      </c>
      <c r="X141" s="33">
        <f t="shared" si="157"/>
        <v>-542.78</v>
      </c>
      <c r="Y141" s="33">
        <f t="shared" si="157"/>
        <v>1335.75</v>
      </c>
      <c r="Z141" s="33">
        <f t="shared" si="157"/>
        <v>226.18</v>
      </c>
      <c r="AA141" s="33">
        <f t="shared" si="157"/>
        <v>278.04000000000002</v>
      </c>
      <c r="AB141" s="33">
        <f t="shared" si="157"/>
        <v>1120.33</v>
      </c>
      <c r="AC141" s="33">
        <f t="shared" si="157"/>
        <v>1120.33</v>
      </c>
      <c r="AD141" s="33">
        <f t="shared" si="157"/>
        <v>1120.33</v>
      </c>
      <c r="AE141" s="33">
        <f t="shared" si="157"/>
        <v>1120.33</v>
      </c>
      <c r="AF141" s="33">
        <f t="shared" si="157"/>
        <v>1120.33</v>
      </c>
      <c r="AG141" s="33">
        <f t="shared" si="157"/>
        <v>1120.31</v>
      </c>
      <c r="AH141" s="5"/>
      <c r="AI141" s="5"/>
      <c r="AJ141" s="5"/>
      <c r="AK141" s="5"/>
      <c r="AL141" s="33">
        <f>AL69</f>
        <v>261.67</v>
      </c>
      <c r="AM141" s="33">
        <f t="shared" ref="AM141:AW141" si="158">AM69</f>
        <v>1036.94</v>
      </c>
      <c r="AN141" s="33">
        <f t="shared" si="158"/>
        <v>-542.78</v>
      </c>
      <c r="AO141" s="33">
        <f t="shared" si="158"/>
        <v>1335.75</v>
      </c>
      <c r="AP141" s="33">
        <f t="shared" si="158"/>
        <v>226.18</v>
      </c>
      <c r="AQ141" s="33">
        <f t="shared" si="158"/>
        <v>278.04000000000002</v>
      </c>
      <c r="AR141" s="33">
        <f t="shared" si="158"/>
        <v>2220</v>
      </c>
      <c r="AS141" s="33">
        <f t="shared" si="158"/>
        <v>140</v>
      </c>
      <c r="AT141" s="33">
        <f t="shared" si="158"/>
        <v>1135.5</v>
      </c>
      <c r="AU141" s="33">
        <f t="shared" si="158"/>
        <v>1226.46</v>
      </c>
      <c r="AV141" s="33">
        <f t="shared" si="158"/>
        <v>1000</v>
      </c>
      <c r="AW141" s="33">
        <f t="shared" si="158"/>
        <v>1000</v>
      </c>
      <c r="AX141" s="30">
        <f>SUM(AL141:AW141)</f>
        <v>9317.7599999999984</v>
      </c>
      <c r="AY141" s="5"/>
      <c r="AZ141" s="5"/>
      <c r="BA141" s="5"/>
      <c r="BB141" s="5"/>
      <c r="BC141" s="5"/>
      <c r="BD141" s="5"/>
      <c r="BE141" s="5"/>
      <c r="BF141" s="33">
        <f>BF69</f>
        <v>200</v>
      </c>
      <c r="BG141" s="33">
        <f t="shared" ref="BG141:BQ141" si="159">BG69</f>
        <v>500</v>
      </c>
      <c r="BH141" s="33">
        <f t="shared" si="159"/>
        <v>500</v>
      </c>
      <c r="BI141" s="33">
        <f t="shared" si="159"/>
        <v>1000</v>
      </c>
      <c r="BJ141" s="33">
        <f t="shared" si="159"/>
        <v>500</v>
      </c>
      <c r="BK141" s="33">
        <f t="shared" si="159"/>
        <v>500</v>
      </c>
      <c r="BL141" s="33">
        <f t="shared" si="159"/>
        <v>1000</v>
      </c>
      <c r="BM141" s="33">
        <f t="shared" si="159"/>
        <v>500</v>
      </c>
      <c r="BN141" s="33">
        <f t="shared" si="159"/>
        <v>500</v>
      </c>
      <c r="BO141" s="33">
        <f t="shared" si="159"/>
        <v>1000</v>
      </c>
      <c r="BP141" s="33">
        <f t="shared" si="159"/>
        <v>500</v>
      </c>
      <c r="BQ141" s="33">
        <f t="shared" si="159"/>
        <v>500</v>
      </c>
      <c r="BR141" s="30">
        <f>SUM(BF141:BQ141)</f>
        <v>7200</v>
      </c>
    </row>
    <row r="142" spans="2:70" hidden="1" x14ac:dyDescent="0.25">
      <c r="B142" s="35" t="s">
        <v>211</v>
      </c>
      <c r="C142" s="28" t="str">
        <f>LEFT($B$4,8)&amp;B142</f>
        <v>14790070Materials and shipping</v>
      </c>
      <c r="D142" s="28"/>
      <c r="E142" s="28"/>
      <c r="F142" s="33">
        <f t="shared" ref="F142:Q142" si="160">F76-F141</f>
        <v>104.37000000000018</v>
      </c>
      <c r="G142" s="33">
        <f t="shared" si="160"/>
        <v>3616.73</v>
      </c>
      <c r="H142" s="33">
        <f t="shared" si="160"/>
        <v>8871.0700000000015</v>
      </c>
      <c r="I142" s="33">
        <f t="shared" si="160"/>
        <v>14499.8</v>
      </c>
      <c r="J142" s="33">
        <f t="shared" si="160"/>
        <v>28664</v>
      </c>
      <c r="K142" s="33">
        <f t="shared" si="160"/>
        <v>50664</v>
      </c>
      <c r="L142" s="33">
        <f t="shared" si="160"/>
        <v>51860.12</v>
      </c>
      <c r="M142" s="33">
        <f t="shared" si="160"/>
        <v>46664</v>
      </c>
      <c r="N142" s="33">
        <f t="shared" si="160"/>
        <v>32664</v>
      </c>
      <c r="O142" s="33">
        <f t="shared" si="160"/>
        <v>22664</v>
      </c>
      <c r="P142" s="33">
        <f t="shared" si="160"/>
        <v>17664</v>
      </c>
      <c r="Q142" s="33">
        <f t="shared" si="160"/>
        <v>7664</v>
      </c>
      <c r="R142" s="30">
        <f t="shared" ref="R142:R144" si="161">SUM(F142:Q142)</f>
        <v>285600.08999999997</v>
      </c>
      <c r="S142" s="5"/>
      <c r="T142" s="5"/>
      <c r="U142" s="5"/>
      <c r="V142" s="33">
        <f>V76-V141</f>
        <v>104.37000000000018</v>
      </c>
      <c r="W142" s="33">
        <f t="shared" ref="W142" si="162">W76-W141</f>
        <v>3616.73</v>
      </c>
      <c r="X142" s="33">
        <f t="shared" ref="X142" si="163">X76-X141</f>
        <v>8871.0700000000015</v>
      </c>
      <c r="Y142" s="33">
        <f t="shared" ref="Y142" si="164">Y76-Y141</f>
        <v>27694.23</v>
      </c>
      <c r="Z142" s="33">
        <f t="shared" ref="Z142" si="165">Z76-Z141</f>
        <v>3513.94</v>
      </c>
      <c r="AA142" s="33">
        <f t="shared" ref="AA142" si="166">AA76-AA141</f>
        <v>2387.8599999999997</v>
      </c>
      <c r="AB142" s="33">
        <f t="shared" ref="AB142" si="167">AB76-AB141</f>
        <v>76521.929999999993</v>
      </c>
      <c r="AC142" s="33">
        <f t="shared" ref="AC142" si="168">AC76-AC141</f>
        <v>56568.9</v>
      </c>
      <c r="AD142" s="33">
        <f t="shared" ref="AD142" si="169">AD76-AD141</f>
        <v>6568.9</v>
      </c>
      <c r="AE142" s="33">
        <f t="shared" ref="AE142" si="170">AE76-AE141</f>
        <v>10568.9</v>
      </c>
      <c r="AF142" s="33">
        <f t="shared" ref="AF142" si="171">AF76-AF141</f>
        <v>75847.76999999999</v>
      </c>
      <c r="AG142" s="33">
        <f t="shared" ref="AG142" si="172">AG76-AG141</f>
        <v>7568.8599999999988</v>
      </c>
      <c r="AH142" s="5"/>
      <c r="AI142" s="5"/>
      <c r="AJ142" s="5"/>
      <c r="AK142" s="5"/>
      <c r="AL142" s="33">
        <f>AL76-AL141</f>
        <v>104.37000000000018</v>
      </c>
      <c r="AM142" s="33">
        <f t="shared" ref="AM142" si="173">AM76-AM141</f>
        <v>3616.73</v>
      </c>
      <c r="AN142" s="33">
        <f t="shared" ref="AN142" si="174">AN76-AN141</f>
        <v>8871.0700000000015</v>
      </c>
      <c r="AO142" s="33">
        <f t="shared" ref="AO142" si="175">AO76-AO141</f>
        <v>27694.23</v>
      </c>
      <c r="AP142" s="33">
        <f t="shared" ref="AP142" si="176">AP76-AP141</f>
        <v>3513.94</v>
      </c>
      <c r="AQ142" s="33">
        <f t="shared" ref="AQ142" si="177">AQ76-AQ141</f>
        <v>2387.86</v>
      </c>
      <c r="AR142" s="33">
        <f t="shared" ref="AR142" si="178">AR76-AR141</f>
        <v>8601.5400000000009</v>
      </c>
      <c r="AS142" s="33">
        <f t="shared" ref="AS142" si="179">AS76-AS141</f>
        <v>15341.79</v>
      </c>
      <c r="AT142" s="33">
        <f t="shared" ref="AT142" si="180">AT76-AT141</f>
        <v>56147.14</v>
      </c>
      <c r="AU142" s="33">
        <f t="shared" ref="AU142" si="181">AU76-AU141</f>
        <v>35541.74</v>
      </c>
      <c r="AV142" s="33">
        <f t="shared" ref="AV142" si="182">AV76-AV141</f>
        <v>46017.68</v>
      </c>
      <c r="AW142" s="33">
        <f t="shared" ref="AW142" si="183">AW76-AW141</f>
        <v>42882.25</v>
      </c>
      <c r="AX142" s="30">
        <f t="shared" ref="AX142:AX144" si="184">SUM(AL142:AW142)</f>
        <v>250720.34</v>
      </c>
      <c r="AY142" s="5"/>
      <c r="AZ142" s="5"/>
      <c r="BA142" s="5"/>
      <c r="BB142" s="5"/>
      <c r="BC142" s="5"/>
      <c r="BD142" s="5"/>
      <c r="BE142" s="5"/>
      <c r="BF142" s="33">
        <f>BF76-BF141</f>
        <v>3700</v>
      </c>
      <c r="BG142" s="33">
        <f t="shared" ref="BG142" si="185">BG76-BG141</f>
        <v>2600</v>
      </c>
      <c r="BH142" s="33">
        <f t="shared" ref="BH142" si="186">BH76-BH141</f>
        <v>37350</v>
      </c>
      <c r="BI142" s="33">
        <f t="shared" ref="BI142" si="187">BI76-BI141</f>
        <v>36200</v>
      </c>
      <c r="BJ142" s="33">
        <f t="shared" ref="BJ142" si="188">BJ76-BJ141</f>
        <v>7100</v>
      </c>
      <c r="BK142" s="33">
        <f t="shared" ref="BK142" si="189">BK76-BK141</f>
        <v>11350</v>
      </c>
      <c r="BL142" s="33">
        <f t="shared" ref="BL142" si="190">BL76-BL141</f>
        <v>37200</v>
      </c>
      <c r="BM142" s="33">
        <f t="shared" ref="BM142" si="191">BM76-BM141</f>
        <v>36200</v>
      </c>
      <c r="BN142" s="33">
        <f t="shared" ref="BN142" si="192">BN76-BN141</f>
        <v>12200</v>
      </c>
      <c r="BO142" s="33">
        <f t="shared" ref="BO142" si="193">BO76-BO141</f>
        <v>6350</v>
      </c>
      <c r="BP142" s="33">
        <f t="shared" ref="BP142" si="194">BP76-BP141</f>
        <v>7100</v>
      </c>
      <c r="BQ142" s="33">
        <f t="shared" ref="BQ142" si="195">BQ76-BQ141</f>
        <v>3100</v>
      </c>
      <c r="BR142" s="30">
        <f t="shared" ref="BR142:BR144" si="196">SUM(BF142:BQ142)</f>
        <v>200450</v>
      </c>
    </row>
    <row r="143" spans="2:70" hidden="1" x14ac:dyDescent="0.25">
      <c r="B143" s="35" t="s">
        <v>212</v>
      </c>
      <c r="C143" s="28" t="str">
        <f>LEFT($B$4,8)&amp;B143</f>
        <v>14790070Other External Agreements</v>
      </c>
      <c r="D143" s="28"/>
      <c r="E143" s="28"/>
      <c r="F143" s="33">
        <f t="shared" ref="F143:Q143" si="197">F84</f>
        <v>0</v>
      </c>
      <c r="G143" s="33">
        <f t="shared" si="197"/>
        <v>0</v>
      </c>
      <c r="H143" s="33">
        <f t="shared" si="197"/>
        <v>291.38</v>
      </c>
      <c r="I143" s="33">
        <f t="shared" si="197"/>
        <v>-291.38</v>
      </c>
      <c r="J143" s="33">
        <f t="shared" si="197"/>
        <v>0</v>
      </c>
      <c r="K143" s="33">
        <f t="shared" si="197"/>
        <v>29000</v>
      </c>
      <c r="L143" s="33">
        <f t="shared" si="197"/>
        <v>0</v>
      </c>
      <c r="M143" s="33">
        <f t="shared" si="197"/>
        <v>15570</v>
      </c>
      <c r="N143" s="33">
        <f t="shared" si="197"/>
        <v>0</v>
      </c>
      <c r="O143" s="33">
        <f t="shared" si="197"/>
        <v>0</v>
      </c>
      <c r="P143" s="33">
        <f t="shared" si="197"/>
        <v>0</v>
      </c>
      <c r="Q143" s="33">
        <f t="shared" si="197"/>
        <v>0</v>
      </c>
      <c r="R143" s="30">
        <f t="shared" si="161"/>
        <v>44570</v>
      </c>
      <c r="S143" s="5"/>
      <c r="T143" s="5"/>
      <c r="U143" s="5"/>
      <c r="V143" s="33">
        <f>V84</f>
        <v>0</v>
      </c>
      <c r="W143" s="33">
        <f t="shared" ref="W143:AG143" si="198">W84</f>
        <v>0</v>
      </c>
      <c r="X143" s="33">
        <f t="shared" si="198"/>
        <v>291.38</v>
      </c>
      <c r="Y143" s="33">
        <f t="shared" si="198"/>
        <v>17367.16</v>
      </c>
      <c r="Z143" s="33">
        <f t="shared" si="198"/>
        <v>0</v>
      </c>
      <c r="AA143" s="33">
        <f t="shared" si="198"/>
        <v>-22147.219999999998</v>
      </c>
      <c r="AB143" s="33">
        <f t="shared" si="198"/>
        <v>22147.22</v>
      </c>
      <c r="AC143" s="33">
        <f t="shared" si="198"/>
        <v>16037.1</v>
      </c>
      <c r="AD143" s="33">
        <f t="shared" si="198"/>
        <v>29000</v>
      </c>
      <c r="AE143" s="33">
        <f t="shared" si="198"/>
        <v>0</v>
      </c>
      <c r="AF143" s="33">
        <f t="shared" si="198"/>
        <v>0</v>
      </c>
      <c r="AG143" s="33">
        <f t="shared" si="198"/>
        <v>0</v>
      </c>
      <c r="AH143" s="5"/>
      <c r="AI143" s="5"/>
      <c r="AJ143" s="5"/>
      <c r="AK143" s="5"/>
      <c r="AL143" s="33">
        <f>AL84</f>
        <v>0</v>
      </c>
      <c r="AM143" s="33">
        <f t="shared" ref="AM143:AW143" si="199">AM84</f>
        <v>0</v>
      </c>
      <c r="AN143" s="33">
        <f t="shared" si="199"/>
        <v>291.38</v>
      </c>
      <c r="AO143" s="33">
        <f t="shared" si="199"/>
        <v>17367.16</v>
      </c>
      <c r="AP143" s="33">
        <f t="shared" si="199"/>
        <v>0</v>
      </c>
      <c r="AQ143" s="33">
        <f t="shared" si="199"/>
        <v>-22147.22</v>
      </c>
      <c r="AR143" s="33">
        <f t="shared" si="199"/>
        <v>35556.910000000003</v>
      </c>
      <c r="AS143" s="33">
        <f t="shared" si="199"/>
        <v>-21320</v>
      </c>
      <c r="AT143" s="33">
        <f t="shared" si="199"/>
        <v>0</v>
      </c>
      <c r="AU143" s="33">
        <f t="shared" si="199"/>
        <v>40132.1</v>
      </c>
      <c r="AV143" s="33">
        <f t="shared" si="199"/>
        <v>0</v>
      </c>
      <c r="AW143" s="33">
        <f t="shared" si="199"/>
        <v>0</v>
      </c>
      <c r="AX143" s="30">
        <f t="shared" si="184"/>
        <v>49880.33</v>
      </c>
      <c r="AY143" s="5"/>
      <c r="AZ143" s="5"/>
      <c r="BA143" s="5"/>
      <c r="BB143" s="5"/>
      <c r="BC143" s="5"/>
      <c r="BD143" s="5"/>
      <c r="BE143" s="5"/>
      <c r="BF143" s="33">
        <f>BF84</f>
        <v>1231.6666666666667</v>
      </c>
      <c r="BG143" s="33">
        <f t="shared" ref="BG143:BQ143" si="200">BG84</f>
        <v>1231.6666666666667</v>
      </c>
      <c r="BH143" s="33">
        <f t="shared" si="200"/>
        <v>1231.6666666666667</v>
      </c>
      <c r="BI143" s="33">
        <f t="shared" si="200"/>
        <v>1231.6666666666667</v>
      </c>
      <c r="BJ143" s="33">
        <f t="shared" si="200"/>
        <v>16231.666666666666</v>
      </c>
      <c r="BK143" s="33">
        <f t="shared" si="200"/>
        <v>1231.6666666666667</v>
      </c>
      <c r="BL143" s="33">
        <f t="shared" si="200"/>
        <v>16231.666666666666</v>
      </c>
      <c r="BM143" s="33">
        <f t="shared" si="200"/>
        <v>1231.6666666666667</v>
      </c>
      <c r="BN143" s="33">
        <f t="shared" si="200"/>
        <v>1231.6666666666667</v>
      </c>
      <c r="BO143" s="33">
        <f t="shared" si="200"/>
        <v>1231.6666666666667</v>
      </c>
      <c r="BP143" s="33">
        <f t="shared" si="200"/>
        <v>1231.6666666666667</v>
      </c>
      <c r="BQ143" s="33">
        <f t="shared" si="200"/>
        <v>1231.6666666666667</v>
      </c>
      <c r="BR143" s="30">
        <f t="shared" si="196"/>
        <v>44779.999999999985</v>
      </c>
    </row>
    <row r="144" spans="2:70" hidden="1" x14ac:dyDescent="0.25">
      <c r="B144" s="35" t="s">
        <v>213</v>
      </c>
      <c r="C144" s="28" t="str">
        <f>LEFT($B$4,8)&amp;B144</f>
        <v>14790070Travel, Training, Meetings</v>
      </c>
      <c r="D144" s="28"/>
      <c r="E144" s="28"/>
      <c r="F144" s="33">
        <f>F118</f>
        <v>10036.309999999998</v>
      </c>
      <c r="G144" s="33">
        <f t="shared" ref="G144:Q144" si="201">G118</f>
        <v>704.28</v>
      </c>
      <c r="H144" s="33">
        <f t="shared" si="201"/>
        <v>1032.4099999999999</v>
      </c>
      <c r="I144" s="33">
        <f t="shared" si="201"/>
        <v>2200</v>
      </c>
      <c r="J144" s="33">
        <f t="shared" si="201"/>
        <v>300</v>
      </c>
      <c r="K144" s="33">
        <f t="shared" si="201"/>
        <v>14352</v>
      </c>
      <c r="L144" s="33">
        <f t="shared" si="201"/>
        <v>7620</v>
      </c>
      <c r="M144" s="33">
        <f t="shared" si="201"/>
        <v>500</v>
      </c>
      <c r="N144" s="33">
        <f t="shared" si="201"/>
        <v>16293.3</v>
      </c>
      <c r="O144" s="33">
        <f t="shared" si="201"/>
        <v>15433.3</v>
      </c>
      <c r="P144" s="33">
        <f t="shared" si="201"/>
        <v>13533.3</v>
      </c>
      <c r="Q144" s="33">
        <f t="shared" si="201"/>
        <v>2000</v>
      </c>
      <c r="R144" s="30">
        <f t="shared" si="161"/>
        <v>84004.900000000009</v>
      </c>
      <c r="S144" s="5"/>
      <c r="T144" s="5"/>
      <c r="U144" s="5"/>
      <c r="V144" s="33">
        <f>V118</f>
        <v>10036.309999999998</v>
      </c>
      <c r="W144" s="33">
        <f t="shared" ref="W144:AG144" si="202">W118</f>
        <v>704.28</v>
      </c>
      <c r="X144" s="33">
        <f t="shared" si="202"/>
        <v>13632.049999999997</v>
      </c>
      <c r="Y144" s="33">
        <f t="shared" si="202"/>
        <v>337</v>
      </c>
      <c r="Z144" s="33">
        <f t="shared" si="202"/>
        <v>1267.1400000000001</v>
      </c>
      <c r="AA144" s="33">
        <f t="shared" si="202"/>
        <v>14388.82</v>
      </c>
      <c r="AB144" s="33">
        <f t="shared" si="202"/>
        <v>8123.18</v>
      </c>
      <c r="AC144" s="33">
        <f t="shared" si="202"/>
        <v>500</v>
      </c>
      <c r="AD144" s="33">
        <f t="shared" si="202"/>
        <v>14000</v>
      </c>
      <c r="AE144" s="33">
        <f t="shared" si="202"/>
        <v>2200</v>
      </c>
      <c r="AF144" s="33">
        <f t="shared" si="202"/>
        <v>13533.3</v>
      </c>
      <c r="AG144" s="33">
        <f t="shared" si="202"/>
        <v>2000</v>
      </c>
      <c r="AH144" s="5"/>
      <c r="AI144" s="5"/>
      <c r="AJ144" s="5"/>
      <c r="AK144" s="5"/>
      <c r="AL144" s="33">
        <f>AL118</f>
        <v>10036.309999999998</v>
      </c>
      <c r="AM144" s="33">
        <f t="shared" ref="AM144:AW144" si="203">AM118</f>
        <v>704.28</v>
      </c>
      <c r="AN144" s="33">
        <f t="shared" si="203"/>
        <v>13632.049999999997</v>
      </c>
      <c r="AO144" s="33">
        <f t="shared" si="203"/>
        <v>137</v>
      </c>
      <c r="AP144" s="33">
        <f t="shared" si="203"/>
        <v>1267.1400000000001</v>
      </c>
      <c r="AQ144" s="33">
        <f t="shared" si="203"/>
        <v>13966.82</v>
      </c>
      <c r="AR144" s="33">
        <f t="shared" si="203"/>
        <v>26289.64</v>
      </c>
      <c r="AS144" s="33">
        <f t="shared" si="203"/>
        <v>489.48</v>
      </c>
      <c r="AT144" s="33">
        <f t="shared" si="203"/>
        <v>3504</v>
      </c>
      <c r="AU144" s="33">
        <f t="shared" si="203"/>
        <v>2200</v>
      </c>
      <c r="AV144" s="33">
        <f t="shared" si="203"/>
        <v>15251.14</v>
      </c>
      <c r="AW144" s="33">
        <f t="shared" si="203"/>
        <v>4200</v>
      </c>
      <c r="AX144" s="30">
        <f t="shared" si="184"/>
        <v>91677.859999999986</v>
      </c>
      <c r="AY144" s="5"/>
      <c r="AZ144" s="5"/>
      <c r="BA144" s="5"/>
      <c r="BB144" s="5"/>
      <c r="BC144" s="5"/>
      <c r="BD144" s="5"/>
      <c r="BE144" s="5"/>
      <c r="BF144" s="33">
        <f>BF118</f>
        <v>500</v>
      </c>
      <c r="BG144" s="33">
        <f t="shared" ref="BG144:BQ144" si="204">BG118</f>
        <v>0</v>
      </c>
      <c r="BH144" s="33">
        <f t="shared" si="204"/>
        <v>10783.2</v>
      </c>
      <c r="BI144" s="33">
        <f t="shared" si="204"/>
        <v>2500</v>
      </c>
      <c r="BJ144" s="33">
        <f t="shared" si="204"/>
        <v>500</v>
      </c>
      <c r="BK144" s="33">
        <f t="shared" si="204"/>
        <v>26886.6</v>
      </c>
      <c r="BL144" s="33">
        <f t="shared" si="204"/>
        <v>13643.3</v>
      </c>
      <c r="BM144" s="33">
        <f t="shared" si="204"/>
        <v>2000</v>
      </c>
      <c r="BN144" s="33">
        <f t="shared" si="204"/>
        <v>38436.6</v>
      </c>
      <c r="BO144" s="33">
        <f t="shared" si="204"/>
        <v>500</v>
      </c>
      <c r="BP144" s="33">
        <f t="shared" si="204"/>
        <v>200</v>
      </c>
      <c r="BQ144" s="33">
        <f t="shared" si="204"/>
        <v>13943.3</v>
      </c>
      <c r="BR144" s="30">
        <f t="shared" si="196"/>
        <v>109893.00000000001</v>
      </c>
    </row>
    <row r="145" spans="2:70" hidden="1" x14ac:dyDescent="0.25">
      <c r="B145" s="31" t="s">
        <v>208</v>
      </c>
      <c r="C145" s="34"/>
      <c r="D145" s="34"/>
      <c r="E145" s="34"/>
      <c r="F145" s="32">
        <f>SUBTOTAL(9,F141:F144)</f>
        <v>10402.349999999999</v>
      </c>
      <c r="G145" s="32">
        <f t="shared" ref="G145:R145" si="205">SUBTOTAL(9,G141:G144)</f>
        <v>5357.95</v>
      </c>
      <c r="H145" s="32">
        <f t="shared" si="205"/>
        <v>9652.08</v>
      </c>
      <c r="I145" s="32">
        <f t="shared" si="205"/>
        <v>17579.84</v>
      </c>
      <c r="J145" s="32">
        <f t="shared" si="205"/>
        <v>30135.42</v>
      </c>
      <c r="K145" s="32">
        <f t="shared" si="205"/>
        <v>95187.42</v>
      </c>
      <c r="L145" s="32">
        <f t="shared" si="205"/>
        <v>60651.54</v>
      </c>
      <c r="M145" s="32">
        <f t="shared" si="205"/>
        <v>63905.42</v>
      </c>
      <c r="N145" s="32">
        <f t="shared" si="205"/>
        <v>50128.72</v>
      </c>
      <c r="O145" s="32">
        <f t="shared" si="205"/>
        <v>39268.720000000001</v>
      </c>
      <c r="P145" s="32">
        <f t="shared" si="205"/>
        <v>32368.719999999998</v>
      </c>
      <c r="Q145" s="32">
        <f t="shared" si="205"/>
        <v>10835.42</v>
      </c>
      <c r="R145" s="32">
        <f t="shared" si="205"/>
        <v>425473.6</v>
      </c>
      <c r="S145" s="5"/>
      <c r="T145" s="5"/>
      <c r="U145" s="5"/>
      <c r="V145" s="32">
        <f>SUBTOTAL(9,V141:V144)</f>
        <v>10402.349999999999</v>
      </c>
      <c r="W145" s="32">
        <f t="shared" ref="W145:AH145" si="206">SUBTOTAL(9,W141:W144)</f>
        <v>5357.95</v>
      </c>
      <c r="X145" s="32">
        <f t="shared" si="206"/>
        <v>22251.719999999998</v>
      </c>
      <c r="Y145" s="32">
        <f t="shared" si="206"/>
        <v>46734.14</v>
      </c>
      <c r="Z145" s="32">
        <f t="shared" si="206"/>
        <v>5007.26</v>
      </c>
      <c r="AA145" s="32">
        <f t="shared" si="206"/>
        <v>-5092.5</v>
      </c>
      <c r="AB145" s="32">
        <f t="shared" si="206"/>
        <v>107912.66</v>
      </c>
      <c r="AC145" s="32">
        <f t="shared" si="206"/>
        <v>74226.33</v>
      </c>
      <c r="AD145" s="32">
        <f t="shared" si="206"/>
        <v>50689.229999999996</v>
      </c>
      <c r="AE145" s="32">
        <f t="shared" si="206"/>
        <v>13889.23</v>
      </c>
      <c r="AF145" s="32">
        <f t="shared" si="206"/>
        <v>90501.4</v>
      </c>
      <c r="AG145" s="32">
        <f t="shared" si="206"/>
        <v>10689.169999999998</v>
      </c>
      <c r="AH145" s="5"/>
      <c r="AI145" s="5"/>
      <c r="AJ145" s="5"/>
      <c r="AK145" s="5"/>
      <c r="AL145" s="32">
        <f>SUBTOTAL(9,AL141:AL144)</f>
        <v>10402.349999999999</v>
      </c>
      <c r="AM145" s="32">
        <f t="shared" ref="AM145:AX145" si="207">SUBTOTAL(9,AM141:AM144)</f>
        <v>5357.95</v>
      </c>
      <c r="AN145" s="32">
        <f t="shared" si="207"/>
        <v>22251.719999999998</v>
      </c>
      <c r="AO145" s="32">
        <f t="shared" si="207"/>
        <v>46534.14</v>
      </c>
      <c r="AP145" s="32">
        <f t="shared" si="207"/>
        <v>5007.26</v>
      </c>
      <c r="AQ145" s="32">
        <f t="shared" si="207"/>
        <v>-5514.5</v>
      </c>
      <c r="AR145" s="32">
        <f t="shared" si="207"/>
        <v>72668.09</v>
      </c>
      <c r="AS145" s="32">
        <f t="shared" si="207"/>
        <v>-5348.73</v>
      </c>
      <c r="AT145" s="32">
        <f t="shared" si="207"/>
        <v>60786.64</v>
      </c>
      <c r="AU145" s="32">
        <f t="shared" si="207"/>
        <v>79100.299999999988</v>
      </c>
      <c r="AV145" s="32">
        <f t="shared" si="207"/>
        <v>62268.82</v>
      </c>
      <c r="AW145" s="32">
        <f t="shared" si="207"/>
        <v>48082.25</v>
      </c>
      <c r="AX145" s="32">
        <f t="shared" si="207"/>
        <v>401596.29</v>
      </c>
      <c r="AY145" s="5"/>
      <c r="AZ145" s="5"/>
      <c r="BA145" s="5"/>
      <c r="BB145" s="5"/>
      <c r="BC145" s="5"/>
      <c r="BD145" s="5"/>
      <c r="BE145" s="5"/>
      <c r="BF145" s="32">
        <f>SUBTOTAL(9,BF141:BF144)</f>
        <v>5631.666666666667</v>
      </c>
      <c r="BG145" s="32">
        <f t="shared" ref="BG145:BR145" si="208">SUBTOTAL(9,BG141:BG144)</f>
        <v>4331.666666666667</v>
      </c>
      <c r="BH145" s="32">
        <f t="shared" si="208"/>
        <v>49864.866666666669</v>
      </c>
      <c r="BI145" s="32">
        <f t="shared" si="208"/>
        <v>40931.666666666664</v>
      </c>
      <c r="BJ145" s="32">
        <f t="shared" si="208"/>
        <v>24331.666666666664</v>
      </c>
      <c r="BK145" s="32">
        <f t="shared" si="208"/>
        <v>39968.266666666663</v>
      </c>
      <c r="BL145" s="32">
        <f t="shared" si="208"/>
        <v>68074.96666666666</v>
      </c>
      <c r="BM145" s="32">
        <f t="shared" si="208"/>
        <v>39931.666666666664</v>
      </c>
      <c r="BN145" s="32">
        <f t="shared" si="208"/>
        <v>52368.266666666663</v>
      </c>
      <c r="BO145" s="32">
        <f t="shared" si="208"/>
        <v>9081.6666666666661</v>
      </c>
      <c r="BP145" s="32">
        <f t="shared" si="208"/>
        <v>9031.6666666666661</v>
      </c>
      <c r="BQ145" s="32">
        <f t="shared" si="208"/>
        <v>18774.966666666667</v>
      </c>
      <c r="BR145" s="32">
        <f t="shared" si="208"/>
        <v>362323</v>
      </c>
    </row>
    <row r="146" spans="2:70" x14ac:dyDescent="0.25">
      <c r="AH146" s="5"/>
    </row>
    <row r="147" spans="2:70" x14ac:dyDescent="0.25">
      <c r="AH147" s="5"/>
    </row>
    <row r="148" spans="2:70" x14ac:dyDescent="0.25">
      <c r="AH148" s="5"/>
    </row>
  </sheetData>
  <mergeCells count="5">
    <mergeCell ref="BF5:BT5"/>
    <mergeCell ref="BB5:BD5"/>
    <mergeCell ref="D5:T5"/>
    <mergeCell ref="V5:AJ5"/>
    <mergeCell ref="AL5:AZ5"/>
  </mergeCells>
  <conditionalFormatting sqref="AF6">
    <cfRule type="top10" dxfId="2" priority="13" percent="1" rank="27"/>
  </conditionalFormatting>
  <conditionalFormatting sqref="AV6">
    <cfRule type="top10" dxfId="1" priority="14" percent="1" rank="27"/>
  </conditionalFormatting>
  <conditionalFormatting sqref="BP6">
    <cfRule type="top10" dxfId="0" priority="6" percent="1" rank="27"/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3" id="{EC8CA23A-A299-4C76-9A09-8EFDBC6DE6B3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F134:R137</xm:sqref>
        </x14:conditionalFormatting>
        <x14:conditionalFormatting xmlns:xm="http://schemas.microsoft.com/office/excel/2006/main">
          <x14:cfRule type="iconSet" priority="25" id="{563BADB9-BEC6-49B9-8F15-0FBEDA1EEBC4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V134:AG137</xm:sqref>
        </x14:conditionalFormatting>
        <x14:conditionalFormatting xmlns:xm="http://schemas.microsoft.com/office/excel/2006/main">
          <x14:cfRule type="iconSet" priority="19" id="{78C6254F-3620-463F-954C-662E3FE048D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AL134:AX137</xm:sqref>
        </x14:conditionalFormatting>
        <x14:conditionalFormatting xmlns:xm="http://schemas.microsoft.com/office/excel/2006/main">
          <x14:cfRule type="iconSet" priority="32" id="{E932F9AE-747C-4069-A28D-C6351A862C95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BD8:BD11</xm:sqref>
        </x14:conditionalFormatting>
        <x14:conditionalFormatting xmlns:xm="http://schemas.microsoft.com/office/excel/2006/main">
          <x14:cfRule type="iconSet" priority="12" id="{1D51013C-1D34-4279-BEEF-AB6CD8EB6C27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BD15:BD65</xm:sqref>
        </x14:conditionalFormatting>
        <x14:conditionalFormatting xmlns:xm="http://schemas.microsoft.com/office/excel/2006/main">
          <x14:cfRule type="iconSet" priority="11" id="{018A9C01-B3B0-4F77-BC6A-9B480CFC51C1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BD69:BD75</xm:sqref>
        </x14:conditionalFormatting>
        <x14:conditionalFormatting xmlns:xm="http://schemas.microsoft.com/office/excel/2006/main">
          <x14:cfRule type="iconSet" priority="10" id="{58CC5F15-7440-4DE7-8688-730B4A6C62B1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BD79:BD83</xm:sqref>
        </x14:conditionalFormatting>
        <x14:conditionalFormatting xmlns:xm="http://schemas.microsoft.com/office/excel/2006/main">
          <x14:cfRule type="iconSet" priority="9" id="{78CF0D98-4D14-4D34-BB09-DE472A7F58CC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BD87:BD106</xm:sqref>
        </x14:conditionalFormatting>
        <x14:conditionalFormatting xmlns:xm="http://schemas.microsoft.com/office/excel/2006/main">
          <x14:cfRule type="iconSet" priority="8" id="{190BF669-E41A-491A-BCC0-53D25604F4E8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BD110:BD117</xm:sqref>
        </x14:conditionalFormatting>
        <x14:conditionalFormatting xmlns:xm="http://schemas.microsoft.com/office/excel/2006/main">
          <x14:cfRule type="iconSet" priority="7" id="{D3FED8B4-D5C8-49F1-903A-C8CB65AEFBF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BF134:BR137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D3CC6D23-007F-447E-921B-548E62DAC4E3}">
          <x14:formula1>
            <xm:f>'Data '!$F$2:$F$38</xm:f>
          </x14:formula1>
          <xm:sqref>B4</xm:sqref>
        </x14:dataValidation>
        <x14:dataValidation type="list" allowBlank="1" showInputMessage="1" showErrorMessage="1" xr:uid="{E3673780-ED64-4169-BE35-51715C79E4CC}">
          <x14:formula1>
            <xm:f>'Data '!$L$2:$L$4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7AE5-9E69-443D-B8D5-69591E97B123}">
  <sheetPr>
    <tabColor rgb="FFFFFF00"/>
  </sheetPr>
  <dimension ref="A1:S73"/>
  <sheetViews>
    <sheetView topLeftCell="B1" workbookViewId="0">
      <pane ySplit="5" topLeftCell="A42" activePane="bottomLeft" state="frozen"/>
      <selection activeCell="E17" sqref="E17"/>
      <selection pane="bottomLeft" activeCell="G55" sqref="G54:G55"/>
    </sheetView>
  </sheetViews>
  <sheetFormatPr defaultRowHeight="15" outlineLevelRow="1" x14ac:dyDescent="0.25"/>
  <cols>
    <col min="1" max="1" width="9.140625" style="43"/>
    <col min="2" max="2" width="17.28515625" style="43" bestFit="1" customWidth="1"/>
    <col min="3" max="3" width="35" style="43" customWidth="1"/>
    <col min="4" max="4" width="14.140625" style="43" customWidth="1"/>
    <col min="5" max="6" width="15.28515625" style="43" customWidth="1"/>
    <col min="7" max="7" width="15.7109375" style="43" customWidth="1"/>
    <col min="8" max="8" width="14.42578125" style="43" bestFit="1" customWidth="1"/>
    <col min="9" max="9" width="17.85546875" style="43" customWidth="1"/>
    <col min="10" max="10" width="11" style="43" customWidth="1"/>
    <col min="11" max="11" width="11.140625" style="43" customWidth="1"/>
    <col min="12" max="12" width="10.140625" style="43" bestFit="1" customWidth="1"/>
    <col min="13" max="13" width="11.42578125" style="43" customWidth="1"/>
    <col min="14" max="14" width="13" style="43" customWidth="1"/>
    <col min="15" max="16" width="13.140625" style="43" customWidth="1"/>
    <col min="17" max="17" width="13.42578125" style="43" customWidth="1"/>
    <col min="18" max="18" width="26" style="43" customWidth="1"/>
    <col min="19" max="19" width="9.140625" style="43"/>
  </cols>
  <sheetData>
    <row r="1" spans="2:18" s="12" customFormat="1" ht="45.75" customHeight="1" x14ac:dyDescent="0.25">
      <c r="B1" s="172" t="s">
        <v>372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</row>
    <row r="2" spans="2:18" s="12" customFormat="1" ht="31.5" customHeight="1" x14ac:dyDescent="0.25">
      <c r="B2" s="17" t="s">
        <v>73</v>
      </c>
      <c r="C2" s="17" t="str">
        <f>Summary!B4</f>
        <v>14790070-SGP Coffee NDU</v>
      </c>
      <c r="D2" s="17"/>
      <c r="E2" s="17"/>
      <c r="F2" s="1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2:18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2:18" x14ac:dyDescent="0.25">
      <c r="B4" s="5" t="s">
        <v>214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2:18" ht="30" x14ac:dyDescent="0.25">
      <c r="B5" s="54" t="s">
        <v>307</v>
      </c>
      <c r="C5" s="173" t="s">
        <v>308</v>
      </c>
      <c r="D5" s="174"/>
      <c r="E5" s="173" t="s">
        <v>309</v>
      </c>
      <c r="F5" s="174"/>
      <c r="G5" s="55" t="s">
        <v>310</v>
      </c>
      <c r="H5" s="55" t="s">
        <v>311</v>
      </c>
      <c r="I5" s="55" t="s">
        <v>316</v>
      </c>
      <c r="J5" s="54" t="s">
        <v>52</v>
      </c>
      <c r="K5" s="55" t="s">
        <v>312</v>
      </c>
      <c r="L5" s="55" t="s">
        <v>313</v>
      </c>
      <c r="M5" s="54" t="s">
        <v>230</v>
      </c>
      <c r="N5" s="54" t="s">
        <v>314</v>
      </c>
      <c r="O5" s="54" t="s">
        <v>315</v>
      </c>
      <c r="P5" s="54" t="s">
        <v>323</v>
      </c>
      <c r="Q5" s="66" t="s">
        <v>233</v>
      </c>
      <c r="R5" s="54" t="s">
        <v>51</v>
      </c>
    </row>
    <row r="6" spans="2:18" outlineLevel="1" x14ac:dyDescent="0.25">
      <c r="B6" s="56">
        <v>1</v>
      </c>
      <c r="C6" s="168" t="s">
        <v>374</v>
      </c>
      <c r="D6" s="169"/>
      <c r="E6" s="170" t="s">
        <v>375</v>
      </c>
      <c r="F6" s="171"/>
      <c r="G6" s="64" t="s">
        <v>377</v>
      </c>
      <c r="H6" s="57" t="s">
        <v>239</v>
      </c>
      <c r="I6" s="64" t="s">
        <v>319</v>
      </c>
      <c r="J6" s="61">
        <v>2025</v>
      </c>
      <c r="K6" s="57">
        <v>10</v>
      </c>
      <c r="L6" s="94" t="s">
        <v>334</v>
      </c>
      <c r="M6" s="67">
        <f>IFERROR(VLOOKUP(H6,'Air Fare - 2024'!A:I,9,FALSE),0)</f>
        <v>360</v>
      </c>
      <c r="N6" s="68">
        <f>K6*20</f>
        <v>200</v>
      </c>
      <c r="O6" s="69">
        <f>K6*300</f>
        <v>3000</v>
      </c>
      <c r="P6" s="68"/>
      <c r="Q6" s="73">
        <f>SUM(M6:P6)</f>
        <v>3560</v>
      </c>
      <c r="R6" s="64"/>
    </row>
    <row r="7" spans="2:18" outlineLevel="1" x14ac:dyDescent="0.25">
      <c r="B7" s="58">
        <v>2</v>
      </c>
      <c r="C7" s="168" t="s">
        <v>374</v>
      </c>
      <c r="D7" s="169"/>
      <c r="E7" s="170" t="s">
        <v>375</v>
      </c>
      <c r="F7" s="171"/>
      <c r="G7" s="141" t="s">
        <v>377</v>
      </c>
      <c r="H7" s="60" t="s">
        <v>239</v>
      </c>
      <c r="I7" s="65" t="s">
        <v>319</v>
      </c>
      <c r="J7" s="62">
        <v>2025</v>
      </c>
      <c r="K7" s="60">
        <v>10</v>
      </c>
      <c r="L7" s="94" t="s">
        <v>334</v>
      </c>
      <c r="M7" s="67">
        <f>IFERROR(VLOOKUP(H7,'Air Fare - 2024'!A:I,9,FALSE),0)</f>
        <v>360</v>
      </c>
      <c r="N7" s="70">
        <f t="shared" ref="N7:N11" si="0">K7*20</f>
        <v>200</v>
      </c>
      <c r="O7" s="67">
        <f t="shared" ref="O7:O11" si="1">K7*300</f>
        <v>3000</v>
      </c>
      <c r="P7" s="70"/>
      <c r="Q7" s="74">
        <f t="shared" ref="Q7:Q56" si="2">SUM(M7:P7)</f>
        <v>3560</v>
      </c>
      <c r="R7" s="65"/>
    </row>
    <row r="8" spans="2:18" outlineLevel="1" x14ac:dyDescent="0.25">
      <c r="B8" s="58">
        <v>3</v>
      </c>
      <c r="C8" s="168" t="s">
        <v>374</v>
      </c>
      <c r="D8" s="169"/>
      <c r="E8" s="170" t="s">
        <v>375</v>
      </c>
      <c r="F8" s="171"/>
      <c r="G8" s="65" t="s">
        <v>378</v>
      </c>
      <c r="H8" s="60" t="s">
        <v>244</v>
      </c>
      <c r="I8" s="65" t="s">
        <v>319</v>
      </c>
      <c r="J8" s="62">
        <v>2025</v>
      </c>
      <c r="K8" s="60">
        <v>4</v>
      </c>
      <c r="L8" s="94" t="s">
        <v>338</v>
      </c>
      <c r="M8" s="67">
        <f>IFERROR(VLOOKUP(H8,'Air Fare - 2024'!A:I,9,FALSE),0)</f>
        <v>5646</v>
      </c>
      <c r="N8" s="70">
        <f t="shared" si="0"/>
        <v>80</v>
      </c>
      <c r="O8" s="67">
        <f t="shared" si="1"/>
        <v>1200</v>
      </c>
      <c r="P8" s="70"/>
      <c r="Q8" s="74">
        <f t="shared" si="2"/>
        <v>6926</v>
      </c>
      <c r="R8" s="65"/>
    </row>
    <row r="9" spans="2:18" outlineLevel="1" x14ac:dyDescent="0.25">
      <c r="B9" s="58">
        <v>4</v>
      </c>
      <c r="C9" s="168" t="s">
        <v>374</v>
      </c>
      <c r="D9" s="169"/>
      <c r="E9" s="170" t="s">
        <v>375</v>
      </c>
      <c r="F9" s="171"/>
      <c r="G9" s="65" t="s">
        <v>378</v>
      </c>
      <c r="H9" s="60" t="s">
        <v>244</v>
      </c>
      <c r="I9" s="65" t="s">
        <v>319</v>
      </c>
      <c r="J9" s="62">
        <v>2025</v>
      </c>
      <c r="K9" s="60">
        <v>4</v>
      </c>
      <c r="L9" s="94" t="s">
        <v>338</v>
      </c>
      <c r="M9" s="67">
        <f>IFERROR(VLOOKUP(H9,'Air Fare - 2024'!A:I,9,FALSE),0)</f>
        <v>5646</v>
      </c>
      <c r="N9" s="70">
        <f t="shared" si="0"/>
        <v>80</v>
      </c>
      <c r="O9" s="67">
        <f t="shared" si="1"/>
        <v>1200</v>
      </c>
      <c r="P9" s="70"/>
      <c r="Q9" s="74">
        <f t="shared" si="2"/>
        <v>6926</v>
      </c>
      <c r="R9" s="65"/>
    </row>
    <row r="10" spans="2:18" outlineLevel="1" x14ac:dyDescent="0.25">
      <c r="B10" s="58">
        <v>5</v>
      </c>
      <c r="C10" s="168" t="s">
        <v>373</v>
      </c>
      <c r="D10" s="169"/>
      <c r="E10" s="170" t="s">
        <v>376</v>
      </c>
      <c r="F10" s="171"/>
      <c r="G10" s="65"/>
      <c r="H10" s="60" t="s">
        <v>259</v>
      </c>
      <c r="I10" s="65" t="s">
        <v>319</v>
      </c>
      <c r="J10" s="62">
        <v>2025</v>
      </c>
      <c r="K10" s="60">
        <v>7</v>
      </c>
      <c r="L10" s="94" t="s">
        <v>335</v>
      </c>
      <c r="M10" s="67">
        <f>IFERROR(VLOOKUP(H10,'Air Fare - 2024'!A:I,9,FALSE),0)</f>
        <v>10993.3</v>
      </c>
      <c r="N10" s="70">
        <f t="shared" si="0"/>
        <v>140</v>
      </c>
      <c r="O10" s="67">
        <f t="shared" si="1"/>
        <v>2100</v>
      </c>
      <c r="P10" s="72"/>
      <c r="Q10" s="74">
        <f t="shared" si="2"/>
        <v>13233.3</v>
      </c>
      <c r="R10" s="65"/>
    </row>
    <row r="11" spans="2:18" outlineLevel="1" x14ac:dyDescent="0.25">
      <c r="B11" s="58">
        <v>6</v>
      </c>
      <c r="C11" s="168" t="s">
        <v>374</v>
      </c>
      <c r="D11" s="169"/>
      <c r="E11" s="170" t="s">
        <v>376</v>
      </c>
      <c r="F11" s="171"/>
      <c r="G11" s="65"/>
      <c r="H11" s="60" t="s">
        <v>259</v>
      </c>
      <c r="I11" s="65" t="s">
        <v>319</v>
      </c>
      <c r="J11" s="62">
        <v>2025</v>
      </c>
      <c r="K11" s="60">
        <v>7</v>
      </c>
      <c r="L11" s="94" t="s">
        <v>353</v>
      </c>
      <c r="M11" s="67">
        <f>IFERROR(VLOOKUP(H11,'Air Fare - 2024'!A:I,9,FALSE),0)</f>
        <v>10993.3</v>
      </c>
      <c r="N11" s="70">
        <f t="shared" si="0"/>
        <v>140</v>
      </c>
      <c r="O11" s="67">
        <f t="shared" si="1"/>
        <v>2100</v>
      </c>
      <c r="P11" s="70"/>
      <c r="Q11" s="74">
        <f t="shared" si="2"/>
        <v>13233.3</v>
      </c>
      <c r="R11" s="65"/>
    </row>
    <row r="12" spans="2:18" outlineLevel="1" x14ac:dyDescent="0.25">
      <c r="B12" s="58">
        <v>7</v>
      </c>
      <c r="C12" s="179" t="s">
        <v>379</v>
      </c>
      <c r="D12" s="180"/>
      <c r="E12" s="177" t="s">
        <v>382</v>
      </c>
      <c r="F12" s="178"/>
      <c r="G12" s="62"/>
      <c r="H12" s="62"/>
      <c r="I12" s="62" t="s">
        <v>319</v>
      </c>
      <c r="J12" s="62">
        <v>2025</v>
      </c>
      <c r="K12" s="62"/>
      <c r="L12" s="142" t="s">
        <v>330</v>
      </c>
      <c r="M12" s="143">
        <v>0</v>
      </c>
      <c r="N12" s="143">
        <v>0</v>
      </c>
      <c r="O12" s="143">
        <f>121.62+20817.12-19841.12</f>
        <v>1097.619999999999</v>
      </c>
      <c r="P12" s="143">
        <v>0</v>
      </c>
      <c r="Q12" s="144">
        <f t="shared" si="2"/>
        <v>1097.619999999999</v>
      </c>
      <c r="R12" s="62" t="s">
        <v>354</v>
      </c>
    </row>
    <row r="13" spans="2:18" outlineLevel="1" x14ac:dyDescent="0.25">
      <c r="B13" s="58">
        <v>8</v>
      </c>
      <c r="C13" s="179" t="s">
        <v>379</v>
      </c>
      <c r="D13" s="180"/>
      <c r="E13" s="177" t="s">
        <v>382</v>
      </c>
      <c r="F13" s="178"/>
      <c r="G13" s="62"/>
      <c r="H13" s="62"/>
      <c r="I13" s="62" t="s">
        <v>319</v>
      </c>
      <c r="J13" s="62">
        <v>2025</v>
      </c>
      <c r="K13" s="62"/>
      <c r="L13" s="142" t="s">
        <v>352</v>
      </c>
      <c r="M13" s="143">
        <v>0</v>
      </c>
      <c r="N13" s="143">
        <v>0</v>
      </c>
      <c r="O13" s="143">
        <v>409.49</v>
      </c>
      <c r="P13" s="143">
        <v>0</v>
      </c>
      <c r="Q13" s="144">
        <f t="shared" si="2"/>
        <v>409.49</v>
      </c>
      <c r="R13" s="62" t="s">
        <v>354</v>
      </c>
    </row>
    <row r="14" spans="2:18" outlineLevel="1" x14ac:dyDescent="0.25">
      <c r="B14" s="58">
        <v>9</v>
      </c>
      <c r="C14" s="179" t="s">
        <v>379</v>
      </c>
      <c r="D14" s="180"/>
      <c r="E14" s="177" t="s">
        <v>382</v>
      </c>
      <c r="F14" s="178"/>
      <c r="G14" s="62"/>
      <c r="H14" s="62"/>
      <c r="I14" s="62" t="s">
        <v>319</v>
      </c>
      <c r="J14" s="62">
        <v>2025</v>
      </c>
      <c r="K14" s="62"/>
      <c r="L14" s="142" t="s">
        <v>352</v>
      </c>
      <c r="M14" s="143">
        <v>0</v>
      </c>
      <c r="N14" s="143">
        <v>40.700000000000003</v>
      </c>
      <c r="O14" s="143">
        <v>233.8</v>
      </c>
      <c r="P14" s="143">
        <v>0</v>
      </c>
      <c r="Q14" s="144">
        <f t="shared" si="2"/>
        <v>274.5</v>
      </c>
      <c r="R14" s="62" t="s">
        <v>354</v>
      </c>
    </row>
    <row r="15" spans="2:18" outlineLevel="1" x14ac:dyDescent="0.25">
      <c r="B15" s="58">
        <v>10</v>
      </c>
      <c r="C15" s="179" t="s">
        <v>379</v>
      </c>
      <c r="D15" s="180"/>
      <c r="E15" s="177" t="s">
        <v>382</v>
      </c>
      <c r="F15" s="178"/>
      <c r="G15" s="62"/>
      <c r="H15" s="62"/>
      <c r="I15" s="62" t="s">
        <v>319</v>
      </c>
      <c r="J15" s="62">
        <v>2025</v>
      </c>
      <c r="K15" s="62"/>
      <c r="L15" s="142" t="s">
        <v>330</v>
      </c>
      <c r="M15" s="143">
        <v>0</v>
      </c>
      <c r="N15" s="143">
        <v>0</v>
      </c>
      <c r="O15" s="143">
        <v>56.3</v>
      </c>
      <c r="P15" s="143">
        <v>0</v>
      </c>
      <c r="Q15" s="144">
        <f t="shared" si="2"/>
        <v>56.3</v>
      </c>
      <c r="R15" s="62" t="s">
        <v>354</v>
      </c>
    </row>
    <row r="16" spans="2:18" outlineLevel="1" x14ac:dyDescent="0.25">
      <c r="B16" s="58">
        <v>11</v>
      </c>
      <c r="C16" s="179" t="s">
        <v>379</v>
      </c>
      <c r="D16" s="180"/>
      <c r="E16" s="177" t="s">
        <v>382</v>
      </c>
      <c r="F16" s="178"/>
      <c r="G16" s="62"/>
      <c r="H16" s="62"/>
      <c r="I16" s="62" t="s">
        <v>319</v>
      </c>
      <c r="J16" s="62">
        <v>2025</v>
      </c>
      <c r="K16" s="62"/>
      <c r="L16" s="142" t="s">
        <v>330</v>
      </c>
      <c r="M16" s="143">
        <v>0</v>
      </c>
      <c r="N16" s="143">
        <f>1390.44-390</f>
        <v>1000.44</v>
      </c>
      <c r="O16" s="143">
        <v>5453.17</v>
      </c>
      <c r="P16" s="143">
        <v>0</v>
      </c>
      <c r="Q16" s="144">
        <f t="shared" si="2"/>
        <v>6453.6100000000006</v>
      </c>
      <c r="R16" s="62" t="s">
        <v>354</v>
      </c>
    </row>
    <row r="17" spans="2:18" outlineLevel="1" x14ac:dyDescent="0.25">
      <c r="B17" s="58">
        <v>12</v>
      </c>
      <c r="C17" s="179" t="s">
        <v>379</v>
      </c>
      <c r="D17" s="180"/>
      <c r="E17" s="177" t="s">
        <v>382</v>
      </c>
      <c r="F17" s="178"/>
      <c r="G17" s="62"/>
      <c r="H17" s="62"/>
      <c r="I17" s="62" t="s">
        <v>319</v>
      </c>
      <c r="J17" s="62">
        <v>2025</v>
      </c>
      <c r="K17" s="62"/>
      <c r="L17" s="142" t="s">
        <v>330</v>
      </c>
      <c r="M17" s="143">
        <v>0</v>
      </c>
      <c r="N17" s="143">
        <f>659.23+150</f>
        <v>809.23</v>
      </c>
      <c r="O17" s="143">
        <v>544.54</v>
      </c>
      <c r="P17" s="143">
        <v>0</v>
      </c>
      <c r="Q17" s="144">
        <f t="shared" si="2"/>
        <v>1353.77</v>
      </c>
      <c r="R17" s="62" t="s">
        <v>354</v>
      </c>
    </row>
    <row r="18" spans="2:18" outlineLevel="1" x14ac:dyDescent="0.25">
      <c r="B18" s="58">
        <v>13</v>
      </c>
      <c r="C18" s="179" t="s">
        <v>379</v>
      </c>
      <c r="D18" s="180"/>
      <c r="E18" s="177" t="s">
        <v>382</v>
      </c>
      <c r="F18" s="178"/>
      <c r="G18" s="62"/>
      <c r="H18" s="62"/>
      <c r="I18" s="62" t="s">
        <v>319</v>
      </c>
      <c r="J18" s="62">
        <v>2025</v>
      </c>
      <c r="K18" s="62"/>
      <c r="L18" s="142" t="s">
        <v>330</v>
      </c>
      <c r="M18" s="143">
        <v>0</v>
      </c>
      <c r="N18" s="143">
        <f>255.51+150</f>
        <v>405.51</v>
      </c>
      <c r="O18" s="143">
        <v>422.20000000000005</v>
      </c>
      <c r="P18" s="143">
        <v>0</v>
      </c>
      <c r="Q18" s="144">
        <f t="shared" si="2"/>
        <v>827.71</v>
      </c>
      <c r="R18" s="62" t="s">
        <v>354</v>
      </c>
    </row>
    <row r="19" spans="2:18" outlineLevel="1" x14ac:dyDescent="0.25">
      <c r="B19" s="58">
        <v>14</v>
      </c>
      <c r="C19" s="168" t="s">
        <v>351</v>
      </c>
      <c r="D19" s="169"/>
      <c r="E19" s="170" t="s">
        <v>380</v>
      </c>
      <c r="F19" s="171"/>
      <c r="G19" s="65"/>
      <c r="H19" s="60" t="s">
        <v>259</v>
      </c>
      <c r="I19" s="65" t="s">
        <v>320</v>
      </c>
      <c r="J19" s="62">
        <v>2025</v>
      </c>
      <c r="K19" s="60">
        <v>15</v>
      </c>
      <c r="L19" s="94" t="s">
        <v>336</v>
      </c>
      <c r="M19" s="67">
        <f>IFERROR(VLOOKUP(H19,'Air Fare - 2024'!A:I,9,FALSE),0)</f>
        <v>10993.3</v>
      </c>
      <c r="N19" s="70">
        <f t="shared" ref="N19:N56" si="3">K19*20</f>
        <v>300</v>
      </c>
      <c r="O19" s="67">
        <f t="shared" ref="O19:O56" si="4">K19*300</f>
        <v>4500</v>
      </c>
      <c r="P19" s="70"/>
      <c r="Q19" s="74">
        <f t="shared" si="2"/>
        <v>15793.3</v>
      </c>
      <c r="R19" s="65"/>
    </row>
    <row r="20" spans="2:18" outlineLevel="1" x14ac:dyDescent="0.25">
      <c r="B20" s="58">
        <v>15</v>
      </c>
      <c r="C20" s="179" t="s">
        <v>384</v>
      </c>
      <c r="D20" s="180"/>
      <c r="E20" s="177" t="s">
        <v>381</v>
      </c>
      <c r="F20" s="178"/>
      <c r="G20" s="62"/>
      <c r="H20" s="62"/>
      <c r="I20" s="62" t="s">
        <v>317</v>
      </c>
      <c r="J20" s="62">
        <v>2025</v>
      </c>
      <c r="K20" s="62"/>
      <c r="L20" s="142" t="s">
        <v>330</v>
      </c>
      <c r="M20" s="143">
        <f>IFERROR(VLOOKUP(H20,'Air Fare - 2024'!A:I,9,FALSE),0)</f>
        <v>0</v>
      </c>
      <c r="N20" s="143">
        <f t="shared" si="3"/>
        <v>0</v>
      </c>
      <c r="O20" s="143">
        <f t="shared" si="4"/>
        <v>0</v>
      </c>
      <c r="P20" s="143">
        <v>247.29999999999998</v>
      </c>
      <c r="Q20" s="144">
        <f t="shared" si="2"/>
        <v>247.29999999999998</v>
      </c>
      <c r="R20" s="62" t="s">
        <v>354</v>
      </c>
    </row>
    <row r="21" spans="2:18" outlineLevel="1" x14ac:dyDescent="0.25">
      <c r="B21" s="58">
        <v>16</v>
      </c>
      <c r="C21" s="179" t="s">
        <v>384</v>
      </c>
      <c r="D21" s="180"/>
      <c r="E21" s="177" t="s">
        <v>381</v>
      </c>
      <c r="F21" s="178"/>
      <c r="G21" s="145"/>
      <c r="H21" s="62"/>
      <c r="I21" s="62" t="s">
        <v>317</v>
      </c>
      <c r="J21" s="62">
        <v>2025</v>
      </c>
      <c r="K21" s="62"/>
      <c r="L21" s="142" t="s">
        <v>352</v>
      </c>
      <c r="M21" s="143">
        <f>IFERROR(VLOOKUP(H21,'Air Fare - 2024'!A:I,9,FALSE),0)</f>
        <v>0</v>
      </c>
      <c r="N21" s="143">
        <f t="shared" si="3"/>
        <v>0</v>
      </c>
      <c r="O21" s="143">
        <f t="shared" si="4"/>
        <v>0</v>
      </c>
      <c r="P21" s="143">
        <v>20.29</v>
      </c>
      <c r="Q21" s="144">
        <f t="shared" si="2"/>
        <v>20.29</v>
      </c>
      <c r="R21" s="62" t="s">
        <v>354</v>
      </c>
    </row>
    <row r="22" spans="2:18" outlineLevel="1" x14ac:dyDescent="0.25">
      <c r="B22" s="58">
        <v>17</v>
      </c>
      <c r="C22" s="168" t="s">
        <v>351</v>
      </c>
      <c r="D22" s="169"/>
      <c r="E22" s="170" t="s">
        <v>383</v>
      </c>
      <c r="F22" s="171"/>
      <c r="G22" s="76"/>
      <c r="H22" s="60"/>
      <c r="I22" s="65" t="s">
        <v>317</v>
      </c>
      <c r="J22" s="62">
        <v>2025</v>
      </c>
      <c r="K22" s="60"/>
      <c r="L22" s="94" t="s">
        <v>331</v>
      </c>
      <c r="M22" s="67">
        <f>IFERROR(VLOOKUP(H22,'Air Fare - 2024'!A:I,9,FALSE),0)</f>
        <v>0</v>
      </c>
      <c r="N22" s="70">
        <f t="shared" si="3"/>
        <v>0</v>
      </c>
      <c r="O22" s="67">
        <f t="shared" si="4"/>
        <v>0</v>
      </c>
      <c r="P22" s="70">
        <f>300+532.41</f>
        <v>832.41</v>
      </c>
      <c r="Q22" s="74">
        <f t="shared" si="2"/>
        <v>832.41</v>
      </c>
      <c r="R22" s="65"/>
    </row>
    <row r="23" spans="2:18" outlineLevel="1" x14ac:dyDescent="0.25">
      <c r="B23" s="58">
        <v>18</v>
      </c>
      <c r="C23" s="168" t="s">
        <v>351</v>
      </c>
      <c r="D23" s="169"/>
      <c r="E23" s="170" t="s">
        <v>383</v>
      </c>
      <c r="F23" s="171"/>
      <c r="G23" s="76"/>
      <c r="H23" s="60"/>
      <c r="I23" s="65" t="s">
        <v>317</v>
      </c>
      <c r="J23" s="62">
        <v>2025</v>
      </c>
      <c r="K23" s="60"/>
      <c r="L23" s="94" t="s">
        <v>329</v>
      </c>
      <c r="M23" s="67">
        <f>IFERROR(VLOOKUP(H23,'Air Fare - 2024'!A:I,9,FALSE),0)</f>
        <v>0</v>
      </c>
      <c r="N23" s="70">
        <f t="shared" si="3"/>
        <v>0</v>
      </c>
      <c r="O23" s="67">
        <f t="shared" si="4"/>
        <v>0</v>
      </c>
      <c r="P23" s="70">
        <v>2000</v>
      </c>
      <c r="Q23" s="74">
        <f t="shared" si="2"/>
        <v>2000</v>
      </c>
      <c r="R23" s="65"/>
    </row>
    <row r="24" spans="2:18" outlineLevel="1" x14ac:dyDescent="0.25">
      <c r="B24" s="58">
        <v>19</v>
      </c>
      <c r="C24" s="168" t="s">
        <v>351</v>
      </c>
      <c r="D24" s="169"/>
      <c r="E24" s="170" t="s">
        <v>383</v>
      </c>
      <c r="F24" s="171"/>
      <c r="G24" s="76"/>
      <c r="H24" s="60"/>
      <c r="I24" s="65" t="s">
        <v>317</v>
      </c>
      <c r="J24" s="62">
        <v>2025</v>
      </c>
      <c r="K24" s="60"/>
      <c r="L24" s="94" t="s">
        <v>332</v>
      </c>
      <c r="M24" s="67">
        <f>IFERROR(VLOOKUP(H24,'Air Fare - 2024'!A:I,9,FALSE),0)</f>
        <v>0</v>
      </c>
      <c r="N24" s="70">
        <f t="shared" si="3"/>
        <v>0</v>
      </c>
      <c r="O24" s="67">
        <f t="shared" si="4"/>
        <v>0</v>
      </c>
      <c r="P24" s="70">
        <v>300</v>
      </c>
      <c r="Q24" s="74">
        <f t="shared" si="2"/>
        <v>300</v>
      </c>
      <c r="R24" s="65"/>
    </row>
    <row r="25" spans="2:18" outlineLevel="1" x14ac:dyDescent="0.25">
      <c r="B25" s="58">
        <v>20</v>
      </c>
      <c r="C25" s="168" t="s">
        <v>351</v>
      </c>
      <c r="D25" s="169"/>
      <c r="E25" s="170" t="s">
        <v>383</v>
      </c>
      <c r="F25" s="171"/>
      <c r="G25" s="76"/>
      <c r="H25" s="60"/>
      <c r="I25" s="65" t="s">
        <v>317</v>
      </c>
      <c r="J25" s="62">
        <v>2025</v>
      </c>
      <c r="K25" s="60"/>
      <c r="L25" s="94" t="s">
        <v>338</v>
      </c>
      <c r="M25" s="67">
        <f>IFERROR(VLOOKUP(H25,'Air Fare - 2024'!A:I,9,FALSE),0)</f>
        <v>0</v>
      </c>
      <c r="N25" s="70">
        <f t="shared" si="3"/>
        <v>0</v>
      </c>
      <c r="O25" s="67">
        <f t="shared" si="4"/>
        <v>0</v>
      </c>
      <c r="P25" s="70">
        <v>300</v>
      </c>
      <c r="Q25" s="74">
        <f t="shared" si="2"/>
        <v>300</v>
      </c>
      <c r="R25" s="65"/>
    </row>
    <row r="26" spans="2:18" outlineLevel="1" x14ac:dyDescent="0.25">
      <c r="B26" s="58">
        <v>21</v>
      </c>
      <c r="C26" s="168" t="s">
        <v>351</v>
      </c>
      <c r="D26" s="169"/>
      <c r="E26" s="170" t="s">
        <v>383</v>
      </c>
      <c r="F26" s="171"/>
      <c r="G26" s="76"/>
      <c r="H26" s="60"/>
      <c r="I26" s="65" t="s">
        <v>317</v>
      </c>
      <c r="J26" s="62">
        <v>2025</v>
      </c>
      <c r="K26" s="60"/>
      <c r="L26" s="94" t="s">
        <v>334</v>
      </c>
      <c r="M26" s="67">
        <f>IFERROR(VLOOKUP(H26,'Air Fare - 2024'!A:I,9,FALSE),0)</f>
        <v>0</v>
      </c>
      <c r="N26" s="70">
        <f t="shared" si="3"/>
        <v>0</v>
      </c>
      <c r="O26" s="67">
        <f t="shared" si="4"/>
        <v>0</v>
      </c>
      <c r="P26" s="70">
        <v>500</v>
      </c>
      <c r="Q26" s="74">
        <f t="shared" si="2"/>
        <v>500</v>
      </c>
      <c r="R26" s="65"/>
    </row>
    <row r="27" spans="2:18" outlineLevel="1" x14ac:dyDescent="0.25">
      <c r="B27" s="58">
        <v>22</v>
      </c>
      <c r="C27" s="168" t="s">
        <v>351</v>
      </c>
      <c r="D27" s="169"/>
      <c r="E27" s="170" t="s">
        <v>383</v>
      </c>
      <c r="F27" s="171"/>
      <c r="G27" s="65"/>
      <c r="H27" s="60"/>
      <c r="I27" s="65" t="s">
        <v>317</v>
      </c>
      <c r="J27" s="62">
        <v>2025</v>
      </c>
      <c r="K27" s="60"/>
      <c r="L27" s="94" t="s">
        <v>337</v>
      </c>
      <c r="M27" s="67">
        <f>IFERROR(VLOOKUP(H27,'Air Fare - 2024'!A:I,9,FALSE),0)</f>
        <v>0</v>
      </c>
      <c r="N27" s="70">
        <f t="shared" si="3"/>
        <v>0</v>
      </c>
      <c r="O27" s="67">
        <f t="shared" si="4"/>
        <v>0</v>
      </c>
      <c r="P27" s="70">
        <v>300</v>
      </c>
      <c r="Q27" s="74">
        <f t="shared" si="2"/>
        <v>300</v>
      </c>
      <c r="R27" s="65"/>
    </row>
    <row r="28" spans="2:18" outlineLevel="1" x14ac:dyDescent="0.25">
      <c r="B28" s="58">
        <v>23</v>
      </c>
      <c r="C28" s="168" t="s">
        <v>351</v>
      </c>
      <c r="D28" s="169"/>
      <c r="E28" s="170" t="s">
        <v>383</v>
      </c>
      <c r="F28" s="171"/>
      <c r="G28" s="65"/>
      <c r="H28" s="60"/>
      <c r="I28" s="65" t="s">
        <v>317</v>
      </c>
      <c r="J28" s="62">
        <v>2025</v>
      </c>
      <c r="K28" s="60"/>
      <c r="L28" s="94" t="s">
        <v>336</v>
      </c>
      <c r="M28" s="67">
        <f>IFERROR(VLOOKUP(H28,'Air Fare - 2024'!A:I,9,FALSE),0)</f>
        <v>0</v>
      </c>
      <c r="N28" s="70">
        <f t="shared" si="3"/>
        <v>0</v>
      </c>
      <c r="O28" s="67">
        <f t="shared" si="4"/>
        <v>0</v>
      </c>
      <c r="P28" s="70">
        <v>500</v>
      </c>
      <c r="Q28" s="74">
        <f t="shared" si="2"/>
        <v>500</v>
      </c>
      <c r="R28" s="65"/>
    </row>
    <row r="29" spans="2:18" outlineLevel="1" x14ac:dyDescent="0.25">
      <c r="B29" s="58">
        <v>24</v>
      </c>
      <c r="C29" s="168" t="s">
        <v>351</v>
      </c>
      <c r="D29" s="169"/>
      <c r="E29" s="170" t="s">
        <v>383</v>
      </c>
      <c r="F29" s="171"/>
      <c r="G29" s="65"/>
      <c r="H29" s="60"/>
      <c r="I29" s="65" t="s">
        <v>317</v>
      </c>
      <c r="J29" s="62">
        <v>2025</v>
      </c>
      <c r="K29" s="60"/>
      <c r="L29" s="94" t="s">
        <v>353</v>
      </c>
      <c r="M29" s="67">
        <f>IFERROR(VLOOKUP(H29,'Air Fare - 2024'!A:I,9,FALSE),0)</f>
        <v>0</v>
      </c>
      <c r="N29" s="70">
        <f t="shared" si="3"/>
        <v>0</v>
      </c>
      <c r="O29" s="67">
        <f t="shared" si="4"/>
        <v>0</v>
      </c>
      <c r="P29" s="70">
        <v>2000</v>
      </c>
      <c r="Q29" s="74">
        <f t="shared" si="2"/>
        <v>2000</v>
      </c>
      <c r="R29" s="65"/>
    </row>
    <row r="30" spans="2:18" outlineLevel="1" x14ac:dyDescent="0.25">
      <c r="B30" s="58">
        <v>25</v>
      </c>
      <c r="C30" s="168" t="s">
        <v>351</v>
      </c>
      <c r="D30" s="169"/>
      <c r="E30" s="170" t="s">
        <v>383</v>
      </c>
      <c r="F30" s="171"/>
      <c r="G30" s="65"/>
      <c r="H30" s="60"/>
      <c r="I30" s="65" t="s">
        <v>317</v>
      </c>
      <c r="J30" s="62">
        <v>2025</v>
      </c>
      <c r="K30" s="60"/>
      <c r="L30" s="94" t="s">
        <v>335</v>
      </c>
      <c r="M30" s="67">
        <f>IFERROR(VLOOKUP(H30,'Air Fare - 2024'!A:I,9,FALSE),0)</f>
        <v>0</v>
      </c>
      <c r="N30" s="70">
        <f t="shared" si="3"/>
        <v>0</v>
      </c>
      <c r="O30" s="67">
        <f t="shared" si="4"/>
        <v>0</v>
      </c>
      <c r="P30" s="70">
        <v>300</v>
      </c>
      <c r="Q30" s="74">
        <f t="shared" si="2"/>
        <v>300</v>
      </c>
      <c r="R30" s="65"/>
    </row>
    <row r="31" spans="2:18" outlineLevel="1" x14ac:dyDescent="0.25">
      <c r="B31" s="58">
        <v>26</v>
      </c>
      <c r="C31" s="168" t="s">
        <v>351</v>
      </c>
      <c r="D31" s="169"/>
      <c r="E31" s="170" t="s">
        <v>383</v>
      </c>
      <c r="F31" s="171"/>
      <c r="G31" s="65"/>
      <c r="H31" s="60"/>
      <c r="I31" s="65" t="s">
        <v>317</v>
      </c>
      <c r="J31" s="62">
        <v>2025</v>
      </c>
      <c r="K31" s="60"/>
      <c r="L31" s="94" t="s">
        <v>333</v>
      </c>
      <c r="M31" s="67">
        <f>IFERROR(VLOOKUP(H31,'Air Fare - 2024'!A:I,9,FALSE),0)</f>
        <v>0</v>
      </c>
      <c r="N31" s="70">
        <f t="shared" si="3"/>
        <v>0</v>
      </c>
      <c r="O31" s="67">
        <f t="shared" si="4"/>
        <v>0</v>
      </c>
      <c r="P31" s="70">
        <v>2000</v>
      </c>
      <c r="Q31" s="74">
        <f t="shared" si="2"/>
        <v>2000</v>
      </c>
      <c r="R31" s="65"/>
    </row>
    <row r="32" spans="2:18" outlineLevel="1" x14ac:dyDescent="0.25">
      <c r="B32" s="58">
        <v>27</v>
      </c>
      <c r="C32" s="168" t="s">
        <v>351</v>
      </c>
      <c r="D32" s="169"/>
      <c r="E32" s="170" t="s">
        <v>383</v>
      </c>
      <c r="F32" s="171"/>
      <c r="G32" s="65"/>
      <c r="H32" s="60"/>
      <c r="I32" s="65" t="s">
        <v>318</v>
      </c>
      <c r="J32" s="62">
        <v>2025</v>
      </c>
      <c r="K32" s="60"/>
      <c r="L32" s="94" t="s">
        <v>331</v>
      </c>
      <c r="M32" s="67">
        <f>IFERROR(VLOOKUP(H32,'Air Fare - 2024'!A:I,9,FALSE),0)</f>
        <v>0</v>
      </c>
      <c r="N32" s="70">
        <f t="shared" si="3"/>
        <v>0</v>
      </c>
      <c r="O32" s="67">
        <f t="shared" si="4"/>
        <v>0</v>
      </c>
      <c r="P32" s="70">
        <v>200</v>
      </c>
      <c r="Q32" s="74">
        <f t="shared" si="2"/>
        <v>200</v>
      </c>
      <c r="R32" s="65"/>
    </row>
    <row r="33" spans="2:18" outlineLevel="1" x14ac:dyDescent="0.25">
      <c r="B33" s="58">
        <v>28</v>
      </c>
      <c r="C33" s="168"/>
      <c r="D33" s="169"/>
      <c r="E33" s="170"/>
      <c r="F33" s="171"/>
      <c r="G33" s="65"/>
      <c r="H33" s="60"/>
      <c r="I33" s="65" t="s">
        <v>318</v>
      </c>
      <c r="J33" s="62">
        <v>2025</v>
      </c>
      <c r="K33" s="60"/>
      <c r="L33" s="94" t="s">
        <v>329</v>
      </c>
      <c r="M33" s="67">
        <f>IFERROR(VLOOKUP(H33,'Air Fare - 2024'!A:I,9,FALSE),0)</f>
        <v>0</v>
      </c>
      <c r="N33" s="70">
        <f t="shared" si="3"/>
        <v>0</v>
      </c>
      <c r="O33" s="67">
        <f t="shared" si="4"/>
        <v>0</v>
      </c>
      <c r="P33" s="70">
        <v>200</v>
      </c>
      <c r="Q33" s="74">
        <f t="shared" si="2"/>
        <v>200</v>
      </c>
      <c r="R33" s="65"/>
    </row>
    <row r="34" spans="2:18" outlineLevel="1" x14ac:dyDescent="0.25">
      <c r="B34" s="58">
        <v>29</v>
      </c>
      <c r="C34" s="168"/>
      <c r="D34" s="169"/>
      <c r="E34" s="170"/>
      <c r="F34" s="171"/>
      <c r="G34" s="65"/>
      <c r="H34" s="60"/>
      <c r="I34" s="65" t="s">
        <v>318</v>
      </c>
      <c r="J34" s="62">
        <v>2025</v>
      </c>
      <c r="K34" s="60"/>
      <c r="L34" s="94" t="s">
        <v>338</v>
      </c>
      <c r="M34" s="67">
        <f>IFERROR(VLOOKUP(H34,'Air Fare - 2024'!A:I,9,FALSE),0)</f>
        <v>0</v>
      </c>
      <c r="N34" s="70">
        <f t="shared" si="3"/>
        <v>0</v>
      </c>
      <c r="O34" s="67">
        <f t="shared" si="4"/>
        <v>0</v>
      </c>
      <c r="P34" s="70">
        <v>200</v>
      </c>
      <c r="Q34" s="74">
        <f t="shared" si="2"/>
        <v>200</v>
      </c>
      <c r="R34" s="65"/>
    </row>
    <row r="35" spans="2:18" outlineLevel="1" x14ac:dyDescent="0.25">
      <c r="B35" s="58">
        <v>30</v>
      </c>
      <c r="C35" s="168"/>
      <c r="D35" s="169"/>
      <c r="E35" s="170"/>
      <c r="F35" s="171"/>
      <c r="G35" s="65"/>
      <c r="H35" s="60"/>
      <c r="I35" s="65" t="s">
        <v>318</v>
      </c>
      <c r="J35" s="62">
        <v>2025</v>
      </c>
      <c r="K35" s="60"/>
      <c r="L35" s="94" t="s">
        <v>337</v>
      </c>
      <c r="M35" s="67">
        <f>IFERROR(VLOOKUP(H35,'Air Fare - 2024'!A:I,9,FALSE),0)</f>
        <v>0</v>
      </c>
      <c r="N35" s="70">
        <f t="shared" si="3"/>
        <v>0</v>
      </c>
      <c r="O35" s="67">
        <f t="shared" si="4"/>
        <v>0</v>
      </c>
      <c r="P35" s="70">
        <v>200</v>
      </c>
      <c r="Q35" s="74">
        <f t="shared" si="2"/>
        <v>200</v>
      </c>
      <c r="R35" s="65"/>
    </row>
    <row r="36" spans="2:18" outlineLevel="1" x14ac:dyDescent="0.25">
      <c r="B36" s="58">
        <v>31</v>
      </c>
      <c r="C36" s="168"/>
      <c r="D36" s="169"/>
      <c r="E36" s="170"/>
      <c r="F36" s="171"/>
      <c r="G36" s="65"/>
      <c r="H36" s="60"/>
      <c r="I36" s="65" t="s">
        <v>318</v>
      </c>
      <c r="J36" s="62">
        <v>2025</v>
      </c>
      <c r="K36" s="60"/>
      <c r="L36" s="94" t="s">
        <v>353</v>
      </c>
      <c r="M36" s="67">
        <f>IFERROR(VLOOKUP(H36,'Air Fare - 2024'!A:I,9,FALSE),0)</f>
        <v>0</v>
      </c>
      <c r="N36" s="70">
        <f t="shared" si="3"/>
        <v>0</v>
      </c>
      <c r="O36" s="67">
        <f t="shared" si="4"/>
        <v>0</v>
      </c>
      <c r="P36" s="70">
        <v>200</v>
      </c>
      <c r="Q36" s="74">
        <f t="shared" si="2"/>
        <v>200</v>
      </c>
      <c r="R36" s="65"/>
    </row>
    <row r="37" spans="2:18" outlineLevel="1" x14ac:dyDescent="0.25">
      <c r="B37" s="58">
        <v>32</v>
      </c>
      <c r="C37" s="168"/>
      <c r="D37" s="169"/>
      <c r="E37" s="170"/>
      <c r="F37" s="171"/>
      <c r="G37" s="65"/>
      <c r="H37" s="60"/>
      <c r="I37" s="65"/>
      <c r="J37" s="62">
        <v>2025</v>
      </c>
      <c r="K37" s="60"/>
      <c r="L37" s="94"/>
      <c r="M37" s="67">
        <f>IFERROR(VLOOKUP(H37,'Air Fare - 2024'!A:I,9,FALSE),0)</f>
        <v>0</v>
      </c>
      <c r="N37" s="70">
        <f t="shared" si="3"/>
        <v>0</v>
      </c>
      <c r="O37" s="67">
        <f t="shared" si="4"/>
        <v>0</v>
      </c>
      <c r="P37" s="71">
        <v>0</v>
      </c>
      <c r="Q37" s="74">
        <f t="shared" si="2"/>
        <v>0</v>
      </c>
      <c r="R37" s="65"/>
    </row>
    <row r="38" spans="2:18" outlineLevel="1" x14ac:dyDescent="0.25">
      <c r="B38" s="58">
        <v>33</v>
      </c>
      <c r="C38" s="168"/>
      <c r="D38" s="169"/>
      <c r="E38" s="170"/>
      <c r="F38" s="171"/>
      <c r="G38" s="65"/>
      <c r="H38" s="60"/>
      <c r="I38" s="65"/>
      <c r="J38" s="62">
        <v>2025</v>
      </c>
      <c r="K38" s="60"/>
      <c r="L38" s="94"/>
      <c r="M38" s="67">
        <f>IFERROR(VLOOKUP(H38,'Air Fare - 2024'!A:I,9,FALSE),0)</f>
        <v>0</v>
      </c>
      <c r="N38" s="70">
        <f t="shared" si="3"/>
        <v>0</v>
      </c>
      <c r="O38" s="67">
        <f t="shared" si="4"/>
        <v>0</v>
      </c>
      <c r="P38" s="71">
        <v>0</v>
      </c>
      <c r="Q38" s="74">
        <f t="shared" si="2"/>
        <v>0</v>
      </c>
      <c r="R38" s="65"/>
    </row>
    <row r="39" spans="2:18" outlineLevel="1" x14ac:dyDescent="0.25">
      <c r="B39" s="58">
        <v>34</v>
      </c>
      <c r="C39" s="168"/>
      <c r="D39" s="169"/>
      <c r="E39" s="170"/>
      <c r="F39" s="171"/>
      <c r="G39" s="65"/>
      <c r="H39" s="60"/>
      <c r="I39" s="65"/>
      <c r="J39" s="62">
        <v>2025</v>
      </c>
      <c r="K39" s="60"/>
      <c r="L39" s="94"/>
      <c r="M39" s="67">
        <f>IFERROR(VLOOKUP(H39,'Air Fare - 2024'!A:I,9,FALSE),0)</f>
        <v>0</v>
      </c>
      <c r="N39" s="70">
        <f t="shared" si="3"/>
        <v>0</v>
      </c>
      <c r="O39" s="67">
        <f t="shared" si="4"/>
        <v>0</v>
      </c>
      <c r="P39" s="71">
        <v>0</v>
      </c>
      <c r="Q39" s="74">
        <f t="shared" si="2"/>
        <v>0</v>
      </c>
      <c r="R39" s="65"/>
    </row>
    <row r="40" spans="2:18" outlineLevel="1" x14ac:dyDescent="0.25">
      <c r="B40" s="58">
        <v>35</v>
      </c>
      <c r="C40" s="168"/>
      <c r="D40" s="169"/>
      <c r="E40" s="170"/>
      <c r="F40" s="171"/>
      <c r="G40" s="65"/>
      <c r="H40" s="60"/>
      <c r="I40" s="65"/>
      <c r="J40" s="62">
        <v>2025</v>
      </c>
      <c r="K40" s="60"/>
      <c r="L40" s="94"/>
      <c r="M40" s="67">
        <f>IFERROR(VLOOKUP(H40,'Air Fare - 2024'!A:I,9,FALSE),0)</f>
        <v>0</v>
      </c>
      <c r="N40" s="70">
        <f t="shared" si="3"/>
        <v>0</v>
      </c>
      <c r="O40" s="67">
        <f t="shared" si="4"/>
        <v>0</v>
      </c>
      <c r="P40" s="71">
        <v>0</v>
      </c>
      <c r="Q40" s="74">
        <f t="shared" si="2"/>
        <v>0</v>
      </c>
      <c r="R40" s="65"/>
    </row>
    <row r="41" spans="2:18" outlineLevel="1" x14ac:dyDescent="0.25">
      <c r="B41" s="58">
        <v>36</v>
      </c>
      <c r="C41" s="168"/>
      <c r="D41" s="169"/>
      <c r="E41" s="170"/>
      <c r="F41" s="171"/>
      <c r="G41" s="65"/>
      <c r="H41" s="60"/>
      <c r="I41" s="65"/>
      <c r="J41" s="62">
        <v>2025</v>
      </c>
      <c r="K41" s="60"/>
      <c r="L41" s="94"/>
      <c r="M41" s="67">
        <f>IFERROR(VLOOKUP(H41,'Air Fare - 2024'!A:I,9,FALSE),0)</f>
        <v>0</v>
      </c>
      <c r="N41" s="70">
        <f t="shared" si="3"/>
        <v>0</v>
      </c>
      <c r="O41" s="67">
        <f t="shared" si="4"/>
        <v>0</v>
      </c>
      <c r="P41" s="71">
        <v>0</v>
      </c>
      <c r="Q41" s="74">
        <f t="shared" si="2"/>
        <v>0</v>
      </c>
      <c r="R41" s="65"/>
    </row>
    <row r="42" spans="2:18" outlineLevel="1" x14ac:dyDescent="0.25">
      <c r="B42" s="58">
        <v>37</v>
      </c>
      <c r="C42" s="168"/>
      <c r="D42" s="169"/>
      <c r="E42" s="170"/>
      <c r="F42" s="171"/>
      <c r="G42" s="65"/>
      <c r="H42" s="60"/>
      <c r="I42" s="65"/>
      <c r="J42" s="62">
        <v>2025</v>
      </c>
      <c r="K42" s="60"/>
      <c r="L42" s="94"/>
      <c r="M42" s="67">
        <f>IFERROR(VLOOKUP(H42,'Air Fare - 2024'!A:I,9,FALSE),0)</f>
        <v>0</v>
      </c>
      <c r="N42" s="70">
        <f t="shared" si="3"/>
        <v>0</v>
      </c>
      <c r="O42" s="67">
        <f t="shared" si="4"/>
        <v>0</v>
      </c>
      <c r="P42" s="71">
        <v>0</v>
      </c>
      <c r="Q42" s="74">
        <f t="shared" si="2"/>
        <v>0</v>
      </c>
      <c r="R42" s="65"/>
    </row>
    <row r="43" spans="2:18" outlineLevel="1" x14ac:dyDescent="0.25">
      <c r="B43" s="58">
        <v>38</v>
      </c>
      <c r="C43" s="168"/>
      <c r="D43" s="169"/>
      <c r="E43" s="170"/>
      <c r="F43" s="171"/>
      <c r="G43" s="65"/>
      <c r="H43" s="60"/>
      <c r="I43" s="65"/>
      <c r="J43" s="62">
        <v>2025</v>
      </c>
      <c r="K43" s="60"/>
      <c r="L43" s="94"/>
      <c r="M43" s="67">
        <f>IFERROR(VLOOKUP(H43,'Air Fare - 2024'!A:I,9,FALSE),0)</f>
        <v>0</v>
      </c>
      <c r="N43" s="70">
        <f t="shared" si="3"/>
        <v>0</v>
      </c>
      <c r="O43" s="67">
        <f t="shared" si="4"/>
        <v>0</v>
      </c>
      <c r="P43" s="71">
        <v>0</v>
      </c>
      <c r="Q43" s="74">
        <f t="shared" si="2"/>
        <v>0</v>
      </c>
      <c r="R43" s="65"/>
    </row>
    <row r="44" spans="2:18" outlineLevel="1" x14ac:dyDescent="0.25">
      <c r="B44" s="58">
        <v>39</v>
      </c>
      <c r="C44" s="168"/>
      <c r="D44" s="169"/>
      <c r="E44" s="170"/>
      <c r="F44" s="171"/>
      <c r="G44" s="65"/>
      <c r="H44" s="60"/>
      <c r="I44" s="65"/>
      <c r="J44" s="62">
        <v>2025</v>
      </c>
      <c r="K44" s="60"/>
      <c r="L44" s="94"/>
      <c r="M44" s="67">
        <f>IFERROR(VLOOKUP(H44,'Air Fare - 2024'!A:I,9,FALSE),0)</f>
        <v>0</v>
      </c>
      <c r="N44" s="70">
        <f t="shared" si="3"/>
        <v>0</v>
      </c>
      <c r="O44" s="67">
        <f t="shared" si="4"/>
        <v>0</v>
      </c>
      <c r="P44" s="71">
        <v>0</v>
      </c>
      <c r="Q44" s="74">
        <f t="shared" si="2"/>
        <v>0</v>
      </c>
      <c r="R44" s="65"/>
    </row>
    <row r="45" spans="2:18" outlineLevel="1" x14ac:dyDescent="0.25">
      <c r="B45" s="58">
        <v>40</v>
      </c>
      <c r="C45" s="168"/>
      <c r="D45" s="169"/>
      <c r="E45" s="170"/>
      <c r="F45" s="171"/>
      <c r="G45" s="65"/>
      <c r="H45" s="60"/>
      <c r="I45" s="65"/>
      <c r="J45" s="62">
        <v>2025</v>
      </c>
      <c r="K45" s="60"/>
      <c r="L45" s="94"/>
      <c r="M45" s="67">
        <f>IFERROR(VLOOKUP(H45,'Air Fare - 2024'!A:I,9,FALSE),0)</f>
        <v>0</v>
      </c>
      <c r="N45" s="70">
        <f t="shared" si="3"/>
        <v>0</v>
      </c>
      <c r="O45" s="67">
        <f t="shared" si="4"/>
        <v>0</v>
      </c>
      <c r="P45" s="71">
        <v>0</v>
      </c>
      <c r="Q45" s="74">
        <f t="shared" si="2"/>
        <v>0</v>
      </c>
      <c r="R45" s="65"/>
    </row>
    <row r="46" spans="2:18" outlineLevel="1" x14ac:dyDescent="0.25">
      <c r="B46" s="58">
        <v>41</v>
      </c>
      <c r="C46" s="168"/>
      <c r="D46" s="169"/>
      <c r="E46" s="170"/>
      <c r="F46" s="171"/>
      <c r="G46" s="65"/>
      <c r="H46" s="60"/>
      <c r="I46" s="65"/>
      <c r="J46" s="62">
        <v>2025</v>
      </c>
      <c r="K46" s="60"/>
      <c r="L46" s="94"/>
      <c r="M46" s="67">
        <f>IFERROR(VLOOKUP(H46,'Air Fare - 2024'!A:I,9,FALSE),0)</f>
        <v>0</v>
      </c>
      <c r="N46" s="70">
        <f t="shared" si="3"/>
        <v>0</v>
      </c>
      <c r="O46" s="67">
        <f t="shared" si="4"/>
        <v>0</v>
      </c>
      <c r="P46" s="71">
        <v>0</v>
      </c>
      <c r="Q46" s="74">
        <f t="shared" si="2"/>
        <v>0</v>
      </c>
      <c r="R46" s="65"/>
    </row>
    <row r="47" spans="2:18" outlineLevel="1" x14ac:dyDescent="0.25">
      <c r="B47" s="58">
        <v>42</v>
      </c>
      <c r="C47" s="168"/>
      <c r="D47" s="169"/>
      <c r="E47" s="170"/>
      <c r="F47" s="171"/>
      <c r="G47" s="65"/>
      <c r="H47" s="60"/>
      <c r="I47" s="65"/>
      <c r="J47" s="62">
        <v>2025</v>
      </c>
      <c r="K47" s="60"/>
      <c r="L47" s="94"/>
      <c r="M47" s="67">
        <f>IFERROR(VLOOKUP(H47,'Air Fare - 2024'!A:I,9,FALSE),0)</f>
        <v>0</v>
      </c>
      <c r="N47" s="70">
        <f t="shared" si="3"/>
        <v>0</v>
      </c>
      <c r="O47" s="67">
        <f t="shared" si="4"/>
        <v>0</v>
      </c>
      <c r="P47" s="71">
        <v>0</v>
      </c>
      <c r="Q47" s="74">
        <f t="shared" si="2"/>
        <v>0</v>
      </c>
      <c r="R47" s="65"/>
    </row>
    <row r="48" spans="2:18" outlineLevel="1" x14ac:dyDescent="0.25">
      <c r="B48" s="58">
        <v>43</v>
      </c>
      <c r="C48" s="168"/>
      <c r="D48" s="169"/>
      <c r="E48" s="170"/>
      <c r="F48" s="171"/>
      <c r="G48" s="65"/>
      <c r="H48" s="60"/>
      <c r="I48" s="65"/>
      <c r="J48" s="62">
        <v>2025</v>
      </c>
      <c r="K48" s="60"/>
      <c r="L48" s="94"/>
      <c r="M48" s="67">
        <f>IFERROR(VLOOKUP(H48,'Air Fare - 2024'!A:I,9,FALSE),0)</f>
        <v>0</v>
      </c>
      <c r="N48" s="70">
        <f t="shared" si="3"/>
        <v>0</v>
      </c>
      <c r="O48" s="67">
        <f t="shared" si="4"/>
        <v>0</v>
      </c>
      <c r="P48" s="71">
        <v>0</v>
      </c>
      <c r="Q48" s="74">
        <f t="shared" si="2"/>
        <v>0</v>
      </c>
      <c r="R48" s="65"/>
    </row>
    <row r="49" spans="2:18" outlineLevel="1" x14ac:dyDescent="0.25">
      <c r="B49" s="58">
        <v>44</v>
      </c>
      <c r="C49" s="168"/>
      <c r="D49" s="169"/>
      <c r="E49" s="170"/>
      <c r="F49" s="171"/>
      <c r="G49" s="65"/>
      <c r="H49" s="60"/>
      <c r="I49" s="65"/>
      <c r="J49" s="62">
        <v>2025</v>
      </c>
      <c r="K49" s="60"/>
      <c r="L49" s="94"/>
      <c r="M49" s="67">
        <f>IFERROR(VLOOKUP(H49,'Air Fare - 2024'!A:I,9,FALSE),0)</f>
        <v>0</v>
      </c>
      <c r="N49" s="70">
        <f t="shared" si="3"/>
        <v>0</v>
      </c>
      <c r="O49" s="67">
        <f t="shared" si="4"/>
        <v>0</v>
      </c>
      <c r="P49" s="71">
        <v>0</v>
      </c>
      <c r="Q49" s="74">
        <f t="shared" si="2"/>
        <v>0</v>
      </c>
      <c r="R49" s="65"/>
    </row>
    <row r="50" spans="2:18" outlineLevel="1" x14ac:dyDescent="0.25">
      <c r="B50" s="58">
        <v>45</v>
      </c>
      <c r="C50" s="168"/>
      <c r="D50" s="169"/>
      <c r="E50" s="170"/>
      <c r="F50" s="171"/>
      <c r="G50" s="65"/>
      <c r="H50" s="60"/>
      <c r="I50" s="65"/>
      <c r="J50" s="62">
        <v>2025</v>
      </c>
      <c r="K50" s="60"/>
      <c r="L50" s="94"/>
      <c r="M50" s="67">
        <f>IFERROR(VLOOKUP(H50,'Air Fare - 2024'!A:I,9,FALSE),0)</f>
        <v>0</v>
      </c>
      <c r="N50" s="70">
        <f t="shared" si="3"/>
        <v>0</v>
      </c>
      <c r="O50" s="67">
        <f t="shared" si="4"/>
        <v>0</v>
      </c>
      <c r="P50" s="71">
        <v>0</v>
      </c>
      <c r="Q50" s="74">
        <f t="shared" si="2"/>
        <v>0</v>
      </c>
      <c r="R50" s="65"/>
    </row>
    <row r="51" spans="2:18" outlineLevel="1" x14ac:dyDescent="0.25">
      <c r="B51" s="58">
        <v>46</v>
      </c>
      <c r="C51" s="168"/>
      <c r="D51" s="169"/>
      <c r="E51" s="170"/>
      <c r="F51" s="171"/>
      <c r="G51" s="65"/>
      <c r="H51" s="60"/>
      <c r="I51" s="65"/>
      <c r="J51" s="62">
        <v>2025</v>
      </c>
      <c r="K51" s="60"/>
      <c r="L51" s="94"/>
      <c r="M51" s="67">
        <f>IFERROR(VLOOKUP(H51,'Air Fare - 2024'!A:I,9,FALSE),0)</f>
        <v>0</v>
      </c>
      <c r="N51" s="70">
        <f t="shared" si="3"/>
        <v>0</v>
      </c>
      <c r="O51" s="67">
        <f t="shared" si="4"/>
        <v>0</v>
      </c>
      <c r="P51" s="71">
        <v>0</v>
      </c>
      <c r="Q51" s="74">
        <f t="shared" si="2"/>
        <v>0</v>
      </c>
      <c r="R51" s="65"/>
    </row>
    <row r="52" spans="2:18" outlineLevel="1" x14ac:dyDescent="0.25">
      <c r="B52" s="58">
        <v>47</v>
      </c>
      <c r="C52" s="168"/>
      <c r="D52" s="169"/>
      <c r="E52" s="170"/>
      <c r="F52" s="171"/>
      <c r="G52" s="65"/>
      <c r="H52" s="60"/>
      <c r="I52" s="65"/>
      <c r="J52" s="62">
        <v>2025</v>
      </c>
      <c r="K52" s="60"/>
      <c r="L52" s="94"/>
      <c r="M52" s="67">
        <f>IFERROR(VLOOKUP(H52,'Air Fare - 2024'!A:I,9,FALSE),0)</f>
        <v>0</v>
      </c>
      <c r="N52" s="70">
        <f t="shared" si="3"/>
        <v>0</v>
      </c>
      <c r="O52" s="67">
        <f t="shared" si="4"/>
        <v>0</v>
      </c>
      <c r="P52" s="71">
        <v>0</v>
      </c>
      <c r="Q52" s="74">
        <f t="shared" si="2"/>
        <v>0</v>
      </c>
      <c r="R52" s="65"/>
    </row>
    <row r="53" spans="2:18" outlineLevel="1" x14ac:dyDescent="0.25">
      <c r="B53" s="58">
        <v>48</v>
      </c>
      <c r="C53" s="168"/>
      <c r="D53" s="169"/>
      <c r="E53" s="170"/>
      <c r="F53" s="171"/>
      <c r="G53" s="65"/>
      <c r="H53" s="60"/>
      <c r="I53" s="65"/>
      <c r="J53" s="62">
        <v>2025</v>
      </c>
      <c r="K53" s="60"/>
      <c r="L53" s="94"/>
      <c r="M53" s="67">
        <f>IFERROR(VLOOKUP(H53,'Air Fare - 2024'!A:I,9,FALSE),0)</f>
        <v>0</v>
      </c>
      <c r="N53" s="70">
        <f t="shared" si="3"/>
        <v>0</v>
      </c>
      <c r="O53" s="67">
        <f t="shared" si="4"/>
        <v>0</v>
      </c>
      <c r="P53" s="71">
        <v>0</v>
      </c>
      <c r="Q53" s="74">
        <f t="shared" si="2"/>
        <v>0</v>
      </c>
      <c r="R53" s="65"/>
    </row>
    <row r="54" spans="2:18" outlineLevel="1" x14ac:dyDescent="0.25">
      <c r="B54" s="58">
        <v>49</v>
      </c>
      <c r="C54" s="168"/>
      <c r="D54" s="169"/>
      <c r="E54" s="170"/>
      <c r="F54" s="171"/>
      <c r="G54" s="65"/>
      <c r="H54" s="60"/>
      <c r="I54" s="65"/>
      <c r="J54" s="62">
        <v>2025</v>
      </c>
      <c r="K54" s="60"/>
      <c r="L54" s="94"/>
      <c r="M54" s="67">
        <f>IFERROR(VLOOKUP(H54,'Air Fare - 2024'!A:I,9,FALSE),0)</f>
        <v>0</v>
      </c>
      <c r="N54" s="70">
        <f t="shared" si="3"/>
        <v>0</v>
      </c>
      <c r="O54" s="67">
        <f t="shared" si="4"/>
        <v>0</v>
      </c>
      <c r="P54" s="71">
        <v>0</v>
      </c>
      <c r="Q54" s="74">
        <f t="shared" si="2"/>
        <v>0</v>
      </c>
      <c r="R54" s="65"/>
    </row>
    <row r="55" spans="2:18" outlineLevel="1" x14ac:dyDescent="0.25">
      <c r="B55" s="58"/>
      <c r="C55" s="168"/>
      <c r="D55" s="169"/>
      <c r="E55" s="170"/>
      <c r="F55" s="171"/>
      <c r="G55" s="65"/>
      <c r="H55" s="60"/>
      <c r="I55" s="65"/>
      <c r="J55" s="62">
        <v>2025</v>
      </c>
      <c r="K55" s="60"/>
      <c r="L55" s="94"/>
      <c r="M55" s="67">
        <f>IFERROR(VLOOKUP(H55,'Air Fare - 2024'!A:I,9,FALSE),0)</f>
        <v>0</v>
      </c>
      <c r="N55" s="70">
        <f t="shared" si="3"/>
        <v>0</v>
      </c>
      <c r="O55" s="67">
        <f t="shared" si="4"/>
        <v>0</v>
      </c>
      <c r="P55" s="71">
        <v>0</v>
      </c>
      <c r="Q55" s="74">
        <f t="shared" si="2"/>
        <v>0</v>
      </c>
      <c r="R55" s="65"/>
    </row>
    <row r="56" spans="2:18" outlineLevel="1" x14ac:dyDescent="0.25">
      <c r="B56" s="58"/>
      <c r="C56" s="155"/>
      <c r="D56" s="156"/>
      <c r="E56" s="77"/>
      <c r="F56" s="78"/>
      <c r="G56" s="65"/>
      <c r="H56" s="60"/>
      <c r="I56" s="65"/>
      <c r="J56" s="62"/>
      <c r="K56" s="60"/>
      <c r="L56" s="94"/>
      <c r="M56" s="67">
        <f>IFERROR(VLOOKUP(H56,'Air Fare - 2024'!A:I,9,FALSE),0)</f>
        <v>0</v>
      </c>
      <c r="N56" s="70">
        <f t="shared" si="3"/>
        <v>0</v>
      </c>
      <c r="O56" s="67">
        <f t="shared" si="4"/>
        <v>0</v>
      </c>
      <c r="P56" s="71">
        <v>0</v>
      </c>
      <c r="Q56" s="74">
        <f t="shared" si="2"/>
        <v>0</v>
      </c>
      <c r="R56" s="65"/>
    </row>
    <row r="57" spans="2:18" outlineLevel="1" x14ac:dyDescent="0.25">
      <c r="B57" s="58"/>
      <c r="C57" s="155"/>
      <c r="D57" s="156"/>
      <c r="E57" s="77"/>
      <c r="F57" s="78"/>
      <c r="G57" s="65"/>
      <c r="H57" s="60"/>
      <c r="I57" s="65"/>
      <c r="J57" s="62"/>
      <c r="K57" s="60"/>
      <c r="L57" s="94"/>
      <c r="M57" s="67">
        <f>IFERROR(VLOOKUP(H57,'Air Fare - 2024'!A:I,9,FALSE),0)</f>
        <v>0</v>
      </c>
      <c r="N57" s="70">
        <f t="shared" ref="N57:N62" si="5">K57*20</f>
        <v>0</v>
      </c>
      <c r="O57" s="67">
        <f t="shared" ref="O57:O62" si="6">K57*300</f>
        <v>0</v>
      </c>
      <c r="P57" s="71">
        <v>0</v>
      </c>
      <c r="Q57" s="74">
        <f t="shared" ref="Q57:Q62" si="7">SUM(M57:P57)</f>
        <v>0</v>
      </c>
      <c r="R57" s="65"/>
    </row>
    <row r="58" spans="2:18" outlineLevel="1" x14ac:dyDescent="0.25">
      <c r="B58" s="58"/>
      <c r="C58" s="155"/>
      <c r="D58" s="156"/>
      <c r="E58" s="77"/>
      <c r="F58" s="78"/>
      <c r="G58" s="65"/>
      <c r="H58" s="60"/>
      <c r="I58" s="65"/>
      <c r="J58" s="62"/>
      <c r="K58" s="60"/>
      <c r="L58" s="94"/>
      <c r="M58" s="67">
        <f>IFERROR(VLOOKUP(H58,'Air Fare - 2024'!A:I,9,FALSE),0)</f>
        <v>0</v>
      </c>
      <c r="N58" s="70">
        <f t="shared" si="5"/>
        <v>0</v>
      </c>
      <c r="O58" s="67">
        <f t="shared" si="6"/>
        <v>0</v>
      </c>
      <c r="P58" s="71">
        <v>0</v>
      </c>
      <c r="Q58" s="74">
        <f t="shared" si="7"/>
        <v>0</v>
      </c>
      <c r="R58" s="65"/>
    </row>
    <row r="59" spans="2:18" outlineLevel="1" x14ac:dyDescent="0.25">
      <c r="B59" s="58"/>
      <c r="C59" s="155"/>
      <c r="D59" s="156"/>
      <c r="E59" s="77"/>
      <c r="F59" s="78"/>
      <c r="G59" s="65"/>
      <c r="H59" s="60"/>
      <c r="I59" s="65"/>
      <c r="J59" s="62"/>
      <c r="K59" s="60"/>
      <c r="L59" s="94"/>
      <c r="M59" s="67">
        <f>IFERROR(VLOOKUP(H59,'Air Fare - 2024'!A:I,9,FALSE),0)</f>
        <v>0</v>
      </c>
      <c r="N59" s="70">
        <f t="shared" si="5"/>
        <v>0</v>
      </c>
      <c r="O59" s="67">
        <f t="shared" si="6"/>
        <v>0</v>
      </c>
      <c r="P59" s="71">
        <v>0</v>
      </c>
      <c r="Q59" s="74">
        <f t="shared" si="7"/>
        <v>0</v>
      </c>
      <c r="R59" s="65"/>
    </row>
    <row r="60" spans="2:18" outlineLevel="1" x14ac:dyDescent="0.25">
      <c r="B60" s="58"/>
      <c r="C60" s="155"/>
      <c r="D60" s="156"/>
      <c r="E60" s="77"/>
      <c r="F60" s="78"/>
      <c r="G60" s="65"/>
      <c r="H60" s="60"/>
      <c r="I60" s="65"/>
      <c r="J60" s="62"/>
      <c r="K60" s="60"/>
      <c r="L60" s="94"/>
      <c r="M60" s="67">
        <f>IFERROR(VLOOKUP(H60,'Air Fare - 2024'!A:I,9,FALSE),0)</f>
        <v>0</v>
      </c>
      <c r="N60" s="70">
        <f t="shared" si="5"/>
        <v>0</v>
      </c>
      <c r="O60" s="67">
        <f t="shared" si="6"/>
        <v>0</v>
      </c>
      <c r="P60" s="71">
        <v>0</v>
      </c>
      <c r="Q60" s="74">
        <f t="shared" si="7"/>
        <v>0</v>
      </c>
      <c r="R60" s="65"/>
    </row>
    <row r="61" spans="2:18" outlineLevel="1" x14ac:dyDescent="0.25">
      <c r="B61" s="58"/>
      <c r="C61" s="155"/>
      <c r="D61" s="156"/>
      <c r="E61" s="77"/>
      <c r="F61" s="78"/>
      <c r="G61" s="65"/>
      <c r="H61" s="60"/>
      <c r="I61" s="65"/>
      <c r="J61" s="62"/>
      <c r="K61" s="60"/>
      <c r="L61" s="94"/>
      <c r="M61" s="67">
        <f>IFERROR(VLOOKUP(H61,'Air Fare - 2024'!A:I,9,FALSE),0)</f>
        <v>0</v>
      </c>
      <c r="N61" s="70">
        <f t="shared" si="5"/>
        <v>0</v>
      </c>
      <c r="O61" s="67">
        <f t="shared" si="6"/>
        <v>0</v>
      </c>
      <c r="P61" s="71">
        <v>0</v>
      </c>
      <c r="Q61" s="74">
        <f t="shared" si="7"/>
        <v>0</v>
      </c>
      <c r="R61" s="65"/>
    </row>
    <row r="62" spans="2:18" outlineLevel="1" x14ac:dyDescent="0.25">
      <c r="B62" s="58">
        <v>50</v>
      </c>
      <c r="C62" s="168" t="str">
        <f t="shared" ref="C62" si="8">R62</f>
        <v>Wong Loong Yen</v>
      </c>
      <c r="D62" s="169"/>
      <c r="E62" s="170"/>
      <c r="F62" s="171"/>
      <c r="G62" s="63"/>
      <c r="H62" s="59"/>
      <c r="I62" s="63"/>
      <c r="J62" s="62">
        <v>2025</v>
      </c>
      <c r="K62" s="59"/>
      <c r="L62" s="94"/>
      <c r="M62" s="67">
        <f>IFERROR(VLOOKUP(H62,'Air Fare - 2024'!A:I,9,FALSE),0)</f>
        <v>0</v>
      </c>
      <c r="N62" s="70">
        <f t="shared" si="5"/>
        <v>0</v>
      </c>
      <c r="O62" s="67">
        <f t="shared" si="6"/>
        <v>0</v>
      </c>
      <c r="P62" s="71"/>
      <c r="Q62" s="75">
        <f t="shared" si="7"/>
        <v>0</v>
      </c>
      <c r="R62" s="65" t="s">
        <v>387</v>
      </c>
    </row>
    <row r="63" spans="2:18" s="37" customFormat="1" x14ac:dyDescent="0.25">
      <c r="B63" s="4" t="s">
        <v>224</v>
      </c>
      <c r="C63" s="84"/>
      <c r="D63" s="84"/>
      <c r="E63" s="84"/>
      <c r="F63" s="84"/>
      <c r="G63" s="84"/>
      <c r="H63" s="84"/>
      <c r="I63" s="84"/>
      <c r="J63" s="84"/>
      <c r="K63" s="84"/>
      <c r="L63" s="85"/>
      <c r="M63" s="86">
        <f>SUBTOTAL(9,M6:M62)</f>
        <v>44991.899999999994</v>
      </c>
      <c r="N63" s="86">
        <f t="shared" ref="N63:Q63" si="9">SUBTOTAL(9,N6:N62)</f>
        <v>3395.88</v>
      </c>
      <c r="O63" s="86">
        <f t="shared" si="9"/>
        <v>25317.119999999999</v>
      </c>
      <c r="P63" s="86">
        <f t="shared" si="9"/>
        <v>10300</v>
      </c>
      <c r="Q63" s="86">
        <f t="shared" si="9"/>
        <v>84004.9</v>
      </c>
      <c r="R63" s="87"/>
    </row>
    <row r="64" spans="2:18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46">
        <f>P73-Q63</f>
        <v>0</v>
      </c>
      <c r="R64" s="15"/>
    </row>
    <row r="65" spans="2:18" ht="18.75" x14ac:dyDescent="0.25">
      <c r="B65" s="175" t="s">
        <v>224</v>
      </c>
      <c r="C65" s="176"/>
      <c r="D65" s="95" t="s">
        <v>64</v>
      </c>
      <c r="E65" s="88" t="s">
        <v>63</v>
      </c>
      <c r="F65" s="88" t="s">
        <v>62</v>
      </c>
      <c r="G65" s="88" t="s">
        <v>61</v>
      </c>
      <c r="H65" s="88" t="s">
        <v>60</v>
      </c>
      <c r="I65" s="88" t="s">
        <v>59</v>
      </c>
      <c r="J65" s="88" t="s">
        <v>58</v>
      </c>
      <c r="K65" s="88" t="s">
        <v>57</v>
      </c>
      <c r="L65" s="88" t="s">
        <v>56</v>
      </c>
      <c r="M65" s="88" t="s">
        <v>55</v>
      </c>
      <c r="N65" s="88" t="s">
        <v>54</v>
      </c>
      <c r="O65" s="88" t="s">
        <v>53</v>
      </c>
      <c r="P65" s="88" t="s">
        <v>52</v>
      </c>
      <c r="Q65" s="15"/>
      <c r="R65" s="15"/>
    </row>
    <row r="66" spans="2:18" x14ac:dyDescent="0.25">
      <c r="B66" s="81" t="s">
        <v>319</v>
      </c>
      <c r="C66" s="79" t="s">
        <v>324</v>
      </c>
      <c r="D66" s="89">
        <f>SUMIFS($M$6:$M$62,$L$6:$L$62,D65,$I$6:$I$62,$B$66)+SUMIFS($N$6:$N$62,$L$6:$L$62,D65,$I$6:$I$62,$B$66)</f>
        <v>2215.1800000000003</v>
      </c>
      <c r="E66" s="89">
        <f t="shared" ref="E66:O66" si="10">SUMIFS($M$6:$M$62,$L$6:$L$62,E65,$I$6:$I$62,$B$66)+SUMIFS($N$6:$N$62,$L$6:$L$62,E65,$I$6:$I$62,$B$66)</f>
        <v>40.700000000000003</v>
      </c>
      <c r="F66" s="89">
        <f t="shared" si="10"/>
        <v>0</v>
      </c>
      <c r="G66" s="89">
        <f t="shared" si="10"/>
        <v>0</v>
      </c>
      <c r="H66" s="89">
        <f t="shared" si="10"/>
        <v>0</v>
      </c>
      <c r="I66" s="89">
        <f t="shared" si="10"/>
        <v>11452</v>
      </c>
      <c r="J66" s="89">
        <f t="shared" si="10"/>
        <v>1120</v>
      </c>
      <c r="K66" s="89">
        <f t="shared" si="10"/>
        <v>0</v>
      </c>
      <c r="L66" s="89">
        <f t="shared" si="10"/>
        <v>0</v>
      </c>
      <c r="M66" s="89">
        <f t="shared" si="10"/>
        <v>11133.3</v>
      </c>
      <c r="N66" s="89">
        <f t="shared" si="10"/>
        <v>11133.3</v>
      </c>
      <c r="O66" s="89">
        <f t="shared" si="10"/>
        <v>0</v>
      </c>
      <c r="P66" s="89">
        <f t="shared" ref="P66:P72" si="11">SUM(D66:O66)</f>
        <v>37094.479999999996</v>
      </c>
      <c r="Q66" s="15"/>
      <c r="R66" s="15"/>
    </row>
    <row r="67" spans="2:18" x14ac:dyDescent="0.25">
      <c r="B67" s="82" t="s">
        <v>319</v>
      </c>
      <c r="C67" s="80" t="s">
        <v>325</v>
      </c>
      <c r="D67" s="90">
        <f>SUMIFS($O$6:$O$62,$L$6:$L$62,D65,$I$6:$I$62,$B$67)</f>
        <v>7573.829999999999</v>
      </c>
      <c r="E67" s="90">
        <f t="shared" ref="E67:O67" si="12">SUMIFS($O$6:$O$62,$L$6:$L$62,E65,$I$6:$I$62,$B$67)</f>
        <v>643.29</v>
      </c>
      <c r="F67" s="90">
        <f t="shared" si="12"/>
        <v>0</v>
      </c>
      <c r="G67" s="90">
        <f t="shared" si="12"/>
        <v>0</v>
      </c>
      <c r="H67" s="90">
        <f t="shared" si="12"/>
        <v>0</v>
      </c>
      <c r="I67" s="90">
        <f t="shared" si="12"/>
        <v>2400</v>
      </c>
      <c r="J67" s="90">
        <f t="shared" si="12"/>
        <v>6000</v>
      </c>
      <c r="K67" s="90">
        <f t="shared" si="12"/>
        <v>0</v>
      </c>
      <c r="L67" s="90">
        <f t="shared" si="12"/>
        <v>0</v>
      </c>
      <c r="M67" s="90">
        <f t="shared" si="12"/>
        <v>2100</v>
      </c>
      <c r="N67" s="90">
        <f t="shared" si="12"/>
        <v>2100</v>
      </c>
      <c r="O67" s="90">
        <f t="shared" si="12"/>
        <v>0</v>
      </c>
      <c r="P67" s="90">
        <f t="shared" si="11"/>
        <v>20817.12</v>
      </c>
      <c r="Q67" s="15"/>
      <c r="R67" s="15"/>
    </row>
    <row r="68" spans="2:18" x14ac:dyDescent="0.25">
      <c r="B68" s="82" t="s">
        <v>322</v>
      </c>
      <c r="C68" s="80" t="s">
        <v>326</v>
      </c>
      <c r="D68" s="90">
        <f>SUMIFS($P$6:$P$62,$L$6:$L$62,D65,$I$6:$I$62,$B$68)</f>
        <v>0</v>
      </c>
      <c r="E68" s="90">
        <f t="shared" ref="E68:O68" si="13">SUMIFS($P$6:$P$62,$L$6:$L$62,E65,$I$6:$I$62,$B$68)</f>
        <v>0</v>
      </c>
      <c r="F68" s="90">
        <f t="shared" si="13"/>
        <v>0</v>
      </c>
      <c r="G68" s="90">
        <f t="shared" si="13"/>
        <v>0</v>
      </c>
      <c r="H68" s="90">
        <f t="shared" si="13"/>
        <v>0</v>
      </c>
      <c r="I68" s="90">
        <f t="shared" si="13"/>
        <v>0</v>
      </c>
      <c r="J68" s="90">
        <f t="shared" si="13"/>
        <v>0</v>
      </c>
      <c r="K68" s="90">
        <f t="shared" si="13"/>
        <v>0</v>
      </c>
      <c r="L68" s="90">
        <f t="shared" si="13"/>
        <v>0</v>
      </c>
      <c r="M68" s="90">
        <f t="shared" si="13"/>
        <v>0</v>
      </c>
      <c r="N68" s="90">
        <f t="shared" si="13"/>
        <v>0</v>
      </c>
      <c r="O68" s="90">
        <f t="shared" si="13"/>
        <v>0</v>
      </c>
      <c r="P68" s="90">
        <f t="shared" si="11"/>
        <v>0</v>
      </c>
      <c r="Q68" s="15"/>
      <c r="R68" s="15"/>
    </row>
    <row r="69" spans="2:18" x14ac:dyDescent="0.25">
      <c r="B69" s="82" t="s">
        <v>320</v>
      </c>
      <c r="C69" s="80" t="s">
        <v>79</v>
      </c>
      <c r="D69" s="90">
        <f t="shared" ref="D69:O69" si="14">SUMIFS($Q$6:$Q$62,$L$6:$L$62,D65,$I$6:$I$62,$B$69)</f>
        <v>0</v>
      </c>
      <c r="E69" s="90">
        <f t="shared" si="14"/>
        <v>0</v>
      </c>
      <c r="F69" s="90">
        <f t="shared" si="14"/>
        <v>0</v>
      </c>
      <c r="G69" s="90">
        <f t="shared" si="14"/>
        <v>0</v>
      </c>
      <c r="H69" s="90">
        <f t="shared" si="14"/>
        <v>0</v>
      </c>
      <c r="I69" s="90">
        <f t="shared" si="14"/>
        <v>0</v>
      </c>
      <c r="J69" s="90">
        <f t="shared" si="14"/>
        <v>0</v>
      </c>
      <c r="K69" s="90">
        <f t="shared" si="14"/>
        <v>0</v>
      </c>
      <c r="L69" s="90">
        <f t="shared" si="14"/>
        <v>15793.3</v>
      </c>
      <c r="M69" s="90">
        <f t="shared" si="14"/>
        <v>0</v>
      </c>
      <c r="N69" s="90">
        <f t="shared" si="14"/>
        <v>0</v>
      </c>
      <c r="O69" s="90">
        <f t="shared" si="14"/>
        <v>0</v>
      </c>
      <c r="P69" s="90">
        <f t="shared" si="11"/>
        <v>15793.3</v>
      </c>
      <c r="Q69" s="15"/>
      <c r="R69" s="15"/>
    </row>
    <row r="70" spans="2:18" x14ac:dyDescent="0.25">
      <c r="B70" s="82" t="s">
        <v>321</v>
      </c>
      <c r="C70" s="80" t="s">
        <v>81</v>
      </c>
      <c r="D70" s="90">
        <f t="shared" ref="D70:O70" si="15">SUMIFS($Q$6:$Q$62,$L$6:$L$62,D65,$I$6:$I$62,$B$70)</f>
        <v>0</v>
      </c>
      <c r="E70" s="90">
        <f t="shared" si="15"/>
        <v>0</v>
      </c>
      <c r="F70" s="90">
        <f t="shared" si="15"/>
        <v>0</v>
      </c>
      <c r="G70" s="90">
        <f t="shared" si="15"/>
        <v>0</v>
      </c>
      <c r="H70" s="90">
        <f t="shared" si="15"/>
        <v>0</v>
      </c>
      <c r="I70" s="90">
        <f t="shared" si="15"/>
        <v>0</v>
      </c>
      <c r="J70" s="90">
        <f t="shared" si="15"/>
        <v>0</v>
      </c>
      <c r="K70" s="90">
        <f t="shared" si="15"/>
        <v>0</v>
      </c>
      <c r="L70" s="90">
        <f t="shared" si="15"/>
        <v>0</v>
      </c>
      <c r="M70" s="90">
        <f t="shared" si="15"/>
        <v>0</v>
      </c>
      <c r="N70" s="90">
        <f t="shared" si="15"/>
        <v>0</v>
      </c>
      <c r="O70" s="90">
        <f t="shared" si="15"/>
        <v>0</v>
      </c>
      <c r="P70" s="90">
        <f t="shared" si="11"/>
        <v>0</v>
      </c>
      <c r="Q70" s="15"/>
      <c r="R70" s="15"/>
    </row>
    <row r="71" spans="2:18" x14ac:dyDescent="0.25">
      <c r="B71" s="82" t="s">
        <v>317</v>
      </c>
      <c r="C71" s="80" t="s">
        <v>327</v>
      </c>
      <c r="D71" s="90">
        <f t="shared" ref="D71:O71" si="16">SUMIFS($Q$6:$Q$62,$L$6:$L$62,D65,$I$6:$I$62,$B$71)</f>
        <v>247.29999999999998</v>
      </c>
      <c r="E71" s="90">
        <f t="shared" si="16"/>
        <v>20.29</v>
      </c>
      <c r="F71" s="90">
        <f t="shared" si="16"/>
        <v>832.41</v>
      </c>
      <c r="G71" s="90">
        <f t="shared" si="16"/>
        <v>2000</v>
      </c>
      <c r="H71" s="90">
        <f t="shared" si="16"/>
        <v>300</v>
      </c>
      <c r="I71" s="90">
        <f t="shared" si="16"/>
        <v>300</v>
      </c>
      <c r="J71" s="90">
        <f t="shared" si="16"/>
        <v>500</v>
      </c>
      <c r="K71" s="90">
        <f t="shared" si="16"/>
        <v>300</v>
      </c>
      <c r="L71" s="90">
        <f t="shared" si="16"/>
        <v>500</v>
      </c>
      <c r="M71" s="90">
        <f t="shared" si="16"/>
        <v>2000</v>
      </c>
      <c r="N71" s="90">
        <f t="shared" si="16"/>
        <v>300</v>
      </c>
      <c r="O71" s="90">
        <f t="shared" si="16"/>
        <v>2000</v>
      </c>
      <c r="P71" s="91">
        <f t="shared" si="11"/>
        <v>9300</v>
      </c>
      <c r="Q71" s="15"/>
      <c r="R71" s="15"/>
    </row>
    <row r="72" spans="2:18" x14ac:dyDescent="0.25">
      <c r="B72" s="82" t="s">
        <v>318</v>
      </c>
      <c r="C72" s="80" t="s">
        <v>328</v>
      </c>
      <c r="D72" s="90">
        <f t="shared" ref="D72:O72" si="17">SUMIFS($Q$6:$Q$62,$L$6:$L$62,D65,$I$6:$I$62,$B$72)</f>
        <v>0</v>
      </c>
      <c r="E72" s="90">
        <f t="shared" si="17"/>
        <v>0</v>
      </c>
      <c r="F72" s="90">
        <f t="shared" si="17"/>
        <v>200</v>
      </c>
      <c r="G72" s="90">
        <f t="shared" si="17"/>
        <v>200</v>
      </c>
      <c r="H72" s="90">
        <f t="shared" si="17"/>
        <v>0</v>
      </c>
      <c r="I72" s="90">
        <f t="shared" si="17"/>
        <v>200</v>
      </c>
      <c r="J72" s="90">
        <f t="shared" si="17"/>
        <v>0</v>
      </c>
      <c r="K72" s="90">
        <f t="shared" si="17"/>
        <v>200</v>
      </c>
      <c r="L72" s="90">
        <f t="shared" si="17"/>
        <v>0</v>
      </c>
      <c r="M72" s="90">
        <f t="shared" si="17"/>
        <v>200</v>
      </c>
      <c r="N72" s="90">
        <f t="shared" si="17"/>
        <v>0</v>
      </c>
      <c r="O72" s="90">
        <f t="shared" si="17"/>
        <v>0</v>
      </c>
      <c r="P72" s="91">
        <f t="shared" si="11"/>
        <v>1000</v>
      </c>
      <c r="Q72" s="15"/>
      <c r="R72" s="15"/>
    </row>
    <row r="73" spans="2:18" s="37" customFormat="1" x14ac:dyDescent="0.25">
      <c r="B73" s="48" t="s">
        <v>223</v>
      </c>
      <c r="C73" s="92"/>
      <c r="D73" s="93">
        <f t="shared" ref="D73:P73" si="18">SUM(D66:D72)</f>
        <v>10036.309999999998</v>
      </c>
      <c r="E73" s="93">
        <f t="shared" si="18"/>
        <v>704.28</v>
      </c>
      <c r="F73" s="93">
        <f t="shared" si="18"/>
        <v>1032.4099999999999</v>
      </c>
      <c r="G73" s="93">
        <f t="shared" si="18"/>
        <v>2200</v>
      </c>
      <c r="H73" s="93">
        <f t="shared" si="18"/>
        <v>300</v>
      </c>
      <c r="I73" s="93">
        <f t="shared" si="18"/>
        <v>14352</v>
      </c>
      <c r="J73" s="93">
        <f t="shared" si="18"/>
        <v>7620</v>
      </c>
      <c r="K73" s="93">
        <f t="shared" si="18"/>
        <v>500</v>
      </c>
      <c r="L73" s="93">
        <f t="shared" si="18"/>
        <v>16293.3</v>
      </c>
      <c r="M73" s="93">
        <f t="shared" si="18"/>
        <v>15433.3</v>
      </c>
      <c r="N73" s="93">
        <f t="shared" si="18"/>
        <v>13533.3</v>
      </c>
      <c r="O73" s="93">
        <f t="shared" si="18"/>
        <v>2000</v>
      </c>
      <c r="P73" s="93">
        <f t="shared" si="18"/>
        <v>84004.9</v>
      </c>
      <c r="Q73" s="83"/>
      <c r="R73" s="83"/>
    </row>
  </sheetData>
  <autoFilter ref="B5:R62" xr:uid="{BE397AE5-9E69-443D-B8D5-69591E97B123}">
    <filterColumn colId="1" showButton="0"/>
    <filterColumn colId="3" showButton="0"/>
  </autoFilter>
  <mergeCells count="106">
    <mergeCell ref="C14:D14"/>
    <mergeCell ref="B1:R1"/>
    <mergeCell ref="C5:D5"/>
    <mergeCell ref="C7:D7"/>
    <mergeCell ref="C8:D8"/>
    <mergeCell ref="C6:D6"/>
    <mergeCell ref="C9:D9"/>
    <mergeCell ref="C10:D10"/>
    <mergeCell ref="C11:D11"/>
    <mergeCell ref="C12:D12"/>
    <mergeCell ref="C13:D13"/>
    <mergeCell ref="E5:F5"/>
    <mergeCell ref="E6:F6"/>
    <mergeCell ref="E7:F7"/>
    <mergeCell ref="E8:F8"/>
    <mergeCell ref="E9:F9"/>
    <mergeCell ref="C26:D26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38:D38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E38:F38"/>
    <mergeCell ref="E10:F10"/>
    <mergeCell ref="E11:F11"/>
    <mergeCell ref="E12:F12"/>
    <mergeCell ref="E13:F13"/>
    <mergeCell ref="E14:F14"/>
    <mergeCell ref="E15:F1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22:F22"/>
    <mergeCell ref="E23:F23"/>
    <mergeCell ref="E43:F43"/>
    <mergeCell ref="E44:F44"/>
    <mergeCell ref="C51:D51"/>
    <mergeCell ref="C52:D52"/>
    <mergeCell ref="C53:D53"/>
    <mergeCell ref="C54:D54"/>
    <mergeCell ref="C62:D62"/>
    <mergeCell ref="C50:D50"/>
    <mergeCell ref="C48:D48"/>
    <mergeCell ref="C49:D49"/>
    <mergeCell ref="C55:D55"/>
    <mergeCell ref="E55:F55"/>
    <mergeCell ref="B65:C65"/>
    <mergeCell ref="E17:F17"/>
    <mergeCell ref="E16:F16"/>
    <mergeCell ref="E18:F18"/>
    <mergeCell ref="E19:F19"/>
    <mergeCell ref="E20:F20"/>
    <mergeCell ref="E21:F21"/>
    <mergeCell ref="E51:F51"/>
    <mergeCell ref="E52:F52"/>
    <mergeCell ref="E53:F53"/>
    <mergeCell ref="E54:F54"/>
    <mergeCell ref="E62:F62"/>
    <mergeCell ref="E45:F45"/>
    <mergeCell ref="E46:F46"/>
    <mergeCell ref="E36:F36"/>
    <mergeCell ref="E37:F37"/>
    <mergeCell ref="E47:F47"/>
    <mergeCell ref="E48:F48"/>
    <mergeCell ref="E49:F49"/>
    <mergeCell ref="E50:F50"/>
    <mergeCell ref="E39:F39"/>
    <mergeCell ref="E40:F40"/>
    <mergeCell ref="E41:F41"/>
    <mergeCell ref="E42:F42"/>
  </mergeCells>
  <dataValidations count="1">
    <dataValidation type="list" allowBlank="1" showInputMessage="1" showErrorMessage="1" prompt="Select City and Airfare will be extracted accordingly" sqref="H63" xr:uid="{A58E52CB-C747-4F85-BE48-F96C2C7C0162}">
      <formula1>CITY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FE17D85-3F26-4646-960A-CA8D1A3430E6}">
          <x14:formula1>
            <xm:f>'Data '!$F$2:$F$38</xm:f>
          </x14:formula1>
          <xm:sqref>D2</xm:sqref>
        </x14:dataValidation>
        <x14:dataValidation type="list" allowBlank="1" showInputMessage="1" showErrorMessage="1" xr:uid="{5054F1D5-EF0F-49F1-ADC3-3BF8F2ABBA56}">
          <x14:formula1>
            <xm:f>'Air Fare - 2024'!$A$2:$A$34</xm:f>
          </x14:formula1>
          <xm:sqref>H6:H62</xm:sqref>
        </x14:dataValidation>
        <x14:dataValidation type="list" allowBlank="1" showInputMessage="1" showErrorMessage="1" xr:uid="{280512C2-605A-43F7-A242-459AFB2BC371}">
          <x14:formula1>
            <xm:f>'Data '!$N$3:$N$6</xm:f>
          </x14:formula1>
          <xm:sqref>I5</xm:sqref>
        </x14:dataValidation>
        <x14:dataValidation type="list" allowBlank="1" showInputMessage="1" showErrorMessage="1" xr:uid="{37690783-7638-4D39-81CF-3D85892EFB15}">
          <x14:formula1>
            <xm:f>'Data '!$N$2:$N$7</xm:f>
          </x14:formula1>
          <xm:sqref>I6:I62</xm:sqref>
        </x14:dataValidation>
        <x14:dataValidation type="list" allowBlank="1" showInputMessage="1" showErrorMessage="1" xr:uid="{EC97F262-9332-4A5B-97D2-35CC6504652F}">
          <x14:formula1>
            <xm:f>'Data '!$J$2:$J$13</xm:f>
          </x14:formula1>
          <xm:sqref>L6:L62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E102-CE57-414F-88ED-5D789CD49DC8}">
  <sheetPr>
    <tabColor rgb="FFFFFF00"/>
  </sheetPr>
  <dimension ref="A1:S55"/>
  <sheetViews>
    <sheetView topLeftCell="C1" workbookViewId="0">
      <pane ySplit="5" topLeftCell="A17" activePane="bottomLeft" state="frozen"/>
      <selection activeCell="E17" sqref="E17"/>
      <selection pane="bottomLeft" activeCell="Q48" sqref="Q48:R49"/>
    </sheetView>
  </sheetViews>
  <sheetFormatPr defaultRowHeight="15" outlineLevelRow="1" x14ac:dyDescent="0.25"/>
  <cols>
    <col min="1" max="1" width="9.140625" style="43"/>
    <col min="2" max="2" width="17.28515625" style="43" bestFit="1" customWidth="1"/>
    <col min="3" max="3" width="35" style="43" customWidth="1"/>
    <col min="4" max="4" width="14.140625" style="43" customWidth="1"/>
    <col min="5" max="6" width="15.28515625" style="43" customWidth="1"/>
    <col min="7" max="7" width="15.7109375" style="43" customWidth="1"/>
    <col min="8" max="8" width="14.42578125" style="43" bestFit="1" customWidth="1"/>
    <col min="9" max="9" width="17.85546875" style="43" customWidth="1"/>
    <col min="10" max="10" width="11" style="43" customWidth="1"/>
    <col min="11" max="11" width="11.140625" style="43" customWidth="1"/>
    <col min="12" max="12" width="10.140625" style="43" bestFit="1" customWidth="1"/>
    <col min="13" max="13" width="11.42578125" style="43" customWidth="1"/>
    <col min="14" max="14" width="13" style="43" customWidth="1"/>
    <col min="15" max="16" width="13.140625" style="43" customWidth="1"/>
    <col min="17" max="17" width="13.42578125" style="43" customWidth="1"/>
    <col min="18" max="18" width="26" style="43" customWidth="1"/>
    <col min="19" max="19" width="9.140625" style="43"/>
  </cols>
  <sheetData>
    <row r="1" spans="2:18" s="12" customFormat="1" ht="45.75" customHeight="1" x14ac:dyDescent="0.25">
      <c r="B1" s="172" t="s">
        <v>372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</row>
    <row r="2" spans="2:18" s="12" customFormat="1" ht="31.5" customHeight="1" x14ac:dyDescent="0.25">
      <c r="B2" s="17" t="s">
        <v>73</v>
      </c>
      <c r="C2" s="17" t="str">
        <f>Summary!B4</f>
        <v>14790070-SGP Coffee NDU</v>
      </c>
      <c r="D2" s="17"/>
      <c r="E2" s="17"/>
      <c r="F2" s="1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2:18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2:18" x14ac:dyDescent="0.25">
      <c r="B4" s="5" t="s">
        <v>214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2:18" ht="30" x14ac:dyDescent="0.25">
      <c r="B5" s="54" t="s">
        <v>307</v>
      </c>
      <c r="C5" s="173" t="s">
        <v>308</v>
      </c>
      <c r="D5" s="174"/>
      <c r="E5" s="173" t="s">
        <v>309</v>
      </c>
      <c r="F5" s="174"/>
      <c r="G5" s="55" t="s">
        <v>310</v>
      </c>
      <c r="H5" s="55" t="s">
        <v>311</v>
      </c>
      <c r="I5" s="55" t="s">
        <v>316</v>
      </c>
      <c r="J5" s="54" t="s">
        <v>52</v>
      </c>
      <c r="K5" s="55" t="s">
        <v>312</v>
      </c>
      <c r="L5" s="55" t="s">
        <v>313</v>
      </c>
      <c r="M5" s="54" t="s">
        <v>230</v>
      </c>
      <c r="N5" s="54" t="s">
        <v>314</v>
      </c>
      <c r="O5" s="54" t="s">
        <v>315</v>
      </c>
      <c r="P5" s="54" t="s">
        <v>323</v>
      </c>
      <c r="Q5" s="66" t="s">
        <v>233</v>
      </c>
      <c r="R5" s="54" t="s">
        <v>51</v>
      </c>
    </row>
    <row r="6" spans="2:18" outlineLevel="1" x14ac:dyDescent="0.25">
      <c r="B6" s="58">
        <v>6</v>
      </c>
      <c r="C6" s="168"/>
      <c r="D6" s="169"/>
      <c r="E6" s="170"/>
      <c r="F6" s="171"/>
      <c r="G6" s="65"/>
      <c r="H6" s="60"/>
      <c r="I6" s="65" t="s">
        <v>319</v>
      </c>
      <c r="J6" s="62">
        <v>2025</v>
      </c>
      <c r="K6" s="60"/>
      <c r="L6" s="94"/>
      <c r="M6" s="67">
        <f>IFERROR(VLOOKUP(H6,'Air Fare - 2024'!A:I,9,FALSE),0)</f>
        <v>0</v>
      </c>
      <c r="N6" s="70">
        <f t="shared" ref="N6" si="0">K6*20</f>
        <v>0</v>
      </c>
      <c r="O6" s="67">
        <f t="shared" ref="O6" si="1">K6*300</f>
        <v>0</v>
      </c>
      <c r="P6" s="70"/>
      <c r="Q6" s="74">
        <f t="shared" ref="Q6:Q44" si="2">SUM(M6:P6)</f>
        <v>0</v>
      </c>
      <c r="R6" s="65"/>
    </row>
    <row r="7" spans="2:18" outlineLevel="1" x14ac:dyDescent="0.25">
      <c r="B7" s="58">
        <v>7</v>
      </c>
      <c r="C7" s="179" t="s">
        <v>379</v>
      </c>
      <c r="D7" s="180"/>
      <c r="E7" s="177" t="s">
        <v>382</v>
      </c>
      <c r="F7" s="178"/>
      <c r="G7" s="62"/>
      <c r="H7" s="62"/>
      <c r="I7" s="62" t="s">
        <v>319</v>
      </c>
      <c r="J7" s="62">
        <v>2025</v>
      </c>
      <c r="K7" s="62"/>
      <c r="L7" s="142" t="s">
        <v>330</v>
      </c>
      <c r="M7" s="143">
        <v>0</v>
      </c>
      <c r="N7" s="143">
        <v>0</v>
      </c>
      <c r="O7" s="143">
        <f>121.62+20817.12-19841.12</f>
        <v>1097.619999999999</v>
      </c>
      <c r="P7" s="143">
        <v>0</v>
      </c>
      <c r="Q7" s="144">
        <f t="shared" si="2"/>
        <v>1097.619999999999</v>
      </c>
      <c r="R7" s="62" t="s">
        <v>354</v>
      </c>
    </row>
    <row r="8" spans="2:18" outlineLevel="1" x14ac:dyDescent="0.25">
      <c r="B8" s="58">
        <v>8</v>
      </c>
      <c r="C8" s="179" t="s">
        <v>379</v>
      </c>
      <c r="D8" s="180"/>
      <c r="E8" s="177" t="s">
        <v>382</v>
      </c>
      <c r="F8" s="178"/>
      <c r="G8" s="62"/>
      <c r="H8" s="62"/>
      <c r="I8" s="62" t="s">
        <v>319</v>
      </c>
      <c r="J8" s="62">
        <v>2025</v>
      </c>
      <c r="K8" s="62"/>
      <c r="L8" s="142" t="s">
        <v>352</v>
      </c>
      <c r="M8" s="143">
        <v>0</v>
      </c>
      <c r="N8" s="143">
        <v>0</v>
      </c>
      <c r="O8" s="143">
        <v>409.49</v>
      </c>
      <c r="P8" s="143">
        <v>0</v>
      </c>
      <c r="Q8" s="144">
        <f t="shared" si="2"/>
        <v>409.49</v>
      </c>
      <c r="R8" s="62" t="s">
        <v>354</v>
      </c>
    </row>
    <row r="9" spans="2:18" outlineLevel="1" x14ac:dyDescent="0.25">
      <c r="B9" s="58">
        <v>9</v>
      </c>
      <c r="C9" s="179" t="s">
        <v>379</v>
      </c>
      <c r="D9" s="180"/>
      <c r="E9" s="177" t="s">
        <v>382</v>
      </c>
      <c r="F9" s="178"/>
      <c r="G9" s="62"/>
      <c r="H9" s="62"/>
      <c r="I9" s="62" t="s">
        <v>319</v>
      </c>
      <c r="J9" s="62">
        <v>2025</v>
      </c>
      <c r="K9" s="62"/>
      <c r="L9" s="142" t="s">
        <v>352</v>
      </c>
      <c r="M9" s="143">
        <v>0</v>
      </c>
      <c r="N9" s="143">
        <v>40.700000000000003</v>
      </c>
      <c r="O9" s="143">
        <v>233.8</v>
      </c>
      <c r="P9" s="143">
        <v>0</v>
      </c>
      <c r="Q9" s="144">
        <f t="shared" si="2"/>
        <v>274.5</v>
      </c>
      <c r="R9" s="62" t="s">
        <v>354</v>
      </c>
    </row>
    <row r="10" spans="2:18" outlineLevel="1" x14ac:dyDescent="0.25">
      <c r="B10" s="58">
        <v>10</v>
      </c>
      <c r="C10" s="179" t="s">
        <v>379</v>
      </c>
      <c r="D10" s="180"/>
      <c r="E10" s="177" t="s">
        <v>382</v>
      </c>
      <c r="F10" s="178"/>
      <c r="G10" s="62"/>
      <c r="H10" s="62"/>
      <c r="I10" s="62" t="s">
        <v>319</v>
      </c>
      <c r="J10" s="62">
        <v>2025</v>
      </c>
      <c r="K10" s="62"/>
      <c r="L10" s="142" t="s">
        <v>330</v>
      </c>
      <c r="M10" s="143">
        <v>0</v>
      </c>
      <c r="N10" s="143">
        <v>0</v>
      </c>
      <c r="O10" s="143">
        <v>56.3</v>
      </c>
      <c r="P10" s="143">
        <v>0</v>
      </c>
      <c r="Q10" s="144">
        <f t="shared" si="2"/>
        <v>56.3</v>
      </c>
      <c r="R10" s="62" t="s">
        <v>354</v>
      </c>
    </row>
    <row r="11" spans="2:18" outlineLevel="1" x14ac:dyDescent="0.25">
      <c r="B11" s="58">
        <v>11</v>
      </c>
      <c r="C11" s="179" t="s">
        <v>379</v>
      </c>
      <c r="D11" s="180"/>
      <c r="E11" s="177" t="s">
        <v>382</v>
      </c>
      <c r="F11" s="178"/>
      <c r="G11" s="62"/>
      <c r="H11" s="62"/>
      <c r="I11" s="62" t="s">
        <v>319</v>
      </c>
      <c r="J11" s="62">
        <v>2025</v>
      </c>
      <c r="K11" s="62"/>
      <c r="L11" s="142" t="s">
        <v>330</v>
      </c>
      <c r="M11" s="143">
        <v>0</v>
      </c>
      <c r="N11" s="143">
        <f>1390.44-390</f>
        <v>1000.44</v>
      </c>
      <c r="O11" s="143">
        <v>5453.17</v>
      </c>
      <c r="P11" s="143">
        <v>0</v>
      </c>
      <c r="Q11" s="144">
        <f t="shared" si="2"/>
        <v>6453.6100000000006</v>
      </c>
      <c r="R11" s="62" t="s">
        <v>354</v>
      </c>
    </row>
    <row r="12" spans="2:18" outlineLevel="1" x14ac:dyDescent="0.25">
      <c r="B12" s="58">
        <v>12</v>
      </c>
      <c r="C12" s="179" t="s">
        <v>379</v>
      </c>
      <c r="D12" s="180"/>
      <c r="E12" s="177" t="s">
        <v>382</v>
      </c>
      <c r="F12" s="178"/>
      <c r="G12" s="62"/>
      <c r="H12" s="62"/>
      <c r="I12" s="62" t="s">
        <v>319</v>
      </c>
      <c r="J12" s="62">
        <v>2025</v>
      </c>
      <c r="K12" s="62"/>
      <c r="L12" s="142" t="s">
        <v>330</v>
      </c>
      <c r="M12" s="143">
        <v>0</v>
      </c>
      <c r="N12" s="143">
        <f>659.23+150</f>
        <v>809.23</v>
      </c>
      <c r="O12" s="143">
        <v>544.54</v>
      </c>
      <c r="P12" s="143">
        <v>0</v>
      </c>
      <c r="Q12" s="144">
        <f t="shared" si="2"/>
        <v>1353.77</v>
      </c>
      <c r="R12" s="62" t="s">
        <v>354</v>
      </c>
    </row>
    <row r="13" spans="2:18" outlineLevel="1" x14ac:dyDescent="0.25">
      <c r="B13" s="58">
        <v>13</v>
      </c>
      <c r="C13" s="179" t="s">
        <v>379</v>
      </c>
      <c r="D13" s="180"/>
      <c r="E13" s="177" t="s">
        <v>382</v>
      </c>
      <c r="F13" s="178"/>
      <c r="G13" s="62"/>
      <c r="H13" s="62"/>
      <c r="I13" s="62" t="s">
        <v>319</v>
      </c>
      <c r="J13" s="62">
        <v>2025</v>
      </c>
      <c r="K13" s="62"/>
      <c r="L13" s="142" t="s">
        <v>330</v>
      </c>
      <c r="M13" s="143">
        <v>0</v>
      </c>
      <c r="N13" s="143">
        <f>255.51+150</f>
        <v>405.51</v>
      </c>
      <c r="O13" s="143">
        <v>422.20000000000005</v>
      </c>
      <c r="P13" s="143">
        <v>0</v>
      </c>
      <c r="Q13" s="144">
        <f t="shared" si="2"/>
        <v>827.71</v>
      </c>
      <c r="R13" s="62" t="s">
        <v>354</v>
      </c>
    </row>
    <row r="14" spans="2:18" outlineLevel="1" x14ac:dyDescent="0.25">
      <c r="B14" s="58">
        <v>32</v>
      </c>
      <c r="C14" s="179" t="s">
        <v>384</v>
      </c>
      <c r="D14" s="180"/>
      <c r="E14" s="177" t="s">
        <v>382</v>
      </c>
      <c r="F14" s="178"/>
      <c r="G14" s="145"/>
      <c r="H14" s="62"/>
      <c r="I14" s="62" t="s">
        <v>319</v>
      </c>
      <c r="J14" s="62">
        <v>2025</v>
      </c>
      <c r="K14" s="62"/>
      <c r="L14" s="142" t="s">
        <v>331</v>
      </c>
      <c r="M14" s="143">
        <v>8469.4799999999959</v>
      </c>
      <c r="N14" s="143">
        <v>51.6</v>
      </c>
      <c r="O14" s="143">
        <v>5110.9700000000012</v>
      </c>
      <c r="P14" s="143">
        <v>0</v>
      </c>
      <c r="Q14" s="144">
        <f t="shared" ref="Q14:Q19" si="3">SUM(M14:P14)</f>
        <v>13632.049999999997</v>
      </c>
      <c r="R14" s="62" t="s">
        <v>354</v>
      </c>
    </row>
    <row r="15" spans="2:18" outlineLevel="1" x14ac:dyDescent="0.25">
      <c r="B15" s="56">
        <v>1</v>
      </c>
      <c r="C15" s="168" t="s">
        <v>374</v>
      </c>
      <c r="D15" s="169"/>
      <c r="E15" s="170" t="s">
        <v>375</v>
      </c>
      <c r="F15" s="171"/>
      <c r="G15" s="141" t="s">
        <v>377</v>
      </c>
      <c r="H15" s="158" t="s">
        <v>239</v>
      </c>
      <c r="I15" s="141" t="s">
        <v>319</v>
      </c>
      <c r="J15" s="157">
        <v>2025</v>
      </c>
      <c r="K15" s="158">
        <v>10</v>
      </c>
      <c r="L15" s="159" t="s">
        <v>334</v>
      </c>
      <c r="M15" s="160">
        <v>630</v>
      </c>
      <c r="N15" s="161">
        <f>K15*20</f>
        <v>200</v>
      </c>
      <c r="O15" s="160">
        <f>K15*300</f>
        <v>3000</v>
      </c>
      <c r="P15" s="161"/>
      <c r="Q15" s="162">
        <f t="shared" si="3"/>
        <v>3830</v>
      </c>
      <c r="R15" s="141"/>
    </row>
    <row r="16" spans="2:18" outlineLevel="1" x14ac:dyDescent="0.25">
      <c r="B16" s="58">
        <v>2</v>
      </c>
      <c r="C16" s="168" t="s">
        <v>374</v>
      </c>
      <c r="D16" s="169"/>
      <c r="E16" s="170" t="s">
        <v>375</v>
      </c>
      <c r="F16" s="171"/>
      <c r="G16" s="141" t="s">
        <v>377</v>
      </c>
      <c r="H16" s="60" t="s">
        <v>239</v>
      </c>
      <c r="I16" s="65" t="s">
        <v>319</v>
      </c>
      <c r="J16" s="62">
        <v>2025</v>
      </c>
      <c r="K16" s="60">
        <v>10</v>
      </c>
      <c r="L16" s="94" t="s">
        <v>334</v>
      </c>
      <c r="M16" s="67">
        <v>630</v>
      </c>
      <c r="N16" s="70">
        <f>K16*20</f>
        <v>200</v>
      </c>
      <c r="O16" s="67">
        <f>K16*300</f>
        <v>3000</v>
      </c>
      <c r="P16" s="70"/>
      <c r="Q16" s="74">
        <f t="shared" si="3"/>
        <v>3830</v>
      </c>
      <c r="R16" s="65"/>
    </row>
    <row r="17" spans="2:18" outlineLevel="1" x14ac:dyDescent="0.25">
      <c r="B17" s="58">
        <v>3</v>
      </c>
      <c r="C17" s="168" t="s">
        <v>374</v>
      </c>
      <c r="D17" s="169"/>
      <c r="E17" s="170" t="s">
        <v>375</v>
      </c>
      <c r="F17" s="171"/>
      <c r="G17" s="65" t="s">
        <v>378</v>
      </c>
      <c r="H17" s="60" t="s">
        <v>244</v>
      </c>
      <c r="I17" s="65" t="s">
        <v>319</v>
      </c>
      <c r="J17" s="62">
        <v>2025</v>
      </c>
      <c r="K17" s="60">
        <v>4</v>
      </c>
      <c r="L17" s="94" t="s">
        <v>338</v>
      </c>
      <c r="M17" s="67">
        <f>IFERROR(VLOOKUP(H17,'Air Fare - 2024'!A:I,9,FALSE),0)</f>
        <v>5646</v>
      </c>
      <c r="N17" s="70">
        <f>K17*20</f>
        <v>80</v>
      </c>
      <c r="O17" s="67">
        <f>K17*300</f>
        <v>1200</v>
      </c>
      <c r="P17" s="70"/>
      <c r="Q17" s="74">
        <f t="shared" si="3"/>
        <v>6926</v>
      </c>
      <c r="R17" s="65"/>
    </row>
    <row r="18" spans="2:18" outlineLevel="1" x14ac:dyDescent="0.25">
      <c r="B18" s="58">
        <v>4</v>
      </c>
      <c r="C18" s="168" t="s">
        <v>374</v>
      </c>
      <c r="D18" s="169"/>
      <c r="E18" s="170" t="s">
        <v>375</v>
      </c>
      <c r="F18" s="171"/>
      <c r="G18" s="65" t="s">
        <v>378</v>
      </c>
      <c r="H18" s="60" t="s">
        <v>244</v>
      </c>
      <c r="I18" s="65" t="s">
        <v>319</v>
      </c>
      <c r="J18" s="62">
        <v>2025</v>
      </c>
      <c r="K18" s="60">
        <v>4</v>
      </c>
      <c r="L18" s="94" t="s">
        <v>338</v>
      </c>
      <c r="M18" s="67">
        <f>IFERROR(VLOOKUP(H18,'Air Fare - 2024'!A:I,9,FALSE),0)</f>
        <v>5646</v>
      </c>
      <c r="N18" s="70">
        <f>K18*20</f>
        <v>80</v>
      </c>
      <c r="O18" s="67">
        <f>K18*300</f>
        <v>1200</v>
      </c>
      <c r="P18" s="70"/>
      <c r="Q18" s="74">
        <f t="shared" si="3"/>
        <v>6926</v>
      </c>
      <c r="R18" s="65"/>
    </row>
    <row r="19" spans="2:18" outlineLevel="1" x14ac:dyDescent="0.25">
      <c r="B19" s="58">
        <v>5</v>
      </c>
      <c r="C19" s="168" t="s">
        <v>373</v>
      </c>
      <c r="D19" s="169"/>
      <c r="E19" s="170" t="s">
        <v>376</v>
      </c>
      <c r="F19" s="171"/>
      <c r="G19" s="65"/>
      <c r="H19" s="60" t="s">
        <v>259</v>
      </c>
      <c r="I19" s="65" t="s">
        <v>319</v>
      </c>
      <c r="J19" s="62">
        <v>2025</v>
      </c>
      <c r="K19" s="60">
        <v>7</v>
      </c>
      <c r="L19" s="94" t="s">
        <v>335</v>
      </c>
      <c r="M19" s="67">
        <f>IFERROR(VLOOKUP(H19,'Air Fare - 2024'!A:I,9,FALSE),0)</f>
        <v>10993.3</v>
      </c>
      <c r="N19" s="70">
        <f>K19*20</f>
        <v>140</v>
      </c>
      <c r="O19" s="67">
        <f>K19*300</f>
        <v>2100</v>
      </c>
      <c r="P19" s="72"/>
      <c r="Q19" s="74">
        <f t="shared" si="3"/>
        <v>13233.3</v>
      </c>
      <c r="R19" s="65"/>
    </row>
    <row r="20" spans="2:18" outlineLevel="1" x14ac:dyDescent="0.25">
      <c r="B20" s="58">
        <v>14</v>
      </c>
      <c r="C20" s="168" t="s">
        <v>351</v>
      </c>
      <c r="D20" s="169"/>
      <c r="E20" s="170" t="s">
        <v>380</v>
      </c>
      <c r="F20" s="171"/>
      <c r="G20" s="65"/>
      <c r="H20" s="60" t="s">
        <v>259</v>
      </c>
      <c r="I20" s="65" t="s">
        <v>320</v>
      </c>
      <c r="J20" s="62">
        <v>2025</v>
      </c>
      <c r="K20" s="60">
        <v>20</v>
      </c>
      <c r="L20" s="94" t="s">
        <v>336</v>
      </c>
      <c r="M20" s="67">
        <v>6500</v>
      </c>
      <c r="N20" s="70">
        <v>1000</v>
      </c>
      <c r="O20" s="67">
        <f t="shared" ref="O20:O37" si="4">K20*300</f>
        <v>6000</v>
      </c>
      <c r="P20" s="70"/>
      <c r="Q20" s="74">
        <f t="shared" si="2"/>
        <v>13500</v>
      </c>
      <c r="R20" s="65"/>
    </row>
    <row r="21" spans="2:18" outlineLevel="1" x14ac:dyDescent="0.25">
      <c r="B21" s="58">
        <v>15</v>
      </c>
      <c r="C21" s="179" t="s">
        <v>384</v>
      </c>
      <c r="D21" s="180"/>
      <c r="E21" s="177" t="s">
        <v>381</v>
      </c>
      <c r="F21" s="178"/>
      <c r="G21" s="62"/>
      <c r="H21" s="62"/>
      <c r="I21" s="62" t="s">
        <v>317</v>
      </c>
      <c r="J21" s="62">
        <v>2025</v>
      </c>
      <c r="K21" s="62"/>
      <c r="L21" s="142" t="s">
        <v>330</v>
      </c>
      <c r="M21" s="143">
        <f>IFERROR(VLOOKUP(H21,'Air Fare - 2024'!A:I,9,FALSE),0)</f>
        <v>0</v>
      </c>
      <c r="N21" s="143">
        <f t="shared" ref="N21:N37" si="5">K21*20</f>
        <v>0</v>
      </c>
      <c r="O21" s="143">
        <f t="shared" si="4"/>
        <v>0</v>
      </c>
      <c r="P21" s="143">
        <v>247.29999999999998</v>
      </c>
      <c r="Q21" s="144">
        <f t="shared" si="2"/>
        <v>247.29999999999998</v>
      </c>
      <c r="R21" s="62" t="s">
        <v>354</v>
      </c>
    </row>
    <row r="22" spans="2:18" outlineLevel="1" x14ac:dyDescent="0.25">
      <c r="B22" s="58">
        <v>16</v>
      </c>
      <c r="C22" s="179" t="s">
        <v>384</v>
      </c>
      <c r="D22" s="180"/>
      <c r="E22" s="177" t="s">
        <v>381</v>
      </c>
      <c r="F22" s="178"/>
      <c r="G22" s="145"/>
      <c r="H22" s="62"/>
      <c r="I22" s="62" t="s">
        <v>317</v>
      </c>
      <c r="J22" s="62">
        <v>2025</v>
      </c>
      <c r="K22" s="62"/>
      <c r="L22" s="142" t="s">
        <v>352</v>
      </c>
      <c r="M22" s="143">
        <f>IFERROR(VLOOKUP(H22,'Air Fare - 2024'!A:I,9,FALSE),0)</f>
        <v>0</v>
      </c>
      <c r="N22" s="143">
        <f t="shared" si="5"/>
        <v>0</v>
      </c>
      <c r="O22" s="143">
        <f t="shared" si="4"/>
        <v>0</v>
      </c>
      <c r="P22" s="143">
        <v>20.29</v>
      </c>
      <c r="Q22" s="144">
        <f t="shared" si="2"/>
        <v>20.29</v>
      </c>
      <c r="R22" s="62" t="s">
        <v>354</v>
      </c>
    </row>
    <row r="23" spans="2:18" outlineLevel="1" x14ac:dyDescent="0.25">
      <c r="B23" s="58">
        <v>17</v>
      </c>
      <c r="C23" s="168" t="s">
        <v>351</v>
      </c>
      <c r="D23" s="169"/>
      <c r="E23" s="170" t="s">
        <v>383</v>
      </c>
      <c r="F23" s="171"/>
      <c r="G23" s="76"/>
      <c r="H23" s="60"/>
      <c r="I23" s="65" t="s">
        <v>317</v>
      </c>
      <c r="J23" s="62">
        <v>2025</v>
      </c>
      <c r="K23" s="60"/>
      <c r="L23" s="94" t="s">
        <v>331</v>
      </c>
      <c r="M23" s="67">
        <f>IFERROR(VLOOKUP(H23,'Air Fare - 2024'!A:I,9,FALSE),0)</f>
        <v>0</v>
      </c>
      <c r="N23" s="70">
        <f t="shared" si="5"/>
        <v>0</v>
      </c>
      <c r="O23" s="67">
        <f t="shared" si="4"/>
        <v>0</v>
      </c>
      <c r="P23" s="70">
        <v>0</v>
      </c>
      <c r="Q23" s="74">
        <f t="shared" si="2"/>
        <v>0</v>
      </c>
      <c r="R23" s="65"/>
    </row>
    <row r="24" spans="2:18" outlineLevel="1" x14ac:dyDescent="0.25">
      <c r="B24" s="58">
        <v>18</v>
      </c>
      <c r="C24" s="179" t="s">
        <v>351</v>
      </c>
      <c r="D24" s="180"/>
      <c r="E24" s="177" t="s">
        <v>383</v>
      </c>
      <c r="F24" s="178"/>
      <c r="G24" s="145"/>
      <c r="H24" s="62"/>
      <c r="I24" s="62" t="s">
        <v>317</v>
      </c>
      <c r="J24" s="62">
        <v>2025</v>
      </c>
      <c r="K24" s="62"/>
      <c r="L24" s="142" t="s">
        <v>329</v>
      </c>
      <c r="M24" s="143">
        <f>IFERROR(VLOOKUP(H24,'Air Fare - 2024'!A:I,9,FALSE),0)</f>
        <v>0</v>
      </c>
      <c r="N24" s="143">
        <f t="shared" si="5"/>
        <v>0</v>
      </c>
      <c r="O24" s="143">
        <f t="shared" si="4"/>
        <v>0</v>
      </c>
      <c r="P24" s="143">
        <v>137</v>
      </c>
      <c r="Q24" s="144">
        <f t="shared" si="2"/>
        <v>137</v>
      </c>
      <c r="R24" s="62" t="s">
        <v>354</v>
      </c>
    </row>
    <row r="25" spans="2:18" outlineLevel="1" x14ac:dyDescent="0.25">
      <c r="B25" s="58">
        <v>19</v>
      </c>
      <c r="C25" s="179" t="s">
        <v>351</v>
      </c>
      <c r="D25" s="180"/>
      <c r="E25" s="177" t="s">
        <v>383</v>
      </c>
      <c r="F25" s="178"/>
      <c r="G25" s="145"/>
      <c r="H25" s="62"/>
      <c r="I25" s="62" t="s">
        <v>317</v>
      </c>
      <c r="J25" s="62">
        <v>2025</v>
      </c>
      <c r="K25" s="62"/>
      <c r="L25" s="142" t="s">
        <v>332</v>
      </c>
      <c r="M25" s="143">
        <f>IFERROR(VLOOKUP(H25,'Air Fare - 2024'!A:I,9,FALSE),0)</f>
        <v>0</v>
      </c>
      <c r="N25" s="143">
        <f t="shared" si="5"/>
        <v>0</v>
      </c>
      <c r="O25" s="143">
        <f t="shared" si="4"/>
        <v>0</v>
      </c>
      <c r="P25" s="143">
        <v>1202.48</v>
      </c>
      <c r="Q25" s="144">
        <f t="shared" si="2"/>
        <v>1202.48</v>
      </c>
      <c r="R25" s="62" t="s">
        <v>354</v>
      </c>
    </row>
    <row r="26" spans="2:18" outlineLevel="1" x14ac:dyDescent="0.25">
      <c r="B26" s="58">
        <v>20</v>
      </c>
      <c r="C26" s="168" t="s">
        <v>351</v>
      </c>
      <c r="D26" s="169"/>
      <c r="E26" s="170" t="s">
        <v>383</v>
      </c>
      <c r="F26" s="171"/>
      <c r="G26" s="76"/>
      <c r="H26" s="60"/>
      <c r="I26" s="65" t="s">
        <v>317</v>
      </c>
      <c r="J26" s="62">
        <v>2025</v>
      </c>
      <c r="K26" s="60"/>
      <c r="L26" s="94" t="s">
        <v>338</v>
      </c>
      <c r="M26" s="67">
        <f>IFERROR(VLOOKUP(H26,'Air Fare - 2024'!A:I,9,FALSE),0)</f>
        <v>0</v>
      </c>
      <c r="N26" s="70">
        <f t="shared" si="5"/>
        <v>0</v>
      </c>
      <c r="O26" s="67">
        <f t="shared" si="4"/>
        <v>0</v>
      </c>
      <c r="P26" s="70">
        <v>300</v>
      </c>
      <c r="Q26" s="74">
        <f t="shared" si="2"/>
        <v>300</v>
      </c>
      <c r="R26" s="65"/>
    </row>
    <row r="27" spans="2:18" outlineLevel="1" x14ac:dyDescent="0.25">
      <c r="B27" s="58">
        <v>21</v>
      </c>
      <c r="C27" s="168" t="s">
        <v>351</v>
      </c>
      <c r="D27" s="169"/>
      <c r="E27" s="170" t="s">
        <v>383</v>
      </c>
      <c r="F27" s="171"/>
      <c r="G27" s="76"/>
      <c r="H27" s="60"/>
      <c r="I27" s="65" t="s">
        <v>317</v>
      </c>
      <c r="J27" s="62">
        <v>2025</v>
      </c>
      <c r="K27" s="60"/>
      <c r="L27" s="94" t="s">
        <v>334</v>
      </c>
      <c r="M27" s="67">
        <f>IFERROR(VLOOKUP(H27,'Air Fare - 2024'!A:I,9,FALSE),0)</f>
        <v>0</v>
      </c>
      <c r="N27" s="70">
        <f t="shared" si="5"/>
        <v>0</v>
      </c>
      <c r="O27" s="67">
        <f t="shared" si="4"/>
        <v>0</v>
      </c>
      <c r="P27" s="70">
        <v>500</v>
      </c>
      <c r="Q27" s="74">
        <f t="shared" si="2"/>
        <v>500</v>
      </c>
      <c r="R27" s="65"/>
    </row>
    <row r="28" spans="2:18" outlineLevel="1" x14ac:dyDescent="0.25">
      <c r="B28" s="58">
        <v>22</v>
      </c>
      <c r="C28" s="168" t="s">
        <v>351</v>
      </c>
      <c r="D28" s="169"/>
      <c r="E28" s="170" t="s">
        <v>383</v>
      </c>
      <c r="F28" s="171"/>
      <c r="G28" s="65"/>
      <c r="H28" s="60"/>
      <c r="I28" s="65" t="s">
        <v>317</v>
      </c>
      <c r="J28" s="62">
        <v>2025</v>
      </c>
      <c r="K28" s="60"/>
      <c r="L28" s="94" t="s">
        <v>337</v>
      </c>
      <c r="M28" s="67">
        <f>IFERROR(VLOOKUP(H28,'Air Fare - 2024'!A:I,9,FALSE),0)</f>
        <v>0</v>
      </c>
      <c r="N28" s="70">
        <f t="shared" si="5"/>
        <v>0</v>
      </c>
      <c r="O28" s="67">
        <f t="shared" si="4"/>
        <v>0</v>
      </c>
      <c r="P28" s="70">
        <v>300</v>
      </c>
      <c r="Q28" s="74">
        <f t="shared" si="2"/>
        <v>300</v>
      </c>
      <c r="R28" s="65"/>
    </row>
    <row r="29" spans="2:18" outlineLevel="1" x14ac:dyDescent="0.25">
      <c r="B29" s="58">
        <v>23</v>
      </c>
      <c r="C29" s="168" t="s">
        <v>351</v>
      </c>
      <c r="D29" s="169"/>
      <c r="E29" s="170" t="s">
        <v>383</v>
      </c>
      <c r="F29" s="171"/>
      <c r="G29" s="65"/>
      <c r="H29" s="60"/>
      <c r="I29" s="65" t="s">
        <v>317</v>
      </c>
      <c r="J29" s="62">
        <v>2025</v>
      </c>
      <c r="K29" s="60"/>
      <c r="L29" s="94" t="s">
        <v>336</v>
      </c>
      <c r="M29" s="67">
        <f>IFERROR(VLOOKUP(H29,'Air Fare - 2024'!A:I,9,FALSE),0)</f>
        <v>0</v>
      </c>
      <c r="N29" s="70">
        <f t="shared" si="5"/>
        <v>0</v>
      </c>
      <c r="O29" s="67">
        <f t="shared" si="4"/>
        <v>0</v>
      </c>
      <c r="P29" s="70">
        <v>500</v>
      </c>
      <c r="Q29" s="74">
        <f t="shared" si="2"/>
        <v>500</v>
      </c>
      <c r="R29" s="65"/>
    </row>
    <row r="30" spans="2:18" outlineLevel="1" x14ac:dyDescent="0.25">
      <c r="B30" s="58">
        <v>24</v>
      </c>
      <c r="C30" s="168" t="s">
        <v>351</v>
      </c>
      <c r="D30" s="169"/>
      <c r="E30" s="170" t="s">
        <v>383</v>
      </c>
      <c r="F30" s="171"/>
      <c r="G30" s="65"/>
      <c r="H30" s="60"/>
      <c r="I30" s="65" t="s">
        <v>317</v>
      </c>
      <c r="J30" s="62">
        <v>2025</v>
      </c>
      <c r="K30" s="60"/>
      <c r="L30" s="94" t="s">
        <v>353</v>
      </c>
      <c r="M30" s="67">
        <f>IFERROR(VLOOKUP(H30,'Air Fare - 2024'!A:I,9,FALSE),0)</f>
        <v>0</v>
      </c>
      <c r="N30" s="70">
        <f t="shared" si="5"/>
        <v>0</v>
      </c>
      <c r="O30" s="67">
        <f t="shared" si="4"/>
        <v>0</v>
      </c>
      <c r="P30" s="70">
        <v>2000</v>
      </c>
      <c r="Q30" s="74">
        <f t="shared" si="2"/>
        <v>2000</v>
      </c>
      <c r="R30" s="65"/>
    </row>
    <row r="31" spans="2:18" outlineLevel="1" x14ac:dyDescent="0.25">
      <c r="B31" s="58">
        <v>25</v>
      </c>
      <c r="C31" s="168" t="s">
        <v>351</v>
      </c>
      <c r="D31" s="169"/>
      <c r="E31" s="170" t="s">
        <v>383</v>
      </c>
      <c r="F31" s="171"/>
      <c r="G31" s="65"/>
      <c r="H31" s="60"/>
      <c r="I31" s="65" t="s">
        <v>317</v>
      </c>
      <c r="J31" s="62">
        <v>2025</v>
      </c>
      <c r="K31" s="60"/>
      <c r="L31" s="94" t="s">
        <v>335</v>
      </c>
      <c r="M31" s="67">
        <f>IFERROR(VLOOKUP(H31,'Air Fare - 2024'!A:I,9,FALSE),0)</f>
        <v>0</v>
      </c>
      <c r="N31" s="70">
        <f t="shared" si="5"/>
        <v>0</v>
      </c>
      <c r="O31" s="67">
        <f t="shared" si="4"/>
        <v>0</v>
      </c>
      <c r="P31" s="70">
        <v>300</v>
      </c>
      <c r="Q31" s="74">
        <f t="shared" si="2"/>
        <v>300</v>
      </c>
      <c r="R31" s="65"/>
    </row>
    <row r="32" spans="2:18" outlineLevel="1" x14ac:dyDescent="0.25">
      <c r="B32" s="58">
        <v>26</v>
      </c>
      <c r="C32" s="168" t="s">
        <v>351</v>
      </c>
      <c r="D32" s="169"/>
      <c r="E32" s="170" t="s">
        <v>383</v>
      </c>
      <c r="F32" s="171"/>
      <c r="G32" s="65"/>
      <c r="H32" s="60"/>
      <c r="I32" s="65" t="s">
        <v>317</v>
      </c>
      <c r="J32" s="62">
        <v>2025</v>
      </c>
      <c r="K32" s="60"/>
      <c r="L32" s="94" t="s">
        <v>333</v>
      </c>
      <c r="M32" s="67">
        <f>IFERROR(VLOOKUP(H32,'Air Fare - 2024'!A:I,9,FALSE),0)</f>
        <v>0</v>
      </c>
      <c r="N32" s="70">
        <f t="shared" si="5"/>
        <v>0</v>
      </c>
      <c r="O32" s="67">
        <f t="shared" si="4"/>
        <v>0</v>
      </c>
      <c r="P32" s="70">
        <v>2000</v>
      </c>
      <c r="Q32" s="74">
        <f t="shared" si="2"/>
        <v>2000</v>
      </c>
      <c r="R32" s="65"/>
    </row>
    <row r="33" spans="2:18" outlineLevel="1" x14ac:dyDescent="0.25">
      <c r="B33" s="58">
        <v>27</v>
      </c>
      <c r="C33" s="168" t="s">
        <v>351</v>
      </c>
      <c r="D33" s="169"/>
      <c r="E33" s="170" t="s">
        <v>383</v>
      </c>
      <c r="F33" s="171"/>
      <c r="G33" s="65"/>
      <c r="H33" s="60"/>
      <c r="I33" s="65" t="s">
        <v>318</v>
      </c>
      <c r="J33" s="62">
        <v>2025</v>
      </c>
      <c r="K33" s="60"/>
      <c r="L33" s="94" t="s">
        <v>331</v>
      </c>
      <c r="M33" s="67">
        <f>IFERROR(VLOOKUP(H33,'Air Fare - 2024'!A:I,9,FALSE),0)</f>
        <v>0</v>
      </c>
      <c r="N33" s="70">
        <f t="shared" si="5"/>
        <v>0</v>
      </c>
      <c r="O33" s="67">
        <f t="shared" si="4"/>
        <v>0</v>
      </c>
      <c r="P33" s="70">
        <v>0</v>
      </c>
      <c r="Q33" s="74">
        <f t="shared" si="2"/>
        <v>0</v>
      </c>
      <c r="R33" s="65"/>
    </row>
    <row r="34" spans="2:18" outlineLevel="1" x14ac:dyDescent="0.25">
      <c r="B34" s="58">
        <v>28</v>
      </c>
      <c r="C34" s="179"/>
      <c r="D34" s="180"/>
      <c r="E34" s="177"/>
      <c r="F34" s="178"/>
      <c r="G34" s="145"/>
      <c r="H34" s="62"/>
      <c r="I34" s="62" t="s">
        <v>318</v>
      </c>
      <c r="J34" s="62">
        <v>2025</v>
      </c>
      <c r="K34" s="62"/>
      <c r="L34" s="142" t="s">
        <v>329</v>
      </c>
      <c r="M34" s="143">
        <f>IFERROR(VLOOKUP(H34,'Air Fare - 2024'!A:I,9,FALSE),0)</f>
        <v>0</v>
      </c>
      <c r="N34" s="143">
        <f t="shared" si="5"/>
        <v>0</v>
      </c>
      <c r="O34" s="143">
        <f t="shared" si="4"/>
        <v>0</v>
      </c>
      <c r="P34" s="143">
        <v>200</v>
      </c>
      <c r="Q34" s="144">
        <f t="shared" si="2"/>
        <v>200</v>
      </c>
      <c r="R34" s="62" t="s">
        <v>354</v>
      </c>
    </row>
    <row r="35" spans="2:18" outlineLevel="1" x14ac:dyDescent="0.25">
      <c r="B35" s="58">
        <v>29</v>
      </c>
      <c r="C35" s="168"/>
      <c r="D35" s="169"/>
      <c r="E35" s="170"/>
      <c r="F35" s="171"/>
      <c r="G35" s="65"/>
      <c r="H35" s="60"/>
      <c r="I35" s="65" t="s">
        <v>318</v>
      </c>
      <c r="J35" s="62">
        <v>2025</v>
      </c>
      <c r="K35" s="60"/>
      <c r="L35" s="94" t="s">
        <v>338</v>
      </c>
      <c r="M35" s="67">
        <f>IFERROR(VLOOKUP(H35,'Air Fare - 2024'!A:I,9,FALSE),0)</f>
        <v>0</v>
      </c>
      <c r="N35" s="70">
        <f t="shared" si="5"/>
        <v>0</v>
      </c>
      <c r="O35" s="67">
        <f t="shared" si="4"/>
        <v>0</v>
      </c>
      <c r="P35" s="70">
        <v>200</v>
      </c>
      <c r="Q35" s="74">
        <f t="shared" si="2"/>
        <v>200</v>
      </c>
      <c r="R35" s="65"/>
    </row>
    <row r="36" spans="2:18" outlineLevel="1" x14ac:dyDescent="0.25">
      <c r="B36" s="58">
        <v>30</v>
      </c>
      <c r="C36" s="168"/>
      <c r="D36" s="169"/>
      <c r="E36" s="170"/>
      <c r="F36" s="171"/>
      <c r="G36" s="65"/>
      <c r="H36" s="60"/>
      <c r="I36" s="65" t="s">
        <v>318</v>
      </c>
      <c r="J36" s="62">
        <v>2025</v>
      </c>
      <c r="K36" s="60"/>
      <c r="L36" s="94" t="s">
        <v>337</v>
      </c>
      <c r="M36" s="67">
        <f>IFERROR(VLOOKUP(H36,'Air Fare - 2024'!A:I,9,FALSE),0)</f>
        <v>0</v>
      </c>
      <c r="N36" s="70">
        <f t="shared" si="5"/>
        <v>0</v>
      </c>
      <c r="O36" s="67">
        <f t="shared" si="4"/>
        <v>0</v>
      </c>
      <c r="P36" s="70">
        <v>200</v>
      </c>
      <c r="Q36" s="74">
        <f t="shared" si="2"/>
        <v>200</v>
      </c>
      <c r="R36" s="65"/>
    </row>
    <row r="37" spans="2:18" outlineLevel="1" x14ac:dyDescent="0.25">
      <c r="B37" s="58">
        <v>31</v>
      </c>
      <c r="C37" s="168"/>
      <c r="D37" s="169"/>
      <c r="E37" s="170"/>
      <c r="F37" s="171"/>
      <c r="G37" s="65"/>
      <c r="H37" s="60"/>
      <c r="I37" s="65" t="s">
        <v>318</v>
      </c>
      <c r="J37" s="62">
        <v>2025</v>
      </c>
      <c r="K37" s="60"/>
      <c r="L37" s="94" t="s">
        <v>353</v>
      </c>
      <c r="M37" s="67">
        <f>IFERROR(VLOOKUP(H37,'Air Fare - 2024'!A:I,9,FALSE),0)</f>
        <v>0</v>
      </c>
      <c r="N37" s="70">
        <f t="shared" si="5"/>
        <v>0</v>
      </c>
      <c r="O37" s="67">
        <f t="shared" si="4"/>
        <v>0</v>
      </c>
      <c r="P37" s="70">
        <v>200</v>
      </c>
      <c r="Q37" s="74">
        <f t="shared" si="2"/>
        <v>200</v>
      </c>
      <c r="R37" s="65"/>
    </row>
    <row r="38" spans="2:18" outlineLevel="1" x14ac:dyDescent="0.25">
      <c r="B38" s="58"/>
      <c r="C38" s="155"/>
      <c r="D38" s="156"/>
      <c r="E38" s="77"/>
      <c r="F38" s="78"/>
      <c r="G38" s="65"/>
      <c r="H38" s="60"/>
      <c r="I38" s="65"/>
      <c r="J38" s="62"/>
      <c r="K38" s="60"/>
      <c r="L38" s="94"/>
      <c r="M38" s="67">
        <f>IFERROR(VLOOKUP(H38,'Air Fare - 2024'!A:I,9,FALSE),0)</f>
        <v>0</v>
      </c>
      <c r="N38" s="70">
        <f t="shared" ref="N38:N44" si="6">K38*20</f>
        <v>0</v>
      </c>
      <c r="O38" s="67">
        <f t="shared" ref="O38:O44" si="7">K38*300</f>
        <v>0</v>
      </c>
      <c r="P38" s="71">
        <v>0</v>
      </c>
      <c r="Q38" s="74">
        <f t="shared" si="2"/>
        <v>0</v>
      </c>
      <c r="R38" s="65"/>
    </row>
    <row r="39" spans="2:18" outlineLevel="1" x14ac:dyDescent="0.25">
      <c r="B39" s="58"/>
      <c r="C39" s="155"/>
      <c r="D39" s="156"/>
      <c r="E39" s="77"/>
      <c r="F39" s="78"/>
      <c r="G39" s="65"/>
      <c r="H39" s="60"/>
      <c r="I39" s="65"/>
      <c r="J39" s="62"/>
      <c r="K39" s="60"/>
      <c r="L39" s="94"/>
      <c r="M39" s="67">
        <f>IFERROR(VLOOKUP(H39,'Air Fare - 2024'!A:I,9,FALSE),0)</f>
        <v>0</v>
      </c>
      <c r="N39" s="70">
        <f t="shared" si="6"/>
        <v>0</v>
      </c>
      <c r="O39" s="67">
        <f t="shared" si="7"/>
        <v>0</v>
      </c>
      <c r="P39" s="71">
        <v>0</v>
      </c>
      <c r="Q39" s="74">
        <f t="shared" si="2"/>
        <v>0</v>
      </c>
      <c r="R39" s="65"/>
    </row>
    <row r="40" spans="2:18" outlineLevel="1" x14ac:dyDescent="0.25">
      <c r="B40" s="58"/>
      <c r="C40" s="155"/>
      <c r="D40" s="156"/>
      <c r="E40" s="77"/>
      <c r="F40" s="78"/>
      <c r="G40" s="65"/>
      <c r="H40" s="60"/>
      <c r="I40" s="65"/>
      <c r="J40" s="62"/>
      <c r="K40" s="60"/>
      <c r="L40" s="94"/>
      <c r="M40" s="67">
        <f>IFERROR(VLOOKUP(H40,'Air Fare - 2024'!A:I,9,FALSE),0)</f>
        <v>0</v>
      </c>
      <c r="N40" s="70">
        <f t="shared" si="6"/>
        <v>0</v>
      </c>
      <c r="O40" s="67">
        <f t="shared" si="7"/>
        <v>0</v>
      </c>
      <c r="P40" s="71">
        <v>0</v>
      </c>
      <c r="Q40" s="74">
        <f t="shared" si="2"/>
        <v>0</v>
      </c>
      <c r="R40" s="65"/>
    </row>
    <row r="41" spans="2:18" outlineLevel="1" x14ac:dyDescent="0.25">
      <c r="B41" s="58"/>
      <c r="C41" s="155"/>
      <c r="D41" s="156"/>
      <c r="E41" s="77"/>
      <c r="F41" s="78"/>
      <c r="G41" s="65"/>
      <c r="H41" s="60"/>
      <c r="I41" s="65"/>
      <c r="J41" s="62"/>
      <c r="K41" s="60"/>
      <c r="L41" s="94"/>
      <c r="M41" s="67">
        <f>IFERROR(VLOOKUP(H41,'Air Fare - 2024'!A:I,9,FALSE),0)</f>
        <v>0</v>
      </c>
      <c r="N41" s="70">
        <f t="shared" si="6"/>
        <v>0</v>
      </c>
      <c r="O41" s="67">
        <f t="shared" si="7"/>
        <v>0</v>
      </c>
      <c r="P41" s="71">
        <v>0</v>
      </c>
      <c r="Q41" s="74">
        <f t="shared" si="2"/>
        <v>0</v>
      </c>
      <c r="R41" s="65"/>
    </row>
    <row r="42" spans="2:18" outlineLevel="1" x14ac:dyDescent="0.25">
      <c r="B42" s="58"/>
      <c r="C42" s="155"/>
      <c r="D42" s="156"/>
      <c r="E42" s="77"/>
      <c r="F42" s="78"/>
      <c r="G42" s="65"/>
      <c r="H42" s="60"/>
      <c r="I42" s="65"/>
      <c r="J42" s="62"/>
      <c r="K42" s="60"/>
      <c r="L42" s="94"/>
      <c r="M42" s="67">
        <f>IFERROR(VLOOKUP(H42,'Air Fare - 2024'!A:I,9,FALSE),0)</f>
        <v>0</v>
      </c>
      <c r="N42" s="70">
        <f t="shared" si="6"/>
        <v>0</v>
      </c>
      <c r="O42" s="67">
        <f t="shared" si="7"/>
        <v>0</v>
      </c>
      <c r="P42" s="71">
        <v>0</v>
      </c>
      <c r="Q42" s="74">
        <f t="shared" si="2"/>
        <v>0</v>
      </c>
      <c r="R42" s="65"/>
    </row>
    <row r="43" spans="2:18" outlineLevel="1" x14ac:dyDescent="0.25">
      <c r="B43" s="58"/>
      <c r="C43" s="155"/>
      <c r="D43" s="156"/>
      <c r="E43" s="77"/>
      <c r="F43" s="78"/>
      <c r="G43" s="65"/>
      <c r="H43" s="60"/>
      <c r="I43" s="65"/>
      <c r="J43" s="62"/>
      <c r="K43" s="60"/>
      <c r="L43" s="94"/>
      <c r="M43" s="67">
        <f>IFERROR(VLOOKUP(H43,'Air Fare - 2024'!A:I,9,FALSE),0)</f>
        <v>0</v>
      </c>
      <c r="N43" s="70">
        <f t="shared" si="6"/>
        <v>0</v>
      </c>
      <c r="O43" s="67">
        <f t="shared" si="7"/>
        <v>0</v>
      </c>
      <c r="P43" s="71">
        <v>0</v>
      </c>
      <c r="Q43" s="74">
        <f t="shared" si="2"/>
        <v>0</v>
      </c>
      <c r="R43" s="65"/>
    </row>
    <row r="44" spans="2:18" outlineLevel="1" x14ac:dyDescent="0.25">
      <c r="B44" s="58">
        <v>50</v>
      </c>
      <c r="C44" s="168"/>
      <c r="D44" s="169"/>
      <c r="E44" s="170"/>
      <c r="F44" s="171"/>
      <c r="G44" s="63"/>
      <c r="H44" s="59"/>
      <c r="I44" s="63"/>
      <c r="J44" s="62">
        <v>2025</v>
      </c>
      <c r="K44" s="59"/>
      <c r="L44" s="94"/>
      <c r="M44" s="67">
        <f>IFERROR(VLOOKUP(H44,'Air Fare - 2024'!A:I,9,FALSE),0)</f>
        <v>0</v>
      </c>
      <c r="N44" s="70">
        <f t="shared" si="6"/>
        <v>0</v>
      </c>
      <c r="O44" s="67">
        <f t="shared" si="7"/>
        <v>0</v>
      </c>
      <c r="P44" s="71"/>
      <c r="Q44" s="75">
        <f t="shared" si="2"/>
        <v>0</v>
      </c>
      <c r="R44" s="65"/>
    </row>
    <row r="45" spans="2:18" s="37" customFormat="1" x14ac:dyDescent="0.25">
      <c r="B45" s="4" t="s">
        <v>224</v>
      </c>
      <c r="C45" s="84"/>
      <c r="D45" s="84"/>
      <c r="E45" s="84"/>
      <c r="F45" s="84"/>
      <c r="G45" s="84"/>
      <c r="H45" s="84"/>
      <c r="I45" s="84"/>
      <c r="J45" s="84"/>
      <c r="K45" s="84"/>
      <c r="L45" s="85"/>
      <c r="M45" s="86">
        <f>SUBTOTAL(9,M6:M44)</f>
        <v>38514.78</v>
      </c>
      <c r="N45" s="86">
        <f>SUBTOTAL(9,N6:N44)</f>
        <v>4007.48</v>
      </c>
      <c r="O45" s="86">
        <f>SUBTOTAL(9,O6:O44)</f>
        <v>29828.09</v>
      </c>
      <c r="P45" s="86">
        <f>SUBTOTAL(9,P6:P44)</f>
        <v>8307.07</v>
      </c>
      <c r="Q45" s="86">
        <f>SUBTOTAL(9,Q6:Q44)</f>
        <v>80657.419999999984</v>
      </c>
      <c r="R45" s="87"/>
    </row>
    <row r="46" spans="2:18" x14ac:dyDescent="0.25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46"/>
      <c r="R46" s="15"/>
    </row>
    <row r="47" spans="2:18" ht="18.75" x14ac:dyDescent="0.25">
      <c r="B47" s="175" t="s">
        <v>224</v>
      </c>
      <c r="C47" s="176"/>
      <c r="D47" s="95" t="s">
        <v>64</v>
      </c>
      <c r="E47" s="88" t="s">
        <v>63</v>
      </c>
      <c r="F47" s="88" t="s">
        <v>62</v>
      </c>
      <c r="G47" s="88" t="s">
        <v>61</v>
      </c>
      <c r="H47" s="88" t="s">
        <v>60</v>
      </c>
      <c r="I47" s="88" t="s">
        <v>59</v>
      </c>
      <c r="J47" s="88" t="s">
        <v>58</v>
      </c>
      <c r="K47" s="88" t="s">
        <v>57</v>
      </c>
      <c r="L47" s="88" t="s">
        <v>56</v>
      </c>
      <c r="M47" s="88" t="s">
        <v>55</v>
      </c>
      <c r="N47" s="88" t="s">
        <v>54</v>
      </c>
      <c r="O47" s="88" t="s">
        <v>53</v>
      </c>
      <c r="P47" s="88" t="s">
        <v>52</v>
      </c>
      <c r="Q47" s="15"/>
      <c r="R47" s="15"/>
    </row>
    <row r="48" spans="2:18" x14ac:dyDescent="0.25">
      <c r="B48" s="81" t="s">
        <v>319</v>
      </c>
      <c r="C48" s="79" t="s">
        <v>324</v>
      </c>
      <c r="D48" s="89">
        <f t="shared" ref="D48:O48" si="8">SUMIFS($M$6:$M$44,$L$6:$L$44,D47,$I$6:$I$44,$B$48)+SUMIFS($N$6:$N$44,$L$6:$L$44,D47,$I$6:$I$44,$B$48)</f>
        <v>2215.1800000000003</v>
      </c>
      <c r="E48" s="89">
        <f t="shared" si="8"/>
        <v>40.700000000000003</v>
      </c>
      <c r="F48" s="89">
        <f t="shared" si="8"/>
        <v>8521.0799999999963</v>
      </c>
      <c r="G48" s="89">
        <f t="shared" si="8"/>
        <v>0</v>
      </c>
      <c r="H48" s="89">
        <f t="shared" si="8"/>
        <v>0</v>
      </c>
      <c r="I48" s="89">
        <f t="shared" si="8"/>
        <v>11452</v>
      </c>
      <c r="J48" s="89">
        <f t="shared" si="8"/>
        <v>1660</v>
      </c>
      <c r="K48" s="89">
        <f t="shared" si="8"/>
        <v>0</v>
      </c>
      <c r="L48" s="89">
        <f t="shared" si="8"/>
        <v>0</v>
      </c>
      <c r="M48" s="89">
        <f t="shared" si="8"/>
        <v>0</v>
      </c>
      <c r="N48" s="89">
        <f t="shared" si="8"/>
        <v>11133.3</v>
      </c>
      <c r="O48" s="89">
        <f t="shared" si="8"/>
        <v>0</v>
      </c>
      <c r="P48" s="89">
        <f t="shared" ref="P48:P54" si="9">SUM(D48:O48)</f>
        <v>35022.259999999995</v>
      </c>
      <c r="Q48" s="15"/>
      <c r="R48" s="146"/>
    </row>
    <row r="49" spans="2:16" x14ac:dyDescent="0.25">
      <c r="B49" s="82" t="s">
        <v>319</v>
      </c>
      <c r="C49" s="80" t="s">
        <v>325</v>
      </c>
      <c r="D49" s="90">
        <f t="shared" ref="D49:O49" si="10">SUMIFS($O$6:$O$44,$L$6:$L$44,D47,$I$6:$I$44,$B$49)</f>
        <v>7573.829999999999</v>
      </c>
      <c r="E49" s="90">
        <f t="shared" si="10"/>
        <v>643.29</v>
      </c>
      <c r="F49" s="90">
        <f t="shared" si="10"/>
        <v>5110.9700000000012</v>
      </c>
      <c r="G49" s="90">
        <f t="shared" si="10"/>
        <v>0</v>
      </c>
      <c r="H49" s="90">
        <f t="shared" si="10"/>
        <v>0</v>
      </c>
      <c r="I49" s="90">
        <f t="shared" si="10"/>
        <v>2400</v>
      </c>
      <c r="J49" s="90">
        <f t="shared" si="10"/>
        <v>6000</v>
      </c>
      <c r="K49" s="90">
        <f t="shared" si="10"/>
        <v>0</v>
      </c>
      <c r="L49" s="90">
        <f t="shared" si="10"/>
        <v>0</v>
      </c>
      <c r="M49" s="90">
        <f t="shared" si="10"/>
        <v>0</v>
      </c>
      <c r="N49" s="90">
        <f t="shared" si="10"/>
        <v>2100</v>
      </c>
      <c r="O49" s="90">
        <f t="shared" si="10"/>
        <v>0</v>
      </c>
      <c r="P49" s="90">
        <f t="shared" si="9"/>
        <v>23828.09</v>
      </c>
    </row>
    <row r="50" spans="2:16" x14ac:dyDescent="0.25">
      <c r="B50" s="82" t="s">
        <v>322</v>
      </c>
      <c r="C50" s="80" t="s">
        <v>326</v>
      </c>
      <c r="D50" s="90">
        <f t="shared" ref="D50:O50" si="11">SUMIFS($P$6:$P$44,$L$6:$L$44,D47,$I$6:$I$44,$B$50)</f>
        <v>0</v>
      </c>
      <c r="E50" s="90">
        <f t="shared" si="11"/>
        <v>0</v>
      </c>
      <c r="F50" s="90">
        <f t="shared" si="11"/>
        <v>0</v>
      </c>
      <c r="G50" s="90">
        <f t="shared" si="11"/>
        <v>0</v>
      </c>
      <c r="H50" s="90">
        <f t="shared" si="11"/>
        <v>0</v>
      </c>
      <c r="I50" s="90">
        <f t="shared" si="11"/>
        <v>0</v>
      </c>
      <c r="J50" s="90">
        <f t="shared" si="11"/>
        <v>0</v>
      </c>
      <c r="K50" s="90">
        <f t="shared" si="11"/>
        <v>0</v>
      </c>
      <c r="L50" s="90">
        <f t="shared" si="11"/>
        <v>0</v>
      </c>
      <c r="M50" s="90">
        <f t="shared" si="11"/>
        <v>0</v>
      </c>
      <c r="N50" s="90">
        <f t="shared" si="11"/>
        <v>0</v>
      </c>
      <c r="O50" s="90">
        <f t="shared" si="11"/>
        <v>0</v>
      </c>
      <c r="P50" s="90">
        <f t="shared" si="9"/>
        <v>0</v>
      </c>
    </row>
    <row r="51" spans="2:16" x14ac:dyDescent="0.25">
      <c r="B51" s="82" t="s">
        <v>320</v>
      </c>
      <c r="C51" s="80" t="s">
        <v>79</v>
      </c>
      <c r="D51" s="90">
        <f t="shared" ref="D51:O51" si="12">SUMIFS($Q$6:$Q$44,$L$6:$L$44,D47,$I$6:$I$44,$B$51)</f>
        <v>0</v>
      </c>
      <c r="E51" s="90">
        <f t="shared" si="12"/>
        <v>0</v>
      </c>
      <c r="F51" s="90">
        <f t="shared" si="12"/>
        <v>0</v>
      </c>
      <c r="G51" s="90">
        <f t="shared" si="12"/>
        <v>0</v>
      </c>
      <c r="H51" s="90">
        <f t="shared" si="12"/>
        <v>0</v>
      </c>
      <c r="I51" s="90">
        <f t="shared" si="12"/>
        <v>0</v>
      </c>
      <c r="J51" s="90">
        <f t="shared" si="12"/>
        <v>0</v>
      </c>
      <c r="K51" s="90">
        <f t="shared" si="12"/>
        <v>0</v>
      </c>
      <c r="L51" s="90">
        <f t="shared" si="12"/>
        <v>13500</v>
      </c>
      <c r="M51" s="90">
        <f t="shared" si="12"/>
        <v>0</v>
      </c>
      <c r="N51" s="90">
        <f t="shared" si="12"/>
        <v>0</v>
      </c>
      <c r="O51" s="90">
        <f t="shared" si="12"/>
        <v>0</v>
      </c>
      <c r="P51" s="90">
        <f t="shared" si="9"/>
        <v>13500</v>
      </c>
    </row>
    <row r="52" spans="2:16" x14ac:dyDescent="0.25">
      <c r="B52" s="82" t="s">
        <v>321</v>
      </c>
      <c r="C52" s="80" t="s">
        <v>81</v>
      </c>
      <c r="D52" s="90">
        <f t="shared" ref="D52:O52" si="13">SUMIFS($Q$6:$Q$44,$L$6:$L$44,D47,$I$6:$I$44,$B$52)</f>
        <v>0</v>
      </c>
      <c r="E52" s="90">
        <f t="shared" si="13"/>
        <v>0</v>
      </c>
      <c r="F52" s="90">
        <f t="shared" si="13"/>
        <v>0</v>
      </c>
      <c r="G52" s="90">
        <f t="shared" si="13"/>
        <v>0</v>
      </c>
      <c r="H52" s="90">
        <f t="shared" si="13"/>
        <v>0</v>
      </c>
      <c r="I52" s="90">
        <f t="shared" si="13"/>
        <v>0</v>
      </c>
      <c r="J52" s="90">
        <f t="shared" si="13"/>
        <v>0</v>
      </c>
      <c r="K52" s="90">
        <f t="shared" si="13"/>
        <v>0</v>
      </c>
      <c r="L52" s="90">
        <f t="shared" si="13"/>
        <v>0</v>
      </c>
      <c r="M52" s="90">
        <f t="shared" si="13"/>
        <v>0</v>
      </c>
      <c r="N52" s="90">
        <f t="shared" si="13"/>
        <v>0</v>
      </c>
      <c r="O52" s="90">
        <f t="shared" si="13"/>
        <v>0</v>
      </c>
      <c r="P52" s="90">
        <f t="shared" si="9"/>
        <v>0</v>
      </c>
    </row>
    <row r="53" spans="2:16" x14ac:dyDescent="0.25">
      <c r="B53" s="82" t="s">
        <v>317</v>
      </c>
      <c r="C53" s="80" t="s">
        <v>327</v>
      </c>
      <c r="D53" s="90">
        <f t="shared" ref="D53:O53" si="14">SUMIFS($Q$6:$Q$44,$L$6:$L$44,D47,$I$6:$I$44,$B$53)</f>
        <v>247.29999999999998</v>
      </c>
      <c r="E53" s="90">
        <f t="shared" si="14"/>
        <v>20.29</v>
      </c>
      <c r="F53" s="90">
        <f t="shared" si="14"/>
        <v>0</v>
      </c>
      <c r="G53" s="90">
        <f t="shared" si="14"/>
        <v>137</v>
      </c>
      <c r="H53" s="90">
        <f t="shared" si="14"/>
        <v>1202.48</v>
      </c>
      <c r="I53" s="90">
        <f t="shared" si="14"/>
        <v>300</v>
      </c>
      <c r="J53" s="90">
        <f t="shared" si="14"/>
        <v>500</v>
      </c>
      <c r="K53" s="90">
        <f t="shared" si="14"/>
        <v>300</v>
      </c>
      <c r="L53" s="90">
        <f t="shared" si="14"/>
        <v>500</v>
      </c>
      <c r="M53" s="90">
        <f t="shared" si="14"/>
        <v>2000</v>
      </c>
      <c r="N53" s="90">
        <f t="shared" si="14"/>
        <v>300</v>
      </c>
      <c r="O53" s="90">
        <f t="shared" si="14"/>
        <v>2000</v>
      </c>
      <c r="P53" s="91">
        <f t="shared" si="9"/>
        <v>7507.07</v>
      </c>
    </row>
    <row r="54" spans="2:16" x14ac:dyDescent="0.25">
      <c r="B54" s="82" t="s">
        <v>318</v>
      </c>
      <c r="C54" s="80" t="s">
        <v>328</v>
      </c>
      <c r="D54" s="90">
        <f t="shared" ref="D54:O54" si="15">SUMIFS($Q$6:$Q$44,$L$6:$L$44,D47,$I$6:$I$44,$B$54)</f>
        <v>0</v>
      </c>
      <c r="E54" s="90">
        <f t="shared" si="15"/>
        <v>0</v>
      </c>
      <c r="F54" s="90">
        <f t="shared" si="15"/>
        <v>0</v>
      </c>
      <c r="G54" s="90">
        <f t="shared" si="15"/>
        <v>200</v>
      </c>
      <c r="H54" s="90">
        <f t="shared" si="15"/>
        <v>0</v>
      </c>
      <c r="I54" s="90">
        <f t="shared" si="15"/>
        <v>200</v>
      </c>
      <c r="J54" s="90">
        <f t="shared" si="15"/>
        <v>0</v>
      </c>
      <c r="K54" s="90">
        <f t="shared" si="15"/>
        <v>200</v>
      </c>
      <c r="L54" s="90">
        <f t="shared" si="15"/>
        <v>0</v>
      </c>
      <c r="M54" s="90">
        <f t="shared" si="15"/>
        <v>200</v>
      </c>
      <c r="N54" s="90">
        <f t="shared" si="15"/>
        <v>0</v>
      </c>
      <c r="O54" s="90">
        <f t="shared" si="15"/>
        <v>0</v>
      </c>
      <c r="P54" s="91">
        <f t="shared" si="9"/>
        <v>800</v>
      </c>
    </row>
    <row r="55" spans="2:16" s="37" customFormat="1" x14ac:dyDescent="0.25">
      <c r="B55" s="48" t="s">
        <v>223</v>
      </c>
      <c r="C55" s="92"/>
      <c r="D55" s="93">
        <f t="shared" ref="D55:P55" si="16">SUM(D48:D54)</f>
        <v>10036.309999999998</v>
      </c>
      <c r="E55" s="93">
        <f t="shared" si="16"/>
        <v>704.28</v>
      </c>
      <c r="F55" s="93">
        <f t="shared" si="16"/>
        <v>13632.049999999997</v>
      </c>
      <c r="G55" s="93">
        <f t="shared" si="16"/>
        <v>337</v>
      </c>
      <c r="H55" s="93">
        <f t="shared" si="16"/>
        <v>1202.48</v>
      </c>
      <c r="I55" s="93">
        <f t="shared" si="16"/>
        <v>14352</v>
      </c>
      <c r="J55" s="93">
        <f t="shared" si="16"/>
        <v>8160</v>
      </c>
      <c r="K55" s="93">
        <f t="shared" si="16"/>
        <v>500</v>
      </c>
      <c r="L55" s="93">
        <f t="shared" si="16"/>
        <v>14000</v>
      </c>
      <c r="M55" s="93">
        <f t="shared" si="16"/>
        <v>2200</v>
      </c>
      <c r="N55" s="93">
        <f t="shared" si="16"/>
        <v>13533.3</v>
      </c>
      <c r="O55" s="93">
        <f t="shared" si="16"/>
        <v>2000</v>
      </c>
      <c r="P55" s="93">
        <f t="shared" si="16"/>
        <v>80657.419999999984</v>
      </c>
    </row>
  </sheetData>
  <autoFilter ref="B5:R44" xr:uid="{BE397AE5-9E69-443D-B8D5-69591E97B123}">
    <filterColumn colId="1" showButton="0"/>
    <filterColumn colId="3" showButton="0"/>
  </autoFilter>
  <mergeCells count="70">
    <mergeCell ref="C44:D44"/>
    <mergeCell ref="E44:F44"/>
    <mergeCell ref="B47:C47"/>
    <mergeCell ref="C36:D36"/>
    <mergeCell ref="E36:F36"/>
    <mergeCell ref="C37:D37"/>
    <mergeCell ref="E37:F37"/>
    <mergeCell ref="C14:D14"/>
    <mergeCell ref="E14:F14"/>
    <mergeCell ref="C33:D33"/>
    <mergeCell ref="E33:F33"/>
    <mergeCell ref="C34:D34"/>
    <mergeCell ref="E34:F34"/>
    <mergeCell ref="C27:D27"/>
    <mergeCell ref="E27:F27"/>
    <mergeCell ref="C28:D28"/>
    <mergeCell ref="E28:F28"/>
    <mergeCell ref="C29:D29"/>
    <mergeCell ref="E29:F29"/>
    <mergeCell ref="C24:D24"/>
    <mergeCell ref="E24:F24"/>
    <mergeCell ref="C25:D25"/>
    <mergeCell ref="E25:F25"/>
    <mergeCell ref="C35:D35"/>
    <mergeCell ref="E35:F35"/>
    <mergeCell ref="C30:D30"/>
    <mergeCell ref="E30:F30"/>
    <mergeCell ref="C31:D31"/>
    <mergeCell ref="E31:F31"/>
    <mergeCell ref="C32:D32"/>
    <mergeCell ref="E32:F32"/>
    <mergeCell ref="C16:D16"/>
    <mergeCell ref="E16:F16"/>
    <mergeCell ref="C26:D26"/>
    <mergeCell ref="E26:F26"/>
    <mergeCell ref="C21:D21"/>
    <mergeCell ref="E21:F21"/>
    <mergeCell ref="C22:D22"/>
    <mergeCell ref="E22:F22"/>
    <mergeCell ref="C23:D23"/>
    <mergeCell ref="E23:F23"/>
    <mergeCell ref="C20:D20"/>
    <mergeCell ref="E20:F20"/>
    <mergeCell ref="C17:D17"/>
    <mergeCell ref="E17:F17"/>
    <mergeCell ref="C18:D18"/>
    <mergeCell ref="E18:F18"/>
    <mergeCell ref="C19:D19"/>
    <mergeCell ref="E19:F19"/>
    <mergeCell ref="E11:F11"/>
    <mergeCell ref="C12:D12"/>
    <mergeCell ref="E12:F12"/>
    <mergeCell ref="C13:D13"/>
    <mergeCell ref="E13:F13"/>
    <mergeCell ref="B1:R1"/>
    <mergeCell ref="C5:D5"/>
    <mergeCell ref="E5:F5"/>
    <mergeCell ref="C15:D15"/>
    <mergeCell ref="E15:F1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</mergeCells>
  <dataValidations count="1">
    <dataValidation type="list" allowBlank="1" showInputMessage="1" showErrorMessage="1" prompt="Select City and Airfare will be extracted accordingly" sqref="H45" xr:uid="{C6769517-F16C-4EE3-B810-CCB84CCFBCA2}">
      <formula1>CITY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C506580-0D83-4289-9F26-F560414FC375}">
          <x14:formula1>
            <xm:f>'Data '!$N$3:$N$6</xm:f>
          </x14:formula1>
          <xm:sqref>I5</xm:sqref>
        </x14:dataValidation>
        <x14:dataValidation type="list" allowBlank="1" showInputMessage="1" showErrorMessage="1" xr:uid="{9F8B3881-88C3-410D-A583-C3CC43DC60BF}">
          <x14:formula1>
            <xm:f>'Data '!$F$2:$F$38</xm:f>
          </x14:formula1>
          <xm:sqref>D2</xm:sqref>
        </x14:dataValidation>
        <x14:dataValidation type="list" allowBlank="1" showInputMessage="1" showErrorMessage="1" xr:uid="{7D7E8BC5-667A-4A27-AA9D-2A07F47C7BDA}">
          <x14:formula1>
            <xm:f>'Data '!$J$2:$J$13</xm:f>
          </x14:formula1>
          <xm:sqref>L6:L44</xm:sqref>
        </x14:dataValidation>
        <x14:dataValidation type="list" allowBlank="1" showInputMessage="1" showErrorMessage="1" xr:uid="{83A58D50-4861-4040-B5E0-3D7A145BF22C}">
          <x14:formula1>
            <xm:f>'Data '!$N$2:$N$7</xm:f>
          </x14:formula1>
          <xm:sqref>I6:I44</xm:sqref>
        </x14:dataValidation>
        <x14:dataValidation type="list" allowBlank="1" showInputMessage="1" showErrorMessage="1" xr:uid="{8A5D093C-70BD-4699-81E1-010376D822C1}">
          <x14:formula1>
            <xm:f>'Air Fare - 2024'!$A$2:$A$34</xm:f>
          </x14:formula1>
          <xm:sqref>H6:H44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CAF-9F27-41E0-AA1D-FB25744DB601}">
  <sheetPr>
    <tabColor rgb="FFFFFF00"/>
  </sheetPr>
  <dimension ref="A1:S56"/>
  <sheetViews>
    <sheetView topLeftCell="C1" workbookViewId="0">
      <pane ySplit="5" topLeftCell="A21" activePane="bottomLeft" state="frozen"/>
      <selection activeCell="E17" sqref="E17"/>
      <selection pane="bottomLeft" activeCell="C11" sqref="C11:D11"/>
    </sheetView>
  </sheetViews>
  <sheetFormatPr defaultRowHeight="15" outlineLevelRow="1" x14ac:dyDescent="0.25"/>
  <cols>
    <col min="1" max="1" width="9.140625" style="43"/>
    <col min="2" max="2" width="17.28515625" style="43" bestFit="1" customWidth="1"/>
    <col min="3" max="3" width="35" style="43" customWidth="1"/>
    <col min="4" max="4" width="14.140625" style="43" customWidth="1"/>
    <col min="5" max="6" width="15.28515625" style="43" customWidth="1"/>
    <col min="7" max="7" width="15.7109375" style="43" customWidth="1"/>
    <col min="8" max="8" width="14.42578125" style="43" bestFit="1" customWidth="1"/>
    <col min="9" max="9" width="17.85546875" style="43" customWidth="1"/>
    <col min="10" max="10" width="11" style="43" customWidth="1"/>
    <col min="11" max="11" width="11.140625" style="43" customWidth="1"/>
    <col min="12" max="12" width="10.140625" style="43" bestFit="1" customWidth="1"/>
    <col min="13" max="13" width="11.42578125" style="43" customWidth="1"/>
    <col min="14" max="14" width="13" style="43" customWidth="1"/>
    <col min="15" max="16" width="13.140625" style="43" customWidth="1"/>
    <col min="17" max="17" width="13.42578125" style="43" customWidth="1"/>
    <col min="18" max="18" width="26" style="43" customWidth="1"/>
    <col min="19" max="19" width="9.140625" style="43"/>
  </cols>
  <sheetData>
    <row r="1" spans="2:18" s="12" customFormat="1" ht="45.75" customHeight="1" x14ac:dyDescent="0.25">
      <c r="B1" s="172" t="s">
        <v>372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</row>
    <row r="2" spans="2:18" s="12" customFormat="1" ht="31.5" customHeight="1" x14ac:dyDescent="0.25">
      <c r="B2" s="17" t="s">
        <v>73</v>
      </c>
      <c r="C2" s="17" t="str">
        <f>Summary!B4</f>
        <v>14790070-SGP Coffee NDU</v>
      </c>
      <c r="D2" s="17"/>
      <c r="E2" s="17"/>
      <c r="F2" s="1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2:18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2:18" x14ac:dyDescent="0.25">
      <c r="B4" s="5" t="s">
        <v>214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2:18" ht="30" x14ac:dyDescent="0.25">
      <c r="B5" s="54" t="s">
        <v>307</v>
      </c>
      <c r="C5" s="173" t="s">
        <v>308</v>
      </c>
      <c r="D5" s="174"/>
      <c r="E5" s="173" t="s">
        <v>309</v>
      </c>
      <c r="F5" s="174"/>
      <c r="G5" s="55" t="s">
        <v>310</v>
      </c>
      <c r="H5" s="55" t="s">
        <v>311</v>
      </c>
      <c r="I5" s="55" t="s">
        <v>316</v>
      </c>
      <c r="J5" s="54" t="s">
        <v>52</v>
      </c>
      <c r="K5" s="55" t="s">
        <v>312</v>
      </c>
      <c r="L5" s="55" t="s">
        <v>313</v>
      </c>
      <c r="M5" s="54" t="s">
        <v>230</v>
      </c>
      <c r="N5" s="54" t="s">
        <v>314</v>
      </c>
      <c r="O5" s="54" t="s">
        <v>315</v>
      </c>
      <c r="P5" s="54" t="s">
        <v>323</v>
      </c>
      <c r="Q5" s="66" t="s">
        <v>233</v>
      </c>
      <c r="R5" s="54" t="s">
        <v>51</v>
      </c>
    </row>
    <row r="6" spans="2:18" outlineLevel="1" x14ac:dyDescent="0.25">
      <c r="B6" s="58">
        <v>6</v>
      </c>
      <c r="C6" s="168"/>
      <c r="D6" s="169"/>
      <c r="E6" s="170"/>
      <c r="F6" s="171"/>
      <c r="G6" s="65"/>
      <c r="H6" s="60"/>
      <c r="I6" s="65" t="s">
        <v>319</v>
      </c>
      <c r="J6" s="62">
        <v>2025</v>
      </c>
      <c r="K6" s="60"/>
      <c r="L6" s="94"/>
      <c r="M6" s="67">
        <f>IFERROR(VLOOKUP(H6,'Air Fare - 2024'!A:I,9,FALSE),0)</f>
        <v>0</v>
      </c>
      <c r="N6" s="70">
        <f t="shared" ref="N6" si="0">K6*20</f>
        <v>0</v>
      </c>
      <c r="O6" s="67">
        <f t="shared" ref="O6" si="1">K6*300</f>
        <v>0</v>
      </c>
      <c r="P6" s="70"/>
      <c r="Q6" s="74">
        <f t="shared" ref="Q6:Q44" si="2">SUM(M6:P6)</f>
        <v>0</v>
      </c>
      <c r="R6" s="65"/>
    </row>
    <row r="7" spans="2:18" outlineLevel="1" x14ac:dyDescent="0.25">
      <c r="B7" s="58">
        <v>7</v>
      </c>
      <c r="C7" s="179" t="s">
        <v>379</v>
      </c>
      <c r="D7" s="180"/>
      <c r="E7" s="177" t="s">
        <v>382</v>
      </c>
      <c r="F7" s="178"/>
      <c r="G7" s="62"/>
      <c r="H7" s="62"/>
      <c r="I7" s="62" t="s">
        <v>319</v>
      </c>
      <c r="J7" s="62">
        <v>2025</v>
      </c>
      <c r="K7" s="62"/>
      <c r="L7" s="142" t="s">
        <v>330</v>
      </c>
      <c r="M7" s="143">
        <v>0</v>
      </c>
      <c r="N7" s="143">
        <v>0</v>
      </c>
      <c r="O7" s="143">
        <f>121.62+20817.12-19841.12</f>
        <v>1097.619999999999</v>
      </c>
      <c r="P7" s="143">
        <v>0</v>
      </c>
      <c r="Q7" s="144">
        <f t="shared" si="2"/>
        <v>1097.619999999999</v>
      </c>
      <c r="R7" s="62" t="s">
        <v>354</v>
      </c>
    </row>
    <row r="8" spans="2:18" outlineLevel="1" x14ac:dyDescent="0.25">
      <c r="B8" s="58">
        <v>8</v>
      </c>
      <c r="C8" s="179" t="s">
        <v>379</v>
      </c>
      <c r="D8" s="180"/>
      <c r="E8" s="177" t="s">
        <v>382</v>
      </c>
      <c r="F8" s="178"/>
      <c r="G8" s="62"/>
      <c r="H8" s="62"/>
      <c r="I8" s="62" t="s">
        <v>319</v>
      </c>
      <c r="J8" s="62">
        <v>2025</v>
      </c>
      <c r="K8" s="62"/>
      <c r="L8" s="142" t="s">
        <v>352</v>
      </c>
      <c r="M8" s="143">
        <v>0</v>
      </c>
      <c r="N8" s="143">
        <v>0</v>
      </c>
      <c r="O8" s="143">
        <v>409.49</v>
      </c>
      <c r="P8" s="143">
        <v>0</v>
      </c>
      <c r="Q8" s="144">
        <f t="shared" si="2"/>
        <v>409.49</v>
      </c>
      <c r="R8" s="62" t="s">
        <v>354</v>
      </c>
    </row>
    <row r="9" spans="2:18" outlineLevel="1" x14ac:dyDescent="0.25">
      <c r="B9" s="58">
        <v>9</v>
      </c>
      <c r="C9" s="179" t="s">
        <v>379</v>
      </c>
      <c r="D9" s="180"/>
      <c r="E9" s="177" t="s">
        <v>382</v>
      </c>
      <c r="F9" s="178"/>
      <c r="G9" s="62"/>
      <c r="H9" s="62"/>
      <c r="I9" s="62" t="s">
        <v>319</v>
      </c>
      <c r="J9" s="62">
        <v>2025</v>
      </c>
      <c r="K9" s="62"/>
      <c r="L9" s="142" t="s">
        <v>352</v>
      </c>
      <c r="M9" s="143">
        <v>0</v>
      </c>
      <c r="N9" s="143">
        <v>40.700000000000003</v>
      </c>
      <c r="O9" s="143">
        <v>233.8</v>
      </c>
      <c r="P9" s="143">
        <v>0</v>
      </c>
      <c r="Q9" s="144">
        <f t="shared" si="2"/>
        <v>274.5</v>
      </c>
      <c r="R9" s="62" t="s">
        <v>354</v>
      </c>
    </row>
    <row r="10" spans="2:18" outlineLevel="1" x14ac:dyDescent="0.25">
      <c r="B10" s="58">
        <v>10</v>
      </c>
      <c r="C10" s="179" t="s">
        <v>379</v>
      </c>
      <c r="D10" s="180"/>
      <c r="E10" s="177" t="s">
        <v>382</v>
      </c>
      <c r="F10" s="178"/>
      <c r="G10" s="62"/>
      <c r="H10" s="62"/>
      <c r="I10" s="62" t="s">
        <v>319</v>
      </c>
      <c r="J10" s="62">
        <v>2025</v>
      </c>
      <c r="K10" s="62"/>
      <c r="L10" s="142" t="s">
        <v>330</v>
      </c>
      <c r="M10" s="143">
        <v>0</v>
      </c>
      <c r="N10" s="143">
        <v>0</v>
      </c>
      <c r="O10" s="143">
        <v>56.3</v>
      </c>
      <c r="P10" s="143">
        <v>0</v>
      </c>
      <c r="Q10" s="144">
        <f t="shared" si="2"/>
        <v>56.3</v>
      </c>
      <c r="R10" s="62" t="s">
        <v>354</v>
      </c>
    </row>
    <row r="11" spans="2:18" outlineLevel="1" x14ac:dyDescent="0.25">
      <c r="B11" s="58">
        <v>11</v>
      </c>
      <c r="C11" s="179" t="s">
        <v>379</v>
      </c>
      <c r="D11" s="180"/>
      <c r="E11" s="177" t="s">
        <v>382</v>
      </c>
      <c r="F11" s="178"/>
      <c r="G11" s="62"/>
      <c r="H11" s="62"/>
      <c r="I11" s="62" t="s">
        <v>319</v>
      </c>
      <c r="J11" s="62">
        <v>2025</v>
      </c>
      <c r="K11" s="62"/>
      <c r="L11" s="142" t="s">
        <v>330</v>
      </c>
      <c r="M11" s="143">
        <v>0</v>
      </c>
      <c r="N11" s="143">
        <f>1390.44-390</f>
        <v>1000.44</v>
      </c>
      <c r="O11" s="143">
        <v>5453.17</v>
      </c>
      <c r="P11" s="143">
        <v>0</v>
      </c>
      <c r="Q11" s="144">
        <f t="shared" si="2"/>
        <v>6453.6100000000006</v>
      </c>
      <c r="R11" s="62" t="s">
        <v>354</v>
      </c>
    </row>
    <row r="12" spans="2:18" outlineLevel="1" x14ac:dyDescent="0.25">
      <c r="B12" s="58">
        <v>12</v>
      </c>
      <c r="C12" s="179" t="s">
        <v>379</v>
      </c>
      <c r="D12" s="180"/>
      <c r="E12" s="177" t="s">
        <v>382</v>
      </c>
      <c r="F12" s="178"/>
      <c r="G12" s="62"/>
      <c r="H12" s="62"/>
      <c r="I12" s="62" t="s">
        <v>319</v>
      </c>
      <c r="J12" s="62">
        <v>2025</v>
      </c>
      <c r="K12" s="62"/>
      <c r="L12" s="142" t="s">
        <v>330</v>
      </c>
      <c r="M12" s="143">
        <v>0</v>
      </c>
      <c r="N12" s="143">
        <f>659.23+150</f>
        <v>809.23</v>
      </c>
      <c r="O12" s="143">
        <v>544.54</v>
      </c>
      <c r="P12" s="143">
        <v>0</v>
      </c>
      <c r="Q12" s="144">
        <f t="shared" si="2"/>
        <v>1353.77</v>
      </c>
      <c r="R12" s="62" t="s">
        <v>354</v>
      </c>
    </row>
    <row r="13" spans="2:18" outlineLevel="1" x14ac:dyDescent="0.25">
      <c r="B13" s="58">
        <v>13</v>
      </c>
      <c r="C13" s="179" t="s">
        <v>379</v>
      </c>
      <c r="D13" s="180"/>
      <c r="E13" s="177" t="s">
        <v>382</v>
      </c>
      <c r="F13" s="178"/>
      <c r="G13" s="62"/>
      <c r="H13" s="62"/>
      <c r="I13" s="62" t="s">
        <v>319</v>
      </c>
      <c r="J13" s="62">
        <v>2025</v>
      </c>
      <c r="K13" s="62"/>
      <c r="L13" s="142" t="s">
        <v>330</v>
      </c>
      <c r="M13" s="143">
        <v>0</v>
      </c>
      <c r="N13" s="143">
        <f>255.51+150</f>
        <v>405.51</v>
      </c>
      <c r="O13" s="143">
        <v>422.20000000000005</v>
      </c>
      <c r="P13" s="143">
        <v>0</v>
      </c>
      <c r="Q13" s="144">
        <f t="shared" si="2"/>
        <v>827.71</v>
      </c>
      <c r="R13" s="62" t="s">
        <v>354</v>
      </c>
    </row>
    <row r="14" spans="2:18" outlineLevel="1" x14ac:dyDescent="0.25">
      <c r="B14" s="58">
        <v>32</v>
      </c>
      <c r="C14" s="179" t="s">
        <v>384</v>
      </c>
      <c r="D14" s="180"/>
      <c r="E14" s="177" t="s">
        <v>382</v>
      </c>
      <c r="F14" s="178"/>
      <c r="G14" s="145"/>
      <c r="H14" s="62"/>
      <c r="I14" s="62" t="s">
        <v>319</v>
      </c>
      <c r="J14" s="62">
        <v>2025</v>
      </c>
      <c r="K14" s="62"/>
      <c r="L14" s="142" t="s">
        <v>331</v>
      </c>
      <c r="M14" s="143">
        <v>8469.4799999999959</v>
      </c>
      <c r="N14" s="143">
        <v>51.6</v>
      </c>
      <c r="O14" s="143">
        <v>5110.9700000000012</v>
      </c>
      <c r="P14" s="143">
        <v>0</v>
      </c>
      <c r="Q14" s="144">
        <f t="shared" ref="Q14:Q19" si="3">SUM(M14:P14)</f>
        <v>13632.049999999997</v>
      </c>
      <c r="R14" s="62" t="s">
        <v>354</v>
      </c>
    </row>
    <row r="15" spans="2:18" outlineLevel="1" x14ac:dyDescent="0.25">
      <c r="B15" s="56">
        <v>1</v>
      </c>
      <c r="C15" s="179" t="s">
        <v>374</v>
      </c>
      <c r="D15" s="180"/>
      <c r="E15" s="177" t="s">
        <v>375</v>
      </c>
      <c r="F15" s="178"/>
      <c r="G15" s="157" t="s">
        <v>377</v>
      </c>
      <c r="H15" s="157" t="s">
        <v>239</v>
      </c>
      <c r="I15" s="157" t="s">
        <v>319</v>
      </c>
      <c r="J15" s="157">
        <v>2025</v>
      </c>
      <c r="K15" s="157">
        <v>10</v>
      </c>
      <c r="L15" s="183" t="s">
        <v>334</v>
      </c>
      <c r="M15" s="184">
        <v>630</v>
      </c>
      <c r="N15" s="184">
        <f>K15*20</f>
        <v>200</v>
      </c>
      <c r="O15" s="184">
        <f>K15*300</f>
        <v>3000</v>
      </c>
      <c r="P15" s="184"/>
      <c r="Q15" s="185">
        <f t="shared" si="3"/>
        <v>3830</v>
      </c>
      <c r="R15" s="62" t="s">
        <v>354</v>
      </c>
    </row>
    <row r="16" spans="2:18" outlineLevel="1" x14ac:dyDescent="0.25">
      <c r="B16" s="58">
        <v>2</v>
      </c>
      <c r="C16" s="179" t="s">
        <v>374</v>
      </c>
      <c r="D16" s="180"/>
      <c r="E16" s="177" t="s">
        <v>375</v>
      </c>
      <c r="F16" s="178"/>
      <c r="G16" s="157" t="s">
        <v>377</v>
      </c>
      <c r="H16" s="62" t="s">
        <v>239</v>
      </c>
      <c r="I16" s="62" t="s">
        <v>319</v>
      </c>
      <c r="J16" s="62">
        <v>2025</v>
      </c>
      <c r="K16" s="62">
        <v>10</v>
      </c>
      <c r="L16" s="142" t="s">
        <v>334</v>
      </c>
      <c r="M16" s="143">
        <v>630</v>
      </c>
      <c r="N16" s="143">
        <f>K16*20</f>
        <v>200</v>
      </c>
      <c r="O16" s="143">
        <f>K16*300</f>
        <v>3000</v>
      </c>
      <c r="P16" s="143"/>
      <c r="Q16" s="144">
        <f t="shared" si="3"/>
        <v>3830</v>
      </c>
      <c r="R16" s="62" t="s">
        <v>354</v>
      </c>
    </row>
    <row r="17" spans="2:18" outlineLevel="1" x14ac:dyDescent="0.25">
      <c r="B17" s="58">
        <v>3</v>
      </c>
      <c r="C17" s="179" t="s">
        <v>374</v>
      </c>
      <c r="D17" s="180"/>
      <c r="E17" s="177" t="s">
        <v>375</v>
      </c>
      <c r="F17" s="178"/>
      <c r="G17" s="62" t="s">
        <v>378</v>
      </c>
      <c r="H17" s="62" t="s">
        <v>244</v>
      </c>
      <c r="I17" s="62" t="s">
        <v>319</v>
      </c>
      <c r="J17" s="62">
        <v>2025</v>
      </c>
      <c r="K17" s="62">
        <v>4</v>
      </c>
      <c r="L17" s="142" t="s">
        <v>338</v>
      </c>
      <c r="M17" s="143">
        <f>IFERROR(VLOOKUP(H17,'Air Fare - 2024'!A:I,9,FALSE),0)</f>
        <v>5646</v>
      </c>
      <c r="N17" s="143">
        <f>K17*20</f>
        <v>80</v>
      </c>
      <c r="O17" s="143">
        <f>K17*300</f>
        <v>1200</v>
      </c>
      <c r="P17" s="143"/>
      <c r="Q17" s="144">
        <f t="shared" si="3"/>
        <v>6926</v>
      </c>
      <c r="R17" s="62" t="s">
        <v>354</v>
      </c>
    </row>
    <row r="18" spans="2:18" outlineLevel="1" x14ac:dyDescent="0.25">
      <c r="B18" s="58">
        <v>4</v>
      </c>
      <c r="C18" s="179" t="s">
        <v>374</v>
      </c>
      <c r="D18" s="180"/>
      <c r="E18" s="177" t="s">
        <v>375</v>
      </c>
      <c r="F18" s="178"/>
      <c r="G18" s="62" t="s">
        <v>378</v>
      </c>
      <c r="H18" s="62" t="s">
        <v>244</v>
      </c>
      <c r="I18" s="62" t="s">
        <v>319</v>
      </c>
      <c r="J18" s="62">
        <v>2025</v>
      </c>
      <c r="K18" s="62">
        <v>4</v>
      </c>
      <c r="L18" s="142" t="s">
        <v>338</v>
      </c>
      <c r="M18" s="143">
        <f>IFERROR(VLOOKUP(H18,'Air Fare - 2024'!A:I,9,FALSE),0)</f>
        <v>5646</v>
      </c>
      <c r="N18" s="143">
        <f>K18*20</f>
        <v>80</v>
      </c>
      <c r="O18" s="143">
        <f>K18*300</f>
        <v>1200</v>
      </c>
      <c r="P18" s="143"/>
      <c r="Q18" s="144">
        <f t="shared" si="3"/>
        <v>6926</v>
      </c>
      <c r="R18" s="62" t="s">
        <v>354</v>
      </c>
    </row>
    <row r="19" spans="2:18" outlineLevel="1" x14ac:dyDescent="0.25">
      <c r="B19" s="58">
        <v>5</v>
      </c>
      <c r="C19" s="179" t="s">
        <v>373</v>
      </c>
      <c r="D19" s="180"/>
      <c r="E19" s="177" t="s">
        <v>376</v>
      </c>
      <c r="F19" s="178"/>
      <c r="G19" s="62"/>
      <c r="H19" s="62" t="s">
        <v>259</v>
      </c>
      <c r="I19" s="62" t="s">
        <v>319</v>
      </c>
      <c r="J19" s="62">
        <v>2025</v>
      </c>
      <c r="K19" s="62">
        <v>7</v>
      </c>
      <c r="L19" s="142" t="s">
        <v>335</v>
      </c>
      <c r="M19" s="143">
        <f>IFERROR(VLOOKUP(H19,'Air Fare - 2024'!A:I,9,FALSE),0)-182.16</f>
        <v>10811.14</v>
      </c>
      <c r="N19" s="143">
        <f>K19*20</f>
        <v>140</v>
      </c>
      <c r="O19" s="143">
        <f>K19*300</f>
        <v>2100</v>
      </c>
      <c r="P19" s="186"/>
      <c r="Q19" s="144">
        <f t="shared" si="3"/>
        <v>13051.14</v>
      </c>
      <c r="R19" s="62" t="s">
        <v>354</v>
      </c>
    </row>
    <row r="20" spans="2:18" outlineLevel="1" x14ac:dyDescent="0.25">
      <c r="B20" s="58">
        <v>14</v>
      </c>
      <c r="C20" s="179" t="s">
        <v>351</v>
      </c>
      <c r="D20" s="180"/>
      <c r="E20" s="177" t="s">
        <v>380</v>
      </c>
      <c r="F20" s="178"/>
      <c r="G20" s="62"/>
      <c r="H20" s="62" t="s">
        <v>259</v>
      </c>
      <c r="I20" s="62" t="s">
        <v>320</v>
      </c>
      <c r="J20" s="62">
        <v>2025</v>
      </c>
      <c r="K20" s="62">
        <v>20</v>
      </c>
      <c r="L20" s="142" t="s">
        <v>334</v>
      </c>
      <c r="M20" s="143">
        <f>5971.84</f>
        <v>5971.84</v>
      </c>
      <c r="N20" s="143">
        <v>777.78</v>
      </c>
      <c r="O20" s="143">
        <f>6600.02+5280</f>
        <v>11880.02</v>
      </c>
      <c r="P20" s="143"/>
      <c r="Q20" s="144">
        <f t="shared" si="2"/>
        <v>18629.64</v>
      </c>
      <c r="R20" s="62" t="s">
        <v>354</v>
      </c>
    </row>
    <row r="21" spans="2:18" outlineLevel="1" x14ac:dyDescent="0.25">
      <c r="B21" s="58">
        <v>15</v>
      </c>
      <c r="C21" s="179" t="s">
        <v>384</v>
      </c>
      <c r="D21" s="180"/>
      <c r="E21" s="177" t="s">
        <v>381</v>
      </c>
      <c r="F21" s="178"/>
      <c r="G21" s="62"/>
      <c r="H21" s="62"/>
      <c r="I21" s="62" t="s">
        <v>317</v>
      </c>
      <c r="J21" s="62">
        <v>2025</v>
      </c>
      <c r="K21" s="62"/>
      <c r="L21" s="142" t="s">
        <v>330</v>
      </c>
      <c r="M21" s="143">
        <f>IFERROR(VLOOKUP(H21,'Air Fare - 2024'!A:I,9,FALSE),0)</f>
        <v>0</v>
      </c>
      <c r="N21" s="143">
        <f t="shared" ref="N21:N44" si="4">K21*20</f>
        <v>0</v>
      </c>
      <c r="O21" s="143">
        <f t="shared" ref="O20:O44" si="5">K21*300</f>
        <v>0</v>
      </c>
      <c r="P21" s="143">
        <v>247.29999999999998</v>
      </c>
      <c r="Q21" s="144">
        <f t="shared" si="2"/>
        <v>247.29999999999998</v>
      </c>
      <c r="R21" s="62" t="s">
        <v>354</v>
      </c>
    </row>
    <row r="22" spans="2:18" outlineLevel="1" x14ac:dyDescent="0.25">
      <c r="B22" s="58">
        <v>16</v>
      </c>
      <c r="C22" s="179" t="s">
        <v>384</v>
      </c>
      <c r="D22" s="180"/>
      <c r="E22" s="177" t="s">
        <v>381</v>
      </c>
      <c r="F22" s="178"/>
      <c r="G22" s="145"/>
      <c r="H22" s="62"/>
      <c r="I22" s="62" t="s">
        <v>317</v>
      </c>
      <c r="J22" s="62">
        <v>2025</v>
      </c>
      <c r="K22" s="62"/>
      <c r="L22" s="142" t="s">
        <v>352</v>
      </c>
      <c r="M22" s="143">
        <f>IFERROR(VLOOKUP(H22,'Air Fare - 2024'!A:I,9,FALSE),0)</f>
        <v>0</v>
      </c>
      <c r="N22" s="143">
        <f t="shared" si="4"/>
        <v>0</v>
      </c>
      <c r="O22" s="143">
        <f t="shared" si="5"/>
        <v>0</v>
      </c>
      <c r="P22" s="143">
        <v>20.29</v>
      </c>
      <c r="Q22" s="144">
        <f t="shared" si="2"/>
        <v>20.29</v>
      </c>
      <c r="R22" s="62" t="s">
        <v>354</v>
      </c>
    </row>
    <row r="23" spans="2:18" outlineLevel="1" x14ac:dyDescent="0.25">
      <c r="B23" s="58">
        <v>17</v>
      </c>
      <c r="C23" s="168" t="s">
        <v>351</v>
      </c>
      <c r="D23" s="169"/>
      <c r="E23" s="170" t="s">
        <v>383</v>
      </c>
      <c r="F23" s="171"/>
      <c r="G23" s="76"/>
      <c r="H23" s="60"/>
      <c r="I23" s="65" t="s">
        <v>317</v>
      </c>
      <c r="J23" s="62">
        <v>2025</v>
      </c>
      <c r="K23" s="60"/>
      <c r="L23" s="94" t="s">
        <v>331</v>
      </c>
      <c r="M23" s="67">
        <f>IFERROR(VLOOKUP(H23,'Air Fare - 2024'!A:I,9,FALSE),0)</f>
        <v>0</v>
      </c>
      <c r="N23" s="70">
        <f t="shared" si="4"/>
        <v>0</v>
      </c>
      <c r="O23" s="67">
        <f t="shared" si="5"/>
        <v>0</v>
      </c>
      <c r="P23" s="70">
        <v>0</v>
      </c>
      <c r="Q23" s="74">
        <f t="shared" si="2"/>
        <v>0</v>
      </c>
      <c r="R23" s="65"/>
    </row>
    <row r="24" spans="2:18" outlineLevel="1" x14ac:dyDescent="0.25">
      <c r="B24" s="58">
        <v>18</v>
      </c>
      <c r="C24" s="179" t="s">
        <v>384</v>
      </c>
      <c r="D24" s="180"/>
      <c r="E24" s="177" t="s">
        <v>381</v>
      </c>
      <c r="F24" s="178"/>
      <c r="G24" s="145"/>
      <c r="H24" s="62"/>
      <c r="I24" s="62" t="s">
        <v>317</v>
      </c>
      <c r="J24" s="62">
        <v>2025</v>
      </c>
      <c r="K24" s="62"/>
      <c r="L24" s="142" t="s">
        <v>329</v>
      </c>
      <c r="M24" s="143">
        <f>IFERROR(VLOOKUP(H24,'Air Fare - 2024'!A:I,9,FALSE),0)</f>
        <v>0</v>
      </c>
      <c r="N24" s="143">
        <f t="shared" si="4"/>
        <v>0</v>
      </c>
      <c r="O24" s="143">
        <f t="shared" si="5"/>
        <v>0</v>
      </c>
      <c r="P24" s="143">
        <v>137</v>
      </c>
      <c r="Q24" s="144">
        <f t="shared" si="2"/>
        <v>137</v>
      </c>
      <c r="R24" s="62" t="s">
        <v>354</v>
      </c>
    </row>
    <row r="25" spans="2:18" outlineLevel="1" x14ac:dyDescent="0.25">
      <c r="B25" s="58">
        <v>19</v>
      </c>
      <c r="C25" s="179" t="s">
        <v>384</v>
      </c>
      <c r="D25" s="180"/>
      <c r="E25" s="177" t="s">
        <v>381</v>
      </c>
      <c r="F25" s="178"/>
      <c r="G25" s="145"/>
      <c r="H25" s="62"/>
      <c r="I25" s="62" t="s">
        <v>317</v>
      </c>
      <c r="J25" s="62">
        <v>2025</v>
      </c>
      <c r="K25" s="62"/>
      <c r="L25" s="142" t="s">
        <v>332</v>
      </c>
      <c r="M25" s="143">
        <f>IFERROR(VLOOKUP(H25,'Air Fare - 2024'!A:I,9,FALSE),0)</f>
        <v>0</v>
      </c>
      <c r="N25" s="143">
        <f t="shared" si="4"/>
        <v>0</v>
      </c>
      <c r="O25" s="143">
        <f t="shared" si="5"/>
        <v>0</v>
      </c>
      <c r="P25" s="143">
        <v>1202.48</v>
      </c>
      <c r="Q25" s="144">
        <f t="shared" si="2"/>
        <v>1202.48</v>
      </c>
      <c r="R25" s="62" t="s">
        <v>354</v>
      </c>
    </row>
    <row r="26" spans="2:18" outlineLevel="1" x14ac:dyDescent="0.25">
      <c r="B26" s="58">
        <v>20</v>
      </c>
      <c r="C26" s="179" t="s">
        <v>384</v>
      </c>
      <c r="D26" s="180"/>
      <c r="E26" s="177" t="s">
        <v>381</v>
      </c>
      <c r="F26" s="178"/>
      <c r="G26" s="145"/>
      <c r="H26" s="62"/>
      <c r="I26" s="62" t="s">
        <v>317</v>
      </c>
      <c r="J26" s="62">
        <v>2025</v>
      </c>
      <c r="K26" s="62"/>
      <c r="L26" s="142" t="s">
        <v>338</v>
      </c>
      <c r="M26" s="143">
        <f>IFERROR(VLOOKUP(H26,'Air Fare - 2024'!A:I,9,FALSE),0)</f>
        <v>0</v>
      </c>
      <c r="N26" s="143">
        <f t="shared" si="4"/>
        <v>0</v>
      </c>
      <c r="O26" s="143">
        <f t="shared" si="5"/>
        <v>0</v>
      </c>
      <c r="P26" s="143">
        <v>78</v>
      </c>
      <c r="Q26" s="144">
        <f t="shared" si="2"/>
        <v>78</v>
      </c>
      <c r="R26" s="62" t="s">
        <v>354</v>
      </c>
    </row>
    <row r="27" spans="2:18" outlineLevel="1" x14ac:dyDescent="0.25">
      <c r="B27" s="58">
        <v>21</v>
      </c>
      <c r="C27" s="179" t="s">
        <v>384</v>
      </c>
      <c r="D27" s="180"/>
      <c r="E27" s="177" t="s">
        <v>381</v>
      </c>
      <c r="F27" s="178"/>
      <c r="G27" s="145"/>
      <c r="H27" s="62"/>
      <c r="I27" s="62" t="s">
        <v>317</v>
      </c>
      <c r="J27" s="62">
        <v>2025</v>
      </c>
      <c r="K27" s="62"/>
      <c r="L27" s="142" t="s">
        <v>334</v>
      </c>
      <c r="M27" s="143">
        <f>IFERROR(VLOOKUP(H27,'Air Fare - 2024'!A:I,9,FALSE),0)</f>
        <v>0</v>
      </c>
      <c r="N27" s="143">
        <f t="shared" si="4"/>
        <v>0</v>
      </c>
      <c r="O27" s="143">
        <f t="shared" si="5"/>
        <v>0</v>
      </c>
      <c r="P27" s="143">
        <v>0</v>
      </c>
      <c r="Q27" s="144">
        <f t="shared" si="2"/>
        <v>0</v>
      </c>
      <c r="R27" s="62" t="s">
        <v>354</v>
      </c>
    </row>
    <row r="28" spans="2:18" outlineLevel="1" x14ac:dyDescent="0.25">
      <c r="B28" s="58">
        <v>22</v>
      </c>
      <c r="C28" s="179" t="s">
        <v>384</v>
      </c>
      <c r="D28" s="180"/>
      <c r="E28" s="177" t="s">
        <v>381</v>
      </c>
      <c r="F28" s="178"/>
      <c r="G28" s="62"/>
      <c r="H28" s="62"/>
      <c r="I28" s="62" t="s">
        <v>317</v>
      </c>
      <c r="J28" s="62">
        <v>2025</v>
      </c>
      <c r="K28" s="62"/>
      <c r="L28" s="142" t="s">
        <v>337</v>
      </c>
      <c r="M28" s="143">
        <f>IFERROR(VLOOKUP(H28,'Air Fare - 2024'!A:I,9,FALSE),0)</f>
        <v>0</v>
      </c>
      <c r="N28" s="143">
        <f t="shared" si="4"/>
        <v>0</v>
      </c>
      <c r="O28" s="143">
        <f t="shared" si="5"/>
        <v>0</v>
      </c>
      <c r="P28" s="143">
        <v>90</v>
      </c>
      <c r="Q28" s="144">
        <f t="shared" si="2"/>
        <v>90</v>
      </c>
      <c r="R28" s="62" t="s">
        <v>354</v>
      </c>
    </row>
    <row r="29" spans="2:18" outlineLevel="1" x14ac:dyDescent="0.25">
      <c r="B29" s="58">
        <v>23</v>
      </c>
      <c r="C29" s="168" t="s">
        <v>351</v>
      </c>
      <c r="D29" s="169"/>
      <c r="E29" s="170" t="s">
        <v>383</v>
      </c>
      <c r="F29" s="171"/>
      <c r="G29" s="65"/>
      <c r="H29" s="60"/>
      <c r="I29" s="65" t="s">
        <v>317</v>
      </c>
      <c r="J29" s="62">
        <v>2025</v>
      </c>
      <c r="K29" s="60"/>
      <c r="L29" s="94" t="s">
        <v>336</v>
      </c>
      <c r="M29" s="67">
        <f>IFERROR(VLOOKUP(H29,'Air Fare - 2024'!A:I,9,FALSE),0)</f>
        <v>0</v>
      </c>
      <c r="N29" s="70">
        <f t="shared" si="4"/>
        <v>0</v>
      </c>
      <c r="O29" s="67">
        <f t="shared" si="5"/>
        <v>0</v>
      </c>
      <c r="P29" s="70">
        <v>500</v>
      </c>
      <c r="Q29" s="74">
        <f t="shared" si="2"/>
        <v>500</v>
      </c>
      <c r="R29" s="65"/>
    </row>
    <row r="30" spans="2:18" outlineLevel="1" x14ac:dyDescent="0.25">
      <c r="B30" s="58">
        <v>24</v>
      </c>
      <c r="C30" s="168" t="s">
        <v>351</v>
      </c>
      <c r="D30" s="169"/>
      <c r="E30" s="170" t="s">
        <v>383</v>
      </c>
      <c r="F30" s="171"/>
      <c r="G30" s="65"/>
      <c r="H30" s="60"/>
      <c r="I30" s="65" t="s">
        <v>317</v>
      </c>
      <c r="J30" s="62">
        <v>2025</v>
      </c>
      <c r="K30" s="60"/>
      <c r="L30" s="94" t="s">
        <v>353</v>
      </c>
      <c r="M30" s="67">
        <f>IFERROR(VLOOKUP(H30,'Air Fare - 2024'!A:I,9,FALSE),0)</f>
        <v>0</v>
      </c>
      <c r="N30" s="70">
        <f t="shared" si="4"/>
        <v>0</v>
      </c>
      <c r="O30" s="67">
        <f t="shared" si="5"/>
        <v>0</v>
      </c>
      <c r="P30" s="70">
        <v>2000</v>
      </c>
      <c r="Q30" s="74">
        <f t="shared" si="2"/>
        <v>2000</v>
      </c>
      <c r="R30" s="65"/>
    </row>
    <row r="31" spans="2:18" outlineLevel="1" x14ac:dyDescent="0.25">
      <c r="B31" s="58">
        <v>25</v>
      </c>
      <c r="C31" s="168" t="s">
        <v>351</v>
      </c>
      <c r="D31" s="169"/>
      <c r="E31" s="170" t="s">
        <v>383</v>
      </c>
      <c r="F31" s="171"/>
      <c r="G31" s="65"/>
      <c r="H31" s="60"/>
      <c r="I31" s="65" t="s">
        <v>322</v>
      </c>
      <c r="J31" s="62">
        <v>2025</v>
      </c>
      <c r="K31" s="60"/>
      <c r="L31" s="94" t="s">
        <v>335</v>
      </c>
      <c r="M31" s="67">
        <f>IFERROR(VLOOKUP(H31,'Air Fare - 2024'!A:I,9,FALSE),0)</f>
        <v>0</v>
      </c>
      <c r="N31" s="70">
        <f t="shared" si="4"/>
        <v>0</v>
      </c>
      <c r="O31" s="67">
        <f t="shared" si="5"/>
        <v>0</v>
      </c>
      <c r="P31" s="70">
        <v>2000</v>
      </c>
      <c r="Q31" s="74">
        <f t="shared" si="2"/>
        <v>2000</v>
      </c>
      <c r="R31" s="65"/>
    </row>
    <row r="32" spans="2:18" outlineLevel="1" x14ac:dyDescent="0.25">
      <c r="B32" s="58">
        <v>26</v>
      </c>
      <c r="C32" s="168" t="s">
        <v>351</v>
      </c>
      <c r="D32" s="169"/>
      <c r="E32" s="170" t="s">
        <v>383</v>
      </c>
      <c r="F32" s="171"/>
      <c r="G32" s="65"/>
      <c r="H32" s="60"/>
      <c r="I32" s="65" t="s">
        <v>317</v>
      </c>
      <c r="J32" s="62">
        <v>2025</v>
      </c>
      <c r="K32" s="60"/>
      <c r="L32" s="94" t="s">
        <v>333</v>
      </c>
      <c r="M32" s="67">
        <f>IFERROR(VLOOKUP(H32,'Air Fare - 2024'!A:I,9,FALSE),0)</f>
        <v>0</v>
      </c>
      <c r="N32" s="70">
        <f t="shared" si="4"/>
        <v>0</v>
      </c>
      <c r="O32" s="67">
        <f t="shared" si="5"/>
        <v>0</v>
      </c>
      <c r="P32" s="70">
        <v>4000</v>
      </c>
      <c r="Q32" s="74">
        <f t="shared" si="2"/>
        <v>4000</v>
      </c>
      <c r="R32" s="65"/>
    </row>
    <row r="33" spans="1:19" outlineLevel="1" x14ac:dyDescent="0.25">
      <c r="B33" s="58">
        <v>27</v>
      </c>
      <c r="C33" s="168" t="s">
        <v>351</v>
      </c>
      <c r="D33" s="169"/>
      <c r="E33" s="170" t="s">
        <v>383</v>
      </c>
      <c r="F33" s="171"/>
      <c r="G33" s="65"/>
      <c r="H33" s="60"/>
      <c r="I33" s="65" t="s">
        <v>318</v>
      </c>
      <c r="J33" s="62">
        <v>2025</v>
      </c>
      <c r="K33" s="60"/>
      <c r="L33" s="94" t="s">
        <v>335</v>
      </c>
      <c r="M33" s="67">
        <f>IFERROR(VLOOKUP(H33,'Air Fare - 2024'!A:I,9,FALSE),0)</f>
        <v>0</v>
      </c>
      <c r="N33" s="70">
        <f t="shared" si="4"/>
        <v>0</v>
      </c>
      <c r="O33" s="67">
        <f t="shared" si="5"/>
        <v>0</v>
      </c>
      <c r="P33" s="70">
        <v>200</v>
      </c>
      <c r="Q33" s="74">
        <f t="shared" si="2"/>
        <v>200</v>
      </c>
      <c r="R33" s="65"/>
    </row>
    <row r="34" spans="1:19" outlineLevel="1" x14ac:dyDescent="0.25">
      <c r="B34" s="58">
        <v>28</v>
      </c>
      <c r="C34" s="179" t="s">
        <v>374</v>
      </c>
      <c r="D34" s="180"/>
      <c r="E34" s="177" t="s">
        <v>381</v>
      </c>
      <c r="F34" s="178"/>
      <c r="G34" s="145"/>
      <c r="H34" s="62"/>
      <c r="I34" s="62" t="s">
        <v>318</v>
      </c>
      <c r="J34" s="62">
        <v>2025</v>
      </c>
      <c r="K34" s="62"/>
      <c r="L34" s="142" t="s">
        <v>329</v>
      </c>
      <c r="M34" s="143">
        <f>IFERROR(VLOOKUP(H34,'Air Fare - 2024'!A:I,9,FALSE),0)</f>
        <v>0</v>
      </c>
      <c r="N34" s="143">
        <f t="shared" si="4"/>
        <v>0</v>
      </c>
      <c r="O34" s="143">
        <f t="shared" si="5"/>
        <v>0</v>
      </c>
      <c r="P34" s="143">
        <v>0</v>
      </c>
      <c r="Q34" s="144">
        <f t="shared" si="2"/>
        <v>0</v>
      </c>
      <c r="R34" s="62" t="s">
        <v>354</v>
      </c>
    </row>
    <row r="35" spans="1:19" outlineLevel="1" x14ac:dyDescent="0.25">
      <c r="B35" s="58">
        <v>29</v>
      </c>
      <c r="C35" s="168" t="s">
        <v>351</v>
      </c>
      <c r="D35" s="169"/>
      <c r="E35" s="170"/>
      <c r="F35" s="171"/>
      <c r="G35" s="65"/>
      <c r="H35" s="60"/>
      <c r="I35" s="65" t="s">
        <v>318</v>
      </c>
      <c r="J35" s="62">
        <v>2025</v>
      </c>
      <c r="K35" s="60"/>
      <c r="L35" s="94" t="s">
        <v>333</v>
      </c>
      <c r="M35" s="67">
        <f>IFERROR(VLOOKUP(H35,'Air Fare - 2024'!A:I,9,FALSE),0)</f>
        <v>0</v>
      </c>
      <c r="N35" s="70">
        <f t="shared" si="4"/>
        <v>0</v>
      </c>
      <c r="O35" s="67">
        <f t="shared" si="5"/>
        <v>0</v>
      </c>
      <c r="P35" s="70">
        <v>200</v>
      </c>
      <c r="Q35" s="74">
        <f t="shared" si="2"/>
        <v>200</v>
      </c>
      <c r="R35" s="65"/>
    </row>
    <row r="36" spans="1:19" outlineLevel="1" x14ac:dyDescent="0.25">
      <c r="B36" s="58">
        <v>30</v>
      </c>
      <c r="C36" s="179" t="s">
        <v>374</v>
      </c>
      <c r="D36" s="180"/>
      <c r="E36" s="177" t="s">
        <v>381</v>
      </c>
      <c r="F36" s="178"/>
      <c r="G36" s="62"/>
      <c r="H36" s="62"/>
      <c r="I36" s="62" t="s">
        <v>318</v>
      </c>
      <c r="J36" s="62">
        <v>2025</v>
      </c>
      <c r="K36" s="62"/>
      <c r="L36" s="142" t="s">
        <v>337</v>
      </c>
      <c r="M36" s="143">
        <f>IFERROR(VLOOKUP(H36,'Air Fare - 2024'!A:I,9,FALSE),0)</f>
        <v>0</v>
      </c>
      <c r="N36" s="143">
        <f t="shared" si="4"/>
        <v>0</v>
      </c>
      <c r="O36" s="143">
        <f t="shared" si="5"/>
        <v>0</v>
      </c>
      <c r="P36" s="143">
        <v>399.48</v>
      </c>
      <c r="Q36" s="144">
        <f t="shared" si="2"/>
        <v>399.48</v>
      </c>
      <c r="R36" s="62" t="s">
        <v>354</v>
      </c>
    </row>
    <row r="37" spans="1:19" outlineLevel="1" x14ac:dyDescent="0.25">
      <c r="B37" s="58">
        <v>31</v>
      </c>
      <c r="C37" s="168" t="s">
        <v>351</v>
      </c>
      <c r="D37" s="169"/>
      <c r="E37" s="170"/>
      <c r="F37" s="171"/>
      <c r="G37" s="65"/>
      <c r="H37" s="60"/>
      <c r="I37" s="65" t="s">
        <v>318</v>
      </c>
      <c r="J37" s="62">
        <v>2025</v>
      </c>
      <c r="K37" s="60"/>
      <c r="L37" s="94" t="s">
        <v>353</v>
      </c>
      <c r="M37" s="67">
        <f>IFERROR(VLOOKUP(H37,'Air Fare - 2024'!A:I,9,FALSE),0)</f>
        <v>0</v>
      </c>
      <c r="N37" s="70">
        <f t="shared" si="4"/>
        <v>0</v>
      </c>
      <c r="O37" s="67">
        <f t="shared" si="5"/>
        <v>0</v>
      </c>
      <c r="P37" s="70">
        <v>200</v>
      </c>
      <c r="Q37" s="74">
        <f t="shared" si="2"/>
        <v>200</v>
      </c>
      <c r="R37" s="65"/>
    </row>
    <row r="38" spans="1:19" outlineLevel="1" x14ac:dyDescent="0.25">
      <c r="B38" s="58">
        <v>32</v>
      </c>
      <c r="C38" s="179" t="s">
        <v>379</v>
      </c>
      <c r="D38" s="180"/>
      <c r="E38" s="177" t="s">
        <v>375</v>
      </c>
      <c r="F38" s="178"/>
      <c r="G38" s="157" t="s">
        <v>377</v>
      </c>
      <c r="H38" s="62" t="s">
        <v>259</v>
      </c>
      <c r="I38" s="62" t="s">
        <v>319</v>
      </c>
      <c r="J38" s="62">
        <v>2025</v>
      </c>
      <c r="K38" s="62"/>
      <c r="L38" s="142" t="s">
        <v>336</v>
      </c>
      <c r="M38" s="143">
        <v>0</v>
      </c>
      <c r="N38" s="143">
        <f t="shared" si="4"/>
        <v>0</v>
      </c>
      <c r="O38" s="143">
        <f>5004-2000</f>
        <v>3004</v>
      </c>
      <c r="P38" s="187">
        <v>0</v>
      </c>
      <c r="Q38" s="144">
        <f t="shared" si="2"/>
        <v>3004</v>
      </c>
      <c r="R38" s="62" t="s">
        <v>354</v>
      </c>
    </row>
    <row r="39" spans="1:19" outlineLevel="1" x14ac:dyDescent="0.25">
      <c r="B39" s="58">
        <v>33</v>
      </c>
      <c r="C39" s="155"/>
      <c r="D39" s="156"/>
      <c r="E39" s="77"/>
      <c r="F39" s="78"/>
      <c r="G39" s="65"/>
      <c r="H39" s="60"/>
      <c r="I39" s="65"/>
      <c r="J39" s="62"/>
      <c r="K39" s="60"/>
      <c r="L39" s="94"/>
      <c r="M39" s="67">
        <f>IFERROR(VLOOKUP(H39,'Air Fare - 2024'!A:I,9,FALSE),0)</f>
        <v>0</v>
      </c>
      <c r="N39" s="70">
        <f t="shared" si="4"/>
        <v>0</v>
      </c>
      <c r="O39" s="67">
        <f t="shared" si="5"/>
        <v>0</v>
      </c>
      <c r="P39" s="71">
        <v>0</v>
      </c>
      <c r="Q39" s="74">
        <f t="shared" si="2"/>
        <v>0</v>
      </c>
      <c r="R39" s="65"/>
    </row>
    <row r="40" spans="1:19" outlineLevel="1" x14ac:dyDescent="0.25">
      <c r="B40" s="58">
        <v>34</v>
      </c>
      <c r="C40" s="155"/>
      <c r="D40" s="156"/>
      <c r="E40" s="77"/>
      <c r="F40" s="78"/>
      <c r="G40" s="65"/>
      <c r="H40" s="60"/>
      <c r="I40" s="65"/>
      <c r="J40" s="62"/>
      <c r="K40" s="60"/>
      <c r="L40" s="94"/>
      <c r="M40" s="67">
        <f>IFERROR(VLOOKUP(H40,'Air Fare - 2024'!A:I,9,FALSE),0)</f>
        <v>0</v>
      </c>
      <c r="N40" s="70">
        <f t="shared" si="4"/>
        <v>0</v>
      </c>
      <c r="O40" s="67">
        <f t="shared" si="5"/>
        <v>0</v>
      </c>
      <c r="P40" s="71">
        <v>0</v>
      </c>
      <c r="Q40" s="74">
        <f t="shared" si="2"/>
        <v>0</v>
      </c>
      <c r="R40" s="65"/>
    </row>
    <row r="41" spans="1:19" outlineLevel="1" x14ac:dyDescent="0.25">
      <c r="B41" s="58">
        <v>35</v>
      </c>
      <c r="C41" s="155"/>
      <c r="D41" s="156"/>
      <c r="E41" s="77"/>
      <c r="F41" s="78"/>
      <c r="G41" s="65"/>
      <c r="H41" s="60"/>
      <c r="I41" s="65"/>
      <c r="J41" s="62"/>
      <c r="K41" s="60"/>
      <c r="L41" s="94"/>
      <c r="M41" s="67">
        <f>IFERROR(VLOOKUP(H41,'Air Fare - 2024'!A:I,9,FALSE),0)</f>
        <v>0</v>
      </c>
      <c r="N41" s="70">
        <f t="shared" si="4"/>
        <v>0</v>
      </c>
      <c r="O41" s="67">
        <f t="shared" si="5"/>
        <v>0</v>
      </c>
      <c r="P41" s="71">
        <v>0</v>
      </c>
      <c r="Q41" s="74">
        <f t="shared" si="2"/>
        <v>0</v>
      </c>
      <c r="R41" s="65"/>
    </row>
    <row r="42" spans="1:19" outlineLevel="1" x14ac:dyDescent="0.25">
      <c r="B42" s="58">
        <v>36</v>
      </c>
      <c r="C42" s="155"/>
      <c r="D42" s="156"/>
      <c r="E42" s="77"/>
      <c r="F42" s="78"/>
      <c r="G42" s="65"/>
      <c r="H42" s="60"/>
      <c r="I42" s="65"/>
      <c r="J42" s="62"/>
      <c r="K42" s="60"/>
      <c r="L42" s="94"/>
      <c r="M42" s="67">
        <f>IFERROR(VLOOKUP(H42,'Air Fare - 2024'!A:I,9,FALSE),0)</f>
        <v>0</v>
      </c>
      <c r="N42" s="70">
        <f t="shared" si="4"/>
        <v>0</v>
      </c>
      <c r="O42" s="67">
        <f t="shared" si="5"/>
        <v>0</v>
      </c>
      <c r="P42" s="71">
        <v>0</v>
      </c>
      <c r="Q42" s="74">
        <f t="shared" si="2"/>
        <v>0</v>
      </c>
      <c r="R42" s="65"/>
    </row>
    <row r="43" spans="1:19" outlineLevel="1" x14ac:dyDescent="0.25">
      <c r="B43" s="58">
        <v>37</v>
      </c>
      <c r="C43" s="155"/>
      <c r="D43" s="156"/>
      <c r="E43" s="77"/>
      <c r="F43" s="78"/>
      <c r="G43" s="65"/>
      <c r="H43" s="60"/>
      <c r="I43" s="65"/>
      <c r="J43" s="62"/>
      <c r="K43" s="60"/>
      <c r="L43" s="94"/>
      <c r="M43" s="67">
        <f>IFERROR(VLOOKUP(H43,'Air Fare - 2024'!A:I,9,FALSE),0)</f>
        <v>0</v>
      </c>
      <c r="N43" s="70">
        <f t="shared" si="4"/>
        <v>0</v>
      </c>
      <c r="O43" s="67">
        <f t="shared" si="5"/>
        <v>0</v>
      </c>
      <c r="P43" s="71">
        <v>0</v>
      </c>
      <c r="Q43" s="74">
        <f t="shared" si="2"/>
        <v>0</v>
      </c>
      <c r="R43" s="65"/>
    </row>
    <row r="44" spans="1:19" outlineLevel="1" x14ac:dyDescent="0.25">
      <c r="B44" s="58">
        <v>38</v>
      </c>
      <c r="C44" s="168"/>
      <c r="D44" s="169"/>
      <c r="E44" s="170"/>
      <c r="F44" s="171"/>
      <c r="G44" s="63"/>
      <c r="H44" s="59"/>
      <c r="I44" s="63"/>
      <c r="J44" s="62">
        <v>2025</v>
      </c>
      <c r="K44" s="59"/>
      <c r="L44" s="94"/>
      <c r="M44" s="67">
        <f>IFERROR(VLOOKUP(H44,'Air Fare - 2024'!A:I,9,FALSE),0)</f>
        <v>0</v>
      </c>
      <c r="N44" s="70">
        <f t="shared" si="4"/>
        <v>0</v>
      </c>
      <c r="O44" s="67">
        <f t="shared" si="5"/>
        <v>0</v>
      </c>
      <c r="P44" s="71"/>
      <c r="Q44" s="75">
        <f t="shared" si="2"/>
        <v>0</v>
      </c>
      <c r="R44" s="65"/>
    </row>
    <row r="45" spans="1:19" s="37" customFormat="1" x14ac:dyDescent="0.25">
      <c r="A45" s="43"/>
      <c r="B45" s="4" t="s">
        <v>224</v>
      </c>
      <c r="C45" s="84"/>
      <c r="D45" s="84"/>
      <c r="E45" s="84"/>
      <c r="F45" s="84"/>
      <c r="G45" s="84"/>
      <c r="H45" s="84"/>
      <c r="I45" s="84"/>
      <c r="J45" s="84"/>
      <c r="K45" s="84"/>
      <c r="L45" s="85"/>
      <c r="M45" s="86">
        <f>SUBTOTAL(9,M6:M44)</f>
        <v>37804.459999999992</v>
      </c>
      <c r="N45" s="86">
        <f>SUBTOTAL(9,N6:N44)</f>
        <v>3785.26</v>
      </c>
      <c r="O45" s="86">
        <f>SUBTOTAL(9,O6:O44)</f>
        <v>38712.11</v>
      </c>
      <c r="P45" s="86">
        <f>SUBTOTAL(9,P6:P44)</f>
        <v>11274.55</v>
      </c>
      <c r="Q45" s="86">
        <f>SUBTOTAL(9,Q6:Q44)</f>
        <v>91576.379999999976</v>
      </c>
      <c r="R45" s="87"/>
      <c r="S45" s="43"/>
    </row>
    <row r="46" spans="1:19" x14ac:dyDescent="0.25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46"/>
      <c r="R46" s="15"/>
    </row>
    <row r="47" spans="1:19" ht="18.75" x14ac:dyDescent="0.25">
      <c r="B47" s="175" t="s">
        <v>224</v>
      </c>
      <c r="C47" s="176"/>
      <c r="D47" s="95" t="s">
        <v>64</v>
      </c>
      <c r="E47" s="88" t="s">
        <v>63</v>
      </c>
      <c r="F47" s="88" t="s">
        <v>62</v>
      </c>
      <c r="G47" s="88" t="s">
        <v>61</v>
      </c>
      <c r="H47" s="88" t="s">
        <v>60</v>
      </c>
      <c r="I47" s="88" t="s">
        <v>59</v>
      </c>
      <c r="J47" s="88" t="s">
        <v>58</v>
      </c>
      <c r="K47" s="88" t="s">
        <v>57</v>
      </c>
      <c r="L47" s="88" t="s">
        <v>56</v>
      </c>
      <c r="M47" s="88" t="s">
        <v>55</v>
      </c>
      <c r="N47" s="88" t="s">
        <v>54</v>
      </c>
      <c r="O47" s="88" t="s">
        <v>53</v>
      </c>
      <c r="P47" s="88" t="s">
        <v>52</v>
      </c>
      <c r="Q47" s="15"/>
      <c r="R47" s="15"/>
    </row>
    <row r="48" spans="1:19" x14ac:dyDescent="0.25">
      <c r="B48" s="81" t="s">
        <v>319</v>
      </c>
      <c r="C48" s="79" t="s">
        <v>324</v>
      </c>
      <c r="D48" s="89">
        <f t="shared" ref="D48:O48" si="6">SUMIFS($M$6:$M$44,$L$6:$L$44,D47,$I$6:$I$44,$B$48)+SUMIFS($N$6:$N$44,$L$6:$L$44,D47,$I$6:$I$44,$B$48)</f>
        <v>2215.1800000000003</v>
      </c>
      <c r="E48" s="89">
        <f t="shared" si="6"/>
        <v>40.700000000000003</v>
      </c>
      <c r="F48" s="89">
        <f t="shared" si="6"/>
        <v>8521.0799999999963</v>
      </c>
      <c r="G48" s="89">
        <f t="shared" si="6"/>
        <v>0</v>
      </c>
      <c r="H48" s="89">
        <f t="shared" si="6"/>
        <v>0</v>
      </c>
      <c r="I48" s="89">
        <f t="shared" si="6"/>
        <v>11452</v>
      </c>
      <c r="J48" s="89">
        <f t="shared" si="6"/>
        <v>1660</v>
      </c>
      <c r="K48" s="89">
        <f t="shared" si="6"/>
        <v>0</v>
      </c>
      <c r="L48" s="89">
        <f t="shared" si="6"/>
        <v>0</v>
      </c>
      <c r="M48" s="89">
        <f t="shared" si="6"/>
        <v>0</v>
      </c>
      <c r="N48" s="89">
        <f t="shared" si="6"/>
        <v>10951.14</v>
      </c>
      <c r="O48" s="89">
        <f t="shared" si="6"/>
        <v>0</v>
      </c>
      <c r="P48" s="89">
        <f t="shared" ref="P48:P54" si="7">SUM(D48:O48)</f>
        <v>34840.099999999991</v>
      </c>
      <c r="Q48" s="15"/>
      <c r="R48" s="146"/>
    </row>
    <row r="49" spans="1:19" x14ac:dyDescent="0.25">
      <c r="B49" s="82" t="s">
        <v>319</v>
      </c>
      <c r="C49" s="80" t="s">
        <v>325</v>
      </c>
      <c r="D49" s="90">
        <f t="shared" ref="D49:O49" si="8">SUMIFS($O$6:$O$44,$L$6:$L$44,D47,$I$6:$I$44,$B$49)</f>
        <v>7573.829999999999</v>
      </c>
      <c r="E49" s="90">
        <f t="shared" si="8"/>
        <v>643.29</v>
      </c>
      <c r="F49" s="90">
        <f t="shared" si="8"/>
        <v>5110.9700000000012</v>
      </c>
      <c r="G49" s="90">
        <f t="shared" si="8"/>
        <v>0</v>
      </c>
      <c r="H49" s="90">
        <f t="shared" si="8"/>
        <v>0</v>
      </c>
      <c r="I49" s="90">
        <f t="shared" si="8"/>
        <v>2400</v>
      </c>
      <c r="J49" s="90">
        <f t="shared" si="8"/>
        <v>6000</v>
      </c>
      <c r="K49" s="90">
        <f t="shared" si="8"/>
        <v>0</v>
      </c>
      <c r="L49" s="90">
        <f t="shared" si="8"/>
        <v>3004</v>
      </c>
      <c r="M49" s="90">
        <f t="shared" si="8"/>
        <v>0</v>
      </c>
      <c r="N49" s="90">
        <f t="shared" si="8"/>
        <v>2100</v>
      </c>
      <c r="O49" s="90">
        <f t="shared" si="8"/>
        <v>0</v>
      </c>
      <c r="P49" s="90">
        <f t="shared" si="7"/>
        <v>26832.09</v>
      </c>
      <c r="R49" s="146"/>
    </row>
    <row r="50" spans="1:19" x14ac:dyDescent="0.25">
      <c r="B50" s="82" t="s">
        <v>322</v>
      </c>
      <c r="C50" s="80" t="s">
        <v>326</v>
      </c>
      <c r="D50" s="90">
        <f t="shared" ref="D50:O50" si="9">SUMIFS($P$6:$P$44,$L$6:$L$44,D47,$I$6:$I$44,$B$50)</f>
        <v>0</v>
      </c>
      <c r="E50" s="90">
        <f t="shared" si="9"/>
        <v>0</v>
      </c>
      <c r="F50" s="90">
        <f t="shared" si="9"/>
        <v>0</v>
      </c>
      <c r="G50" s="90">
        <f t="shared" si="9"/>
        <v>0</v>
      </c>
      <c r="H50" s="90">
        <f t="shared" si="9"/>
        <v>0</v>
      </c>
      <c r="I50" s="90">
        <f t="shared" si="9"/>
        <v>0</v>
      </c>
      <c r="J50" s="90">
        <f t="shared" si="9"/>
        <v>0</v>
      </c>
      <c r="K50" s="90">
        <f t="shared" si="9"/>
        <v>0</v>
      </c>
      <c r="L50" s="90">
        <f t="shared" si="9"/>
        <v>0</v>
      </c>
      <c r="M50" s="90">
        <f t="shared" si="9"/>
        <v>0</v>
      </c>
      <c r="N50" s="90">
        <f t="shared" si="9"/>
        <v>2000</v>
      </c>
      <c r="O50" s="90">
        <f t="shared" si="9"/>
        <v>0</v>
      </c>
      <c r="P50" s="90">
        <f t="shared" si="7"/>
        <v>2000</v>
      </c>
      <c r="R50" s="146"/>
    </row>
    <row r="51" spans="1:19" x14ac:dyDescent="0.25">
      <c r="B51" s="82" t="s">
        <v>320</v>
      </c>
      <c r="C51" s="80" t="s">
        <v>79</v>
      </c>
      <c r="D51" s="90">
        <f t="shared" ref="D51:O51" si="10">SUMIFS($Q$6:$Q$44,$L$6:$L$44,D47,$I$6:$I$44,$B$51)</f>
        <v>0</v>
      </c>
      <c r="E51" s="90">
        <f t="shared" si="10"/>
        <v>0</v>
      </c>
      <c r="F51" s="90">
        <f t="shared" si="10"/>
        <v>0</v>
      </c>
      <c r="G51" s="90">
        <f t="shared" si="10"/>
        <v>0</v>
      </c>
      <c r="H51" s="90">
        <f t="shared" si="10"/>
        <v>0</v>
      </c>
      <c r="I51" s="90">
        <f t="shared" si="10"/>
        <v>0</v>
      </c>
      <c r="J51" s="90">
        <f t="shared" si="10"/>
        <v>18629.64</v>
      </c>
      <c r="K51" s="90">
        <f t="shared" si="10"/>
        <v>0</v>
      </c>
      <c r="L51" s="90">
        <f t="shared" si="10"/>
        <v>0</v>
      </c>
      <c r="M51" s="90">
        <f t="shared" si="10"/>
        <v>0</v>
      </c>
      <c r="N51" s="90">
        <f t="shared" si="10"/>
        <v>0</v>
      </c>
      <c r="O51" s="90">
        <f t="shared" si="10"/>
        <v>0</v>
      </c>
      <c r="P51" s="90">
        <f t="shared" si="7"/>
        <v>18629.64</v>
      </c>
      <c r="R51" s="146"/>
    </row>
    <row r="52" spans="1:19" x14ac:dyDescent="0.25">
      <c r="B52" s="82" t="s">
        <v>321</v>
      </c>
      <c r="C52" s="80" t="s">
        <v>81</v>
      </c>
      <c r="D52" s="90">
        <f t="shared" ref="D52:O52" si="11">SUMIFS($Q$6:$Q$44,$L$6:$L$44,D47,$I$6:$I$44,$B$52)</f>
        <v>0</v>
      </c>
      <c r="E52" s="90">
        <f t="shared" si="11"/>
        <v>0</v>
      </c>
      <c r="F52" s="90">
        <f t="shared" si="11"/>
        <v>0</v>
      </c>
      <c r="G52" s="90">
        <f t="shared" si="11"/>
        <v>0</v>
      </c>
      <c r="H52" s="90">
        <f t="shared" si="11"/>
        <v>0</v>
      </c>
      <c r="I52" s="90">
        <f t="shared" si="11"/>
        <v>0</v>
      </c>
      <c r="J52" s="90">
        <f t="shared" si="11"/>
        <v>0</v>
      </c>
      <c r="K52" s="90">
        <f t="shared" si="11"/>
        <v>0</v>
      </c>
      <c r="L52" s="90">
        <f t="shared" si="11"/>
        <v>0</v>
      </c>
      <c r="M52" s="90">
        <f t="shared" si="11"/>
        <v>0</v>
      </c>
      <c r="N52" s="90">
        <f t="shared" si="11"/>
        <v>0</v>
      </c>
      <c r="O52" s="90">
        <f t="shared" si="11"/>
        <v>0</v>
      </c>
      <c r="P52" s="90">
        <f t="shared" si="7"/>
        <v>0</v>
      </c>
      <c r="R52" s="146"/>
    </row>
    <row r="53" spans="1:19" x14ac:dyDescent="0.25">
      <c r="B53" s="82" t="s">
        <v>317</v>
      </c>
      <c r="C53" s="80" t="s">
        <v>327</v>
      </c>
      <c r="D53" s="90">
        <f t="shared" ref="D53:O53" si="12">SUMIFS($Q$6:$Q$44,$L$6:$L$44,D47,$I$6:$I$44,$B$53)</f>
        <v>247.29999999999998</v>
      </c>
      <c r="E53" s="90">
        <f t="shared" si="12"/>
        <v>20.29</v>
      </c>
      <c r="F53" s="90">
        <f t="shared" si="12"/>
        <v>0</v>
      </c>
      <c r="G53" s="90">
        <f t="shared" si="12"/>
        <v>137</v>
      </c>
      <c r="H53" s="90">
        <f t="shared" si="12"/>
        <v>1202.48</v>
      </c>
      <c r="I53" s="90">
        <f t="shared" si="12"/>
        <v>78</v>
      </c>
      <c r="J53" s="90">
        <f t="shared" si="12"/>
        <v>0</v>
      </c>
      <c r="K53" s="90">
        <f t="shared" si="12"/>
        <v>90</v>
      </c>
      <c r="L53" s="90">
        <f t="shared" si="12"/>
        <v>500</v>
      </c>
      <c r="M53" s="90">
        <f t="shared" si="12"/>
        <v>2000</v>
      </c>
      <c r="N53" s="90">
        <f t="shared" si="12"/>
        <v>0</v>
      </c>
      <c r="O53" s="90">
        <f t="shared" si="12"/>
        <v>4000</v>
      </c>
      <c r="P53" s="91">
        <f t="shared" si="7"/>
        <v>8275.07</v>
      </c>
      <c r="R53" s="146"/>
    </row>
    <row r="54" spans="1:19" x14ac:dyDescent="0.25">
      <c r="B54" s="82" t="s">
        <v>318</v>
      </c>
      <c r="C54" s="80" t="s">
        <v>328</v>
      </c>
      <c r="D54" s="90">
        <f t="shared" ref="D54:O54" si="13">SUMIFS($Q$6:$Q$44,$L$6:$L$44,D47,$I$6:$I$44,$B$54)</f>
        <v>0</v>
      </c>
      <c r="E54" s="90">
        <f t="shared" si="13"/>
        <v>0</v>
      </c>
      <c r="F54" s="90">
        <f t="shared" si="13"/>
        <v>0</v>
      </c>
      <c r="G54" s="90">
        <f t="shared" si="13"/>
        <v>0</v>
      </c>
      <c r="H54" s="90">
        <f t="shared" si="13"/>
        <v>0</v>
      </c>
      <c r="I54" s="90">
        <f t="shared" si="13"/>
        <v>0</v>
      </c>
      <c r="J54" s="90">
        <f t="shared" si="13"/>
        <v>0</v>
      </c>
      <c r="K54" s="90">
        <f t="shared" si="13"/>
        <v>399.48</v>
      </c>
      <c r="L54" s="90">
        <f t="shared" si="13"/>
        <v>0</v>
      </c>
      <c r="M54" s="90">
        <f t="shared" si="13"/>
        <v>200</v>
      </c>
      <c r="N54" s="90">
        <f t="shared" si="13"/>
        <v>200</v>
      </c>
      <c r="O54" s="90">
        <f t="shared" si="13"/>
        <v>200</v>
      </c>
      <c r="P54" s="91">
        <f t="shared" si="7"/>
        <v>999.48</v>
      </c>
      <c r="R54" s="146"/>
    </row>
    <row r="55" spans="1:19" s="37" customFormat="1" x14ac:dyDescent="0.25">
      <c r="A55" s="43"/>
      <c r="B55" s="48" t="s">
        <v>223</v>
      </c>
      <c r="C55" s="92"/>
      <c r="D55" s="93">
        <f t="shared" ref="D55:P55" si="14">SUM(D48:D54)</f>
        <v>10036.309999999998</v>
      </c>
      <c r="E55" s="93">
        <f t="shared" si="14"/>
        <v>704.28</v>
      </c>
      <c r="F55" s="93">
        <f t="shared" si="14"/>
        <v>13632.049999999997</v>
      </c>
      <c r="G55" s="93">
        <f t="shared" si="14"/>
        <v>137</v>
      </c>
      <c r="H55" s="93">
        <f t="shared" si="14"/>
        <v>1202.48</v>
      </c>
      <c r="I55" s="93">
        <f t="shared" si="14"/>
        <v>13930</v>
      </c>
      <c r="J55" s="93">
        <f t="shared" si="14"/>
        <v>26289.64</v>
      </c>
      <c r="K55" s="93">
        <f t="shared" si="14"/>
        <v>489.48</v>
      </c>
      <c r="L55" s="93">
        <f t="shared" si="14"/>
        <v>3504</v>
      </c>
      <c r="M55" s="93">
        <f t="shared" si="14"/>
        <v>2200</v>
      </c>
      <c r="N55" s="93">
        <f t="shared" si="14"/>
        <v>15251.14</v>
      </c>
      <c r="O55" s="93">
        <f t="shared" si="14"/>
        <v>4200</v>
      </c>
      <c r="P55" s="93">
        <f t="shared" si="14"/>
        <v>91576.37999999999</v>
      </c>
      <c r="Q55" s="43"/>
      <c r="R55" s="146"/>
      <c r="S55" s="43"/>
    </row>
    <row r="56" spans="1:19" x14ac:dyDescent="0.25">
      <c r="R56" s="146"/>
    </row>
  </sheetData>
  <autoFilter ref="B5:R44" xr:uid="{BE397AE5-9E69-443D-B8D5-69591E97B123}">
    <filterColumn colId="1" showButton="0"/>
    <filterColumn colId="3" showButton="0"/>
  </autoFilter>
  <mergeCells count="72">
    <mergeCell ref="C44:D44"/>
    <mergeCell ref="E44:F44"/>
    <mergeCell ref="B47:C47"/>
    <mergeCell ref="C38:D38"/>
    <mergeCell ref="E38:F38"/>
    <mergeCell ref="C35:D35"/>
    <mergeCell ref="E35:F35"/>
    <mergeCell ref="C36:D36"/>
    <mergeCell ref="E36:F36"/>
    <mergeCell ref="C37:D37"/>
    <mergeCell ref="E37:F37"/>
    <mergeCell ref="C32:D32"/>
    <mergeCell ref="E32:F32"/>
    <mergeCell ref="C33:D33"/>
    <mergeCell ref="E33:F33"/>
    <mergeCell ref="C34:D34"/>
    <mergeCell ref="E34:F34"/>
    <mergeCell ref="C29:D29"/>
    <mergeCell ref="E29:F29"/>
    <mergeCell ref="C30:D30"/>
    <mergeCell ref="E30:F30"/>
    <mergeCell ref="C31:D31"/>
    <mergeCell ref="E31:F31"/>
    <mergeCell ref="C26:D26"/>
    <mergeCell ref="E26:F26"/>
    <mergeCell ref="C27:D27"/>
    <mergeCell ref="E27:F27"/>
    <mergeCell ref="C28:D28"/>
    <mergeCell ref="E28:F28"/>
    <mergeCell ref="C23:D23"/>
    <mergeCell ref="E23:F23"/>
    <mergeCell ref="C24:D24"/>
    <mergeCell ref="E24:F24"/>
    <mergeCell ref="C25:D25"/>
    <mergeCell ref="E25:F25"/>
    <mergeCell ref="C20:D20"/>
    <mergeCell ref="E20:F20"/>
    <mergeCell ref="C21:D21"/>
    <mergeCell ref="E21:F21"/>
    <mergeCell ref="C22:D22"/>
    <mergeCell ref="E22:F22"/>
    <mergeCell ref="C17:D17"/>
    <mergeCell ref="E17:F17"/>
    <mergeCell ref="C18:D18"/>
    <mergeCell ref="E18:F18"/>
    <mergeCell ref="C19:D19"/>
    <mergeCell ref="E19:F19"/>
    <mergeCell ref="C14:D14"/>
    <mergeCell ref="E14:F14"/>
    <mergeCell ref="C15:D15"/>
    <mergeCell ref="E15:F15"/>
    <mergeCell ref="C16:D16"/>
    <mergeCell ref="E16:F16"/>
    <mergeCell ref="C11:D11"/>
    <mergeCell ref="E11:F11"/>
    <mergeCell ref="C12:D12"/>
    <mergeCell ref="E12:F12"/>
    <mergeCell ref="C13:D13"/>
    <mergeCell ref="E13:F13"/>
    <mergeCell ref="C8:D8"/>
    <mergeCell ref="E8:F8"/>
    <mergeCell ref="C9:D9"/>
    <mergeCell ref="E9:F9"/>
    <mergeCell ref="C10:D10"/>
    <mergeCell ref="E10:F10"/>
    <mergeCell ref="B1:R1"/>
    <mergeCell ref="C5:D5"/>
    <mergeCell ref="E5:F5"/>
    <mergeCell ref="C6:D6"/>
    <mergeCell ref="E6:F6"/>
    <mergeCell ref="C7:D7"/>
    <mergeCell ref="E7:F7"/>
  </mergeCells>
  <dataValidations count="1">
    <dataValidation type="list" allowBlank="1" showInputMessage="1" showErrorMessage="1" prompt="Select City and Airfare will be extracted accordingly" sqref="H45" xr:uid="{558B2776-77CC-4B7A-9E1F-F4D3FAFF57B9}">
      <formula1>CITY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EE0C4AE-D221-453F-89D3-25A9ED785F39}">
          <x14:formula1>
            <xm:f>'Air Fare - 2024'!$A$2:$A$34</xm:f>
          </x14:formula1>
          <xm:sqref>H6:H44</xm:sqref>
        </x14:dataValidation>
        <x14:dataValidation type="list" allowBlank="1" showInputMessage="1" showErrorMessage="1" xr:uid="{9307AAF2-1B9B-45E7-8B46-59B5F9A333DA}">
          <x14:formula1>
            <xm:f>'Data '!$N$2:$N$7</xm:f>
          </x14:formula1>
          <xm:sqref>I6:I44</xm:sqref>
        </x14:dataValidation>
        <x14:dataValidation type="list" allowBlank="1" showInputMessage="1" showErrorMessage="1" xr:uid="{062D7E02-3A4C-4DA8-839B-6536568A5DB2}">
          <x14:formula1>
            <xm:f>'Data '!$J$2:$J$13</xm:f>
          </x14:formula1>
          <xm:sqref>L6:L44</xm:sqref>
        </x14:dataValidation>
        <x14:dataValidation type="list" allowBlank="1" showInputMessage="1" showErrorMessage="1" xr:uid="{82B5BBD0-AA4B-4950-9246-E638641BEB53}">
          <x14:formula1>
            <xm:f>'Data '!$F$2:$F$38</xm:f>
          </x14:formula1>
          <xm:sqref>D2</xm:sqref>
        </x14:dataValidation>
        <x14:dataValidation type="list" allowBlank="1" showInputMessage="1" showErrorMessage="1" xr:uid="{4DCB6286-E635-433C-A019-C9178AB630DA}">
          <x14:formula1>
            <xm:f>'Data '!$N$3:$N$6</xm:f>
          </x14:formula1>
          <xm:sqref>I5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575F-B981-4232-A1C1-0C5D87C61F3D}">
  <dimension ref="B1:P10"/>
  <sheetViews>
    <sheetView workbookViewId="0">
      <pane ySplit="6" topLeftCell="A7" activePane="bottomLeft" state="frozen"/>
      <selection activeCell="E17" sqref="E17:F17"/>
      <selection pane="bottomLeft" activeCell="E17" sqref="E17:F17"/>
    </sheetView>
  </sheetViews>
  <sheetFormatPr defaultRowHeight="15" x14ac:dyDescent="0.25"/>
  <cols>
    <col min="1" max="1" width="9.140625" style="43"/>
    <col min="2" max="2" width="27.140625" style="43" bestFit="1" customWidth="1"/>
    <col min="3" max="3" width="11.28515625" style="43" bestFit="1" customWidth="1"/>
    <col min="4" max="4" width="7" style="43" bestFit="1" customWidth="1"/>
    <col min="5" max="6" width="7.42578125" style="43" bestFit="1" customWidth="1"/>
    <col min="7" max="7" width="7.140625" style="43" bestFit="1" customWidth="1"/>
    <col min="8" max="8" width="7.7109375" style="43" bestFit="1" customWidth="1"/>
    <col min="9" max="9" width="7.140625" style="43" bestFit="1" customWidth="1"/>
    <col min="10" max="10" width="6.5703125" style="43" bestFit="1" customWidth="1"/>
    <col min="11" max="11" width="7.42578125" style="43" bestFit="1" customWidth="1"/>
    <col min="12" max="12" width="7.5703125" style="43" bestFit="1" customWidth="1"/>
    <col min="13" max="13" width="7.28515625" style="43" bestFit="1" customWidth="1"/>
    <col min="14" max="15" width="7.7109375" style="43" bestFit="1" customWidth="1"/>
    <col min="16" max="17" width="8.85546875" style="43" bestFit="1" customWidth="1"/>
    <col min="18" max="18" width="15.28515625" style="43" bestFit="1" customWidth="1"/>
    <col min="19" max="16384" width="9.140625" style="43"/>
  </cols>
  <sheetData>
    <row r="1" spans="2:16" s="13" customFormat="1" ht="45.75" customHeight="1" x14ac:dyDescent="0.25">
      <c r="B1" s="172" t="s">
        <v>185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</row>
    <row r="2" spans="2:16" s="13" customFormat="1" ht="31.5" customHeight="1" x14ac:dyDescent="0.25">
      <c r="B2" s="17" t="s">
        <v>73</v>
      </c>
      <c r="C2" s="17" t="str">
        <f>Summary!B4</f>
        <v>14790070-SGP Coffee NDU</v>
      </c>
      <c r="D2" s="17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2:16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2:16" x14ac:dyDescent="0.25">
      <c r="B4" s="43" t="s">
        <v>302</v>
      </c>
      <c r="C4" s="44">
        <v>14790070</v>
      </c>
    </row>
    <row r="6" spans="2:16" x14ac:dyDescent="0.25">
      <c r="B6"/>
      <c r="C6" t="s">
        <v>305</v>
      </c>
      <c r="D6" t="s">
        <v>306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  <c r="N6" t="s">
        <v>348</v>
      </c>
      <c r="O6" t="s">
        <v>349</v>
      </c>
      <c r="P6" t="s">
        <v>350</v>
      </c>
    </row>
    <row r="7" spans="2:16" x14ac:dyDescent="0.25">
      <c r="B7" t="s">
        <v>303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  <row r="8" spans="2:16" x14ac:dyDescent="0.25">
      <c r="B8" t="s">
        <v>385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2:16" x14ac:dyDescent="0.25">
      <c r="B9" t="s">
        <v>386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2:16" x14ac:dyDescent="0.25">
      <c r="B10" t="s">
        <v>304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</row>
  </sheetData>
  <mergeCells count="1">
    <mergeCell ref="B1:P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B9FA51-F77D-492F-A513-59AFE3CDFD1F}">
          <x14:formula1>
            <xm:f>'Data '!$F$2:$F$38</xm:f>
          </x14:formula1>
          <xm:sqref>C2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93AF-F6C9-49F3-8F6C-C74A1DC0051D}">
  <dimension ref="A1:I1048572"/>
  <sheetViews>
    <sheetView workbookViewId="0">
      <selection activeCell="H12" sqref="H12"/>
    </sheetView>
  </sheetViews>
  <sheetFormatPr defaultRowHeight="15" zeroHeight="1" x14ac:dyDescent="0.25"/>
  <cols>
    <col min="1" max="1" width="16.5703125" bestFit="1" customWidth="1"/>
    <col min="2" max="2" width="22.42578125" bestFit="1" customWidth="1"/>
    <col min="3" max="3" width="26.42578125" bestFit="1" customWidth="1"/>
    <col min="4" max="4" width="12.42578125" bestFit="1" customWidth="1"/>
    <col min="6" max="6" width="12.140625" style="39" customWidth="1"/>
    <col min="7" max="7" width="12.42578125" style="39" customWidth="1"/>
    <col min="8" max="9" width="17.5703125" style="39" customWidth="1"/>
  </cols>
  <sheetData>
    <row r="1" spans="1:9" x14ac:dyDescent="0.25">
      <c r="A1" s="37" t="s">
        <v>225</v>
      </c>
      <c r="B1" s="37" t="s">
        <v>226</v>
      </c>
      <c r="C1" s="37" t="s">
        <v>227</v>
      </c>
      <c r="D1" s="37" t="s">
        <v>228</v>
      </c>
      <c r="E1" s="37" t="s">
        <v>229</v>
      </c>
      <c r="F1" s="38" t="s">
        <v>230</v>
      </c>
      <c r="G1" s="38" t="s">
        <v>231</v>
      </c>
      <c r="H1" s="38" t="s">
        <v>232</v>
      </c>
      <c r="I1" s="38" t="s">
        <v>233</v>
      </c>
    </row>
    <row r="2" spans="1:9" x14ac:dyDescent="0.25">
      <c r="A2" t="s">
        <v>234</v>
      </c>
      <c r="B2" t="s">
        <v>235</v>
      </c>
      <c r="C2" t="s">
        <v>236</v>
      </c>
      <c r="D2" t="s">
        <v>237</v>
      </c>
      <c r="E2" t="s">
        <v>238</v>
      </c>
      <c r="F2" s="39">
        <v>7220</v>
      </c>
      <c r="G2" s="39">
        <v>142</v>
      </c>
      <c r="H2" s="39">
        <v>63</v>
      </c>
      <c r="I2" s="39">
        <f t="shared" ref="I2:I34" si="0">SUM(F2:H2)</f>
        <v>7425</v>
      </c>
    </row>
    <row r="3" spans="1:9" x14ac:dyDescent="0.25">
      <c r="A3" t="s">
        <v>239</v>
      </c>
      <c r="B3" t="s">
        <v>240</v>
      </c>
      <c r="C3" t="s">
        <v>241</v>
      </c>
      <c r="D3" t="s">
        <v>242</v>
      </c>
      <c r="E3" t="s">
        <v>243</v>
      </c>
      <c r="F3" s="39">
        <v>310</v>
      </c>
      <c r="G3" s="39">
        <v>0</v>
      </c>
      <c r="H3" s="39">
        <v>50</v>
      </c>
      <c r="I3" s="39">
        <f t="shared" si="0"/>
        <v>360</v>
      </c>
    </row>
    <row r="4" spans="1:9" x14ac:dyDescent="0.25">
      <c r="A4" t="s">
        <v>244</v>
      </c>
      <c r="B4" t="s">
        <v>245</v>
      </c>
      <c r="C4" t="s">
        <v>236</v>
      </c>
      <c r="D4" t="s">
        <v>237</v>
      </c>
      <c r="E4" t="s">
        <v>238</v>
      </c>
      <c r="F4" s="39">
        <v>5600</v>
      </c>
      <c r="G4" s="39">
        <v>0</v>
      </c>
      <c r="H4" s="39">
        <v>46</v>
      </c>
      <c r="I4" s="39">
        <f t="shared" si="0"/>
        <v>5646</v>
      </c>
    </row>
    <row r="5" spans="1:9" x14ac:dyDescent="0.25">
      <c r="A5" t="s">
        <v>246</v>
      </c>
      <c r="B5" t="s">
        <v>247</v>
      </c>
      <c r="C5" t="s">
        <v>236</v>
      </c>
      <c r="D5" t="s">
        <v>237</v>
      </c>
      <c r="E5" t="s">
        <v>238</v>
      </c>
      <c r="F5" s="39">
        <v>7400</v>
      </c>
      <c r="G5" s="39">
        <v>0</v>
      </c>
      <c r="H5" s="39">
        <v>63</v>
      </c>
      <c r="I5" s="39">
        <f t="shared" si="0"/>
        <v>7463</v>
      </c>
    </row>
    <row r="6" spans="1:9" x14ac:dyDescent="0.25">
      <c r="A6" t="s">
        <v>248</v>
      </c>
      <c r="B6" t="s">
        <v>249</v>
      </c>
      <c r="C6" t="s">
        <v>236</v>
      </c>
      <c r="D6" t="s">
        <v>242</v>
      </c>
      <c r="E6" t="s">
        <v>243</v>
      </c>
      <c r="F6" s="39">
        <v>2000</v>
      </c>
      <c r="H6" s="39">
        <v>46</v>
      </c>
      <c r="I6" s="39">
        <f t="shared" si="0"/>
        <v>2046</v>
      </c>
    </row>
    <row r="7" spans="1:9" x14ac:dyDescent="0.25">
      <c r="A7" t="s">
        <v>250</v>
      </c>
      <c r="B7" t="s">
        <v>249</v>
      </c>
      <c r="C7" t="s">
        <v>236</v>
      </c>
      <c r="D7" t="s">
        <v>237</v>
      </c>
      <c r="E7" t="s">
        <v>238</v>
      </c>
      <c r="F7" s="39">
        <v>3320</v>
      </c>
      <c r="G7" s="39">
        <v>92.1</v>
      </c>
      <c r="H7" s="39">
        <v>46</v>
      </c>
      <c r="I7" s="39">
        <f t="shared" si="0"/>
        <v>3458.1</v>
      </c>
    </row>
    <row r="8" spans="1:9" x14ac:dyDescent="0.25">
      <c r="A8" t="s">
        <v>251</v>
      </c>
      <c r="B8" t="s">
        <v>252</v>
      </c>
      <c r="C8" t="s">
        <v>253</v>
      </c>
      <c r="D8" t="s">
        <v>237</v>
      </c>
      <c r="E8" t="s">
        <v>238</v>
      </c>
      <c r="F8" s="39">
        <v>7878</v>
      </c>
      <c r="G8" s="39">
        <v>818.6</v>
      </c>
      <c r="H8" s="39">
        <v>63</v>
      </c>
      <c r="I8" s="39">
        <f t="shared" si="0"/>
        <v>8759.6</v>
      </c>
    </row>
    <row r="9" spans="1:9" x14ac:dyDescent="0.25">
      <c r="A9" t="s">
        <v>254</v>
      </c>
      <c r="B9" t="s">
        <v>255</v>
      </c>
      <c r="C9" t="s">
        <v>236</v>
      </c>
      <c r="D9" t="s">
        <v>237</v>
      </c>
      <c r="E9" t="s">
        <v>238</v>
      </c>
      <c r="F9" s="39">
        <v>3000</v>
      </c>
      <c r="G9" s="39">
        <v>0</v>
      </c>
      <c r="H9" s="39">
        <v>63</v>
      </c>
      <c r="I9" s="39">
        <f t="shared" si="0"/>
        <v>3063</v>
      </c>
    </row>
    <row r="10" spans="1:9" x14ac:dyDescent="0.25">
      <c r="A10" t="s">
        <v>256</v>
      </c>
      <c r="B10" t="s">
        <v>257</v>
      </c>
      <c r="C10" t="s">
        <v>258</v>
      </c>
      <c r="D10" t="s">
        <v>237</v>
      </c>
      <c r="E10" t="s">
        <v>238</v>
      </c>
      <c r="F10" s="39">
        <v>7249</v>
      </c>
      <c r="G10" s="39">
        <v>1005.5</v>
      </c>
      <c r="H10" s="39">
        <v>63</v>
      </c>
      <c r="I10" s="39">
        <f t="shared" si="0"/>
        <v>8317.5</v>
      </c>
    </row>
    <row r="11" spans="1:9" x14ac:dyDescent="0.25">
      <c r="A11" t="s">
        <v>259</v>
      </c>
      <c r="B11" t="s">
        <v>260</v>
      </c>
      <c r="C11" t="s">
        <v>261</v>
      </c>
      <c r="D11" t="s">
        <v>237</v>
      </c>
      <c r="E11" t="s">
        <v>238</v>
      </c>
      <c r="F11" s="39">
        <v>10993.3</v>
      </c>
      <c r="G11" s="39">
        <v>0</v>
      </c>
      <c r="H11" s="39">
        <v>0</v>
      </c>
      <c r="I11" s="39">
        <f t="shared" si="0"/>
        <v>10993.3</v>
      </c>
    </row>
    <row r="12" spans="1:9" x14ac:dyDescent="0.25">
      <c r="A12" t="s">
        <v>262</v>
      </c>
      <c r="B12" t="s">
        <v>245</v>
      </c>
      <c r="C12" t="s">
        <v>236</v>
      </c>
      <c r="D12" t="s">
        <v>242</v>
      </c>
      <c r="E12" t="s">
        <v>243</v>
      </c>
      <c r="F12" s="39">
        <v>2500</v>
      </c>
      <c r="G12" s="39">
        <v>0</v>
      </c>
      <c r="H12" s="39">
        <v>46</v>
      </c>
      <c r="I12" s="39">
        <f t="shared" si="0"/>
        <v>2546</v>
      </c>
    </row>
    <row r="13" spans="1:9" x14ac:dyDescent="0.25">
      <c r="A13" t="s">
        <v>263</v>
      </c>
      <c r="B13" t="s">
        <v>264</v>
      </c>
      <c r="C13" t="s">
        <v>241</v>
      </c>
      <c r="D13" t="s">
        <v>242</v>
      </c>
      <c r="E13" t="s">
        <v>243</v>
      </c>
      <c r="F13" s="39">
        <v>400</v>
      </c>
      <c r="G13" s="39">
        <v>0</v>
      </c>
      <c r="H13" s="39">
        <v>45</v>
      </c>
      <c r="I13" s="39">
        <f>SUM(F13:H13)</f>
        <v>445</v>
      </c>
    </row>
    <row r="14" spans="1:9" x14ac:dyDescent="0.25">
      <c r="A14" t="s">
        <v>265</v>
      </c>
      <c r="B14" t="s">
        <v>265</v>
      </c>
      <c r="C14" t="s">
        <v>236</v>
      </c>
      <c r="D14" t="s">
        <v>237</v>
      </c>
      <c r="E14" t="s">
        <v>238</v>
      </c>
      <c r="F14" s="39">
        <v>2688</v>
      </c>
      <c r="G14" s="39">
        <v>126.9</v>
      </c>
      <c r="H14" s="39">
        <v>46</v>
      </c>
      <c r="I14" s="39">
        <f t="shared" si="0"/>
        <v>2860.9</v>
      </c>
    </row>
    <row r="15" spans="1:9" x14ac:dyDescent="0.25">
      <c r="A15" t="s">
        <v>266</v>
      </c>
      <c r="B15" t="s">
        <v>267</v>
      </c>
      <c r="C15" t="s">
        <v>268</v>
      </c>
      <c r="D15" t="s">
        <v>237</v>
      </c>
      <c r="E15" t="s">
        <v>238</v>
      </c>
      <c r="F15" s="39">
        <v>7000</v>
      </c>
      <c r="G15" s="39">
        <v>599.5</v>
      </c>
      <c r="H15" s="39">
        <v>63</v>
      </c>
      <c r="I15" s="39">
        <f t="shared" si="0"/>
        <v>7662.5</v>
      </c>
    </row>
    <row r="16" spans="1:9" x14ac:dyDescent="0.25">
      <c r="A16" t="s">
        <v>269</v>
      </c>
      <c r="B16" t="s">
        <v>270</v>
      </c>
      <c r="C16" t="s">
        <v>236</v>
      </c>
      <c r="D16" t="s">
        <v>242</v>
      </c>
      <c r="E16" t="s">
        <v>243</v>
      </c>
      <c r="F16" s="39">
        <v>500</v>
      </c>
      <c r="G16" s="39">
        <v>0</v>
      </c>
      <c r="H16" s="39">
        <v>50</v>
      </c>
      <c r="I16" s="39">
        <f t="shared" si="0"/>
        <v>550</v>
      </c>
    </row>
    <row r="17" spans="1:9" x14ac:dyDescent="0.25">
      <c r="A17" t="s">
        <v>271</v>
      </c>
      <c r="B17" t="s">
        <v>272</v>
      </c>
      <c r="C17" t="s">
        <v>236</v>
      </c>
      <c r="D17" t="s">
        <v>237</v>
      </c>
      <c r="E17" t="s">
        <v>238</v>
      </c>
      <c r="F17" s="39">
        <v>8000</v>
      </c>
      <c r="G17" s="39">
        <v>113.1</v>
      </c>
      <c r="H17" s="39">
        <v>63</v>
      </c>
      <c r="I17" s="39">
        <f t="shared" si="0"/>
        <v>8176.1</v>
      </c>
    </row>
    <row r="18" spans="1:9" x14ac:dyDescent="0.25">
      <c r="A18" t="s">
        <v>273</v>
      </c>
      <c r="B18" t="s">
        <v>274</v>
      </c>
      <c r="C18" t="s">
        <v>241</v>
      </c>
      <c r="D18" t="s">
        <v>242</v>
      </c>
      <c r="E18" t="s">
        <v>243</v>
      </c>
      <c r="F18" s="39">
        <v>300</v>
      </c>
      <c r="G18" s="39">
        <v>0</v>
      </c>
      <c r="H18" s="39">
        <v>50</v>
      </c>
      <c r="I18" s="39">
        <f t="shared" si="0"/>
        <v>350</v>
      </c>
    </row>
    <row r="19" spans="1:9" x14ac:dyDescent="0.25">
      <c r="A19" t="s">
        <v>275</v>
      </c>
      <c r="B19" t="s">
        <v>276</v>
      </c>
      <c r="C19" t="s">
        <v>277</v>
      </c>
      <c r="D19" t="s">
        <v>237</v>
      </c>
      <c r="E19" t="s">
        <v>238</v>
      </c>
      <c r="F19" s="39">
        <v>6469</v>
      </c>
      <c r="G19" s="39">
        <v>1101.2</v>
      </c>
      <c r="H19" s="39">
        <v>63</v>
      </c>
      <c r="I19" s="39">
        <f t="shared" si="0"/>
        <v>7633.2</v>
      </c>
    </row>
    <row r="20" spans="1:9" x14ac:dyDescent="0.25">
      <c r="A20" t="s">
        <v>278</v>
      </c>
      <c r="B20" t="s">
        <v>279</v>
      </c>
      <c r="C20" t="s">
        <v>236</v>
      </c>
      <c r="D20" t="s">
        <v>237</v>
      </c>
      <c r="E20" t="s">
        <v>238</v>
      </c>
      <c r="F20" s="39">
        <v>9500</v>
      </c>
      <c r="G20" s="39">
        <v>0</v>
      </c>
      <c r="H20" s="39">
        <v>63</v>
      </c>
      <c r="I20" s="39">
        <f t="shared" si="0"/>
        <v>9563</v>
      </c>
    </row>
    <row r="21" spans="1:9" x14ac:dyDescent="0.25">
      <c r="A21" t="s">
        <v>280</v>
      </c>
      <c r="B21" t="s">
        <v>276</v>
      </c>
      <c r="C21" t="s">
        <v>236</v>
      </c>
      <c r="D21" t="s">
        <v>237</v>
      </c>
      <c r="E21" t="s">
        <v>238</v>
      </c>
      <c r="F21" s="39">
        <v>9275</v>
      </c>
      <c r="G21" s="39">
        <v>454.6</v>
      </c>
      <c r="H21" s="39">
        <v>63</v>
      </c>
      <c r="I21" s="39">
        <f t="shared" si="0"/>
        <v>9792.6</v>
      </c>
    </row>
    <row r="22" spans="1:9" x14ac:dyDescent="0.25">
      <c r="A22" t="s">
        <v>281</v>
      </c>
      <c r="B22" t="s">
        <v>282</v>
      </c>
      <c r="C22" t="s">
        <v>282</v>
      </c>
      <c r="D22" t="s">
        <v>242</v>
      </c>
      <c r="E22" t="s">
        <v>243</v>
      </c>
      <c r="F22" s="39">
        <v>500</v>
      </c>
      <c r="G22" s="39">
        <v>0</v>
      </c>
      <c r="H22" s="39">
        <v>45</v>
      </c>
      <c r="I22" s="39">
        <f>SUM(F22:H22)</f>
        <v>545</v>
      </c>
    </row>
    <row r="23" spans="1:9" x14ac:dyDescent="0.25">
      <c r="A23" t="s">
        <v>283</v>
      </c>
      <c r="B23" t="s">
        <v>247</v>
      </c>
      <c r="C23" t="s">
        <v>236</v>
      </c>
      <c r="D23" t="s">
        <v>237</v>
      </c>
      <c r="E23" t="s">
        <v>238</v>
      </c>
      <c r="F23" s="39">
        <v>5492</v>
      </c>
      <c r="G23" s="39">
        <v>202.7</v>
      </c>
      <c r="H23" s="39">
        <v>63</v>
      </c>
      <c r="I23" s="39">
        <f t="shared" si="0"/>
        <v>5757.7</v>
      </c>
    </row>
    <row r="24" spans="1:9" x14ac:dyDescent="0.25">
      <c r="A24" t="s">
        <v>284</v>
      </c>
      <c r="B24" t="s">
        <v>285</v>
      </c>
      <c r="C24" t="s">
        <v>286</v>
      </c>
      <c r="D24" t="s">
        <v>237</v>
      </c>
      <c r="E24" t="s">
        <v>238</v>
      </c>
      <c r="F24" s="39">
        <v>8842</v>
      </c>
      <c r="G24" s="39">
        <v>753.3</v>
      </c>
      <c r="H24" s="39">
        <v>63</v>
      </c>
      <c r="I24" s="39">
        <f t="shared" si="0"/>
        <v>9658.2999999999993</v>
      </c>
    </row>
    <row r="25" spans="1:9" x14ac:dyDescent="0.25">
      <c r="A25" t="s">
        <v>287</v>
      </c>
      <c r="B25" t="s">
        <v>247</v>
      </c>
      <c r="C25" t="s">
        <v>236</v>
      </c>
      <c r="D25" t="s">
        <v>242</v>
      </c>
      <c r="E25" t="s">
        <v>243</v>
      </c>
      <c r="F25" s="39">
        <v>2038</v>
      </c>
      <c r="G25" s="39">
        <v>218.3</v>
      </c>
      <c r="H25" s="39">
        <v>63</v>
      </c>
      <c r="I25" s="39">
        <f t="shared" si="0"/>
        <v>2319.3000000000002</v>
      </c>
    </row>
    <row r="26" spans="1:9" x14ac:dyDescent="0.25">
      <c r="A26" t="s">
        <v>288</v>
      </c>
      <c r="B26" t="s">
        <v>245</v>
      </c>
      <c r="C26" t="s">
        <v>289</v>
      </c>
      <c r="D26" t="s">
        <v>242</v>
      </c>
      <c r="E26" t="s">
        <v>243</v>
      </c>
      <c r="F26" s="39">
        <v>3844</v>
      </c>
      <c r="G26" s="39">
        <v>273.89999999999998</v>
      </c>
      <c r="H26" s="39">
        <v>46</v>
      </c>
      <c r="I26" s="39">
        <f t="shared" si="0"/>
        <v>4163.8999999999996</v>
      </c>
    </row>
    <row r="27" spans="1:9" x14ac:dyDescent="0.25">
      <c r="A27" t="s">
        <v>290</v>
      </c>
      <c r="B27" t="s">
        <v>245</v>
      </c>
      <c r="C27" t="s">
        <v>236</v>
      </c>
      <c r="D27" t="s">
        <v>237</v>
      </c>
      <c r="E27" t="s">
        <v>238</v>
      </c>
      <c r="F27" s="39">
        <v>5528</v>
      </c>
      <c r="G27" s="39">
        <v>92.5</v>
      </c>
      <c r="H27" s="39">
        <v>46</v>
      </c>
      <c r="I27" s="39">
        <f t="shared" si="0"/>
        <v>5666.5</v>
      </c>
    </row>
    <row r="28" spans="1:9" x14ac:dyDescent="0.25">
      <c r="A28" t="s">
        <v>291</v>
      </c>
      <c r="B28" t="s">
        <v>270</v>
      </c>
      <c r="C28" t="s">
        <v>236</v>
      </c>
      <c r="D28" t="s">
        <v>242</v>
      </c>
      <c r="E28" t="s">
        <v>243</v>
      </c>
      <c r="F28" s="39">
        <v>850</v>
      </c>
      <c r="G28" s="39">
        <v>0</v>
      </c>
      <c r="H28" s="39">
        <v>50</v>
      </c>
      <c r="I28" s="39">
        <f t="shared" si="0"/>
        <v>900</v>
      </c>
    </row>
    <row r="29" spans="1:9" x14ac:dyDescent="0.25">
      <c r="A29" t="s">
        <v>292</v>
      </c>
      <c r="B29" t="s">
        <v>247</v>
      </c>
      <c r="C29" t="s">
        <v>236</v>
      </c>
      <c r="D29" t="s">
        <v>237</v>
      </c>
      <c r="E29" t="s">
        <v>238</v>
      </c>
      <c r="F29" s="39">
        <v>5491</v>
      </c>
      <c r="G29" s="39">
        <v>241.6</v>
      </c>
      <c r="H29" s="39">
        <v>63</v>
      </c>
      <c r="I29" s="39">
        <f t="shared" si="0"/>
        <v>5795.6</v>
      </c>
    </row>
    <row r="30" spans="1:9" x14ac:dyDescent="0.25">
      <c r="A30" t="s">
        <v>293</v>
      </c>
      <c r="B30" t="s">
        <v>294</v>
      </c>
      <c r="C30" t="s">
        <v>236</v>
      </c>
      <c r="D30" t="s">
        <v>242</v>
      </c>
      <c r="E30" t="s">
        <v>243</v>
      </c>
      <c r="F30" s="39">
        <v>1592</v>
      </c>
      <c r="G30" s="39">
        <v>92.9</v>
      </c>
      <c r="H30" s="39">
        <v>46</v>
      </c>
      <c r="I30" s="39">
        <f t="shared" si="0"/>
        <v>1730.9</v>
      </c>
    </row>
    <row r="31" spans="1:9" x14ac:dyDescent="0.25">
      <c r="A31" t="s">
        <v>295</v>
      </c>
      <c r="B31" t="s">
        <v>296</v>
      </c>
      <c r="C31" t="s">
        <v>236</v>
      </c>
      <c r="D31" t="s">
        <v>237</v>
      </c>
      <c r="E31" t="s">
        <v>238</v>
      </c>
      <c r="F31" s="39">
        <v>5323</v>
      </c>
      <c r="H31" s="39">
        <v>46</v>
      </c>
      <c r="I31" s="39">
        <f t="shared" si="0"/>
        <v>5369</v>
      </c>
    </row>
    <row r="32" spans="1:9" x14ac:dyDescent="0.25">
      <c r="A32" t="s">
        <v>297</v>
      </c>
      <c r="B32" t="s">
        <v>296</v>
      </c>
      <c r="C32" t="s">
        <v>236</v>
      </c>
      <c r="D32" t="s">
        <v>237</v>
      </c>
      <c r="E32" t="s">
        <v>238</v>
      </c>
      <c r="F32" s="39">
        <v>5156</v>
      </c>
      <c r="G32" s="39">
        <v>118.9</v>
      </c>
      <c r="H32" s="39">
        <v>46</v>
      </c>
      <c r="I32" s="39">
        <f t="shared" si="0"/>
        <v>5320.9</v>
      </c>
    </row>
    <row r="33" spans="1:9" x14ac:dyDescent="0.25">
      <c r="A33" t="s">
        <v>298</v>
      </c>
      <c r="B33" t="s">
        <v>260</v>
      </c>
      <c r="C33" t="s">
        <v>261</v>
      </c>
      <c r="D33" t="s">
        <v>237</v>
      </c>
      <c r="E33" t="s">
        <v>238</v>
      </c>
      <c r="F33" s="39">
        <v>7254</v>
      </c>
      <c r="G33" s="39">
        <v>893.9</v>
      </c>
      <c r="H33" s="39">
        <v>63</v>
      </c>
      <c r="I33" s="39">
        <f t="shared" si="0"/>
        <v>8210.9</v>
      </c>
    </row>
    <row r="34" spans="1:9" x14ac:dyDescent="0.25">
      <c r="A34" t="s">
        <v>299</v>
      </c>
      <c r="B34" t="s">
        <v>300</v>
      </c>
      <c r="C34" t="s">
        <v>301</v>
      </c>
      <c r="D34" t="s">
        <v>237</v>
      </c>
      <c r="E34" t="s">
        <v>238</v>
      </c>
      <c r="F34" s="39">
        <v>4600</v>
      </c>
      <c r="H34" s="39">
        <v>63</v>
      </c>
      <c r="I34" s="39">
        <f t="shared" si="0"/>
        <v>4663</v>
      </c>
    </row>
    <row r="1048572" spans="6:8" x14ac:dyDescent="0.25">
      <c r="F1048572" s="39">
        <f>SUM(F2:F1048571)</f>
        <v>158112.29999999999</v>
      </c>
      <c r="G1048572" s="39">
        <f>SUM(G2:G1048571)</f>
        <v>7341.4999999999991</v>
      </c>
      <c r="H1048572" s="39">
        <f>SUM(H2:H1048571)</f>
        <v>1758</v>
      </c>
    </row>
  </sheetData>
  <autoFilter ref="A1:J1048572" xr:uid="{95200465-D4C3-4E58-800B-85607E05D0F7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51521-1202-4089-88cd-2df99d1fbbe5">
      <Terms xmlns="http://schemas.microsoft.com/office/infopath/2007/PartnerControls"/>
    </lcf76f155ced4ddcb4097134ff3c332f>
    <TaxCatchAll xmlns="53bc20f8-8cc8-4e7c-a9cf-4309c466419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56DDF83D1AF542AF8681FDEF0525D1" ma:contentTypeVersion="17" ma:contentTypeDescription="Create a new document." ma:contentTypeScope="" ma:versionID="3fe4024ffa7c6ca50a12f580430a8610">
  <xsd:schema xmlns:xsd="http://www.w3.org/2001/XMLSchema" xmlns:xs="http://www.w3.org/2001/XMLSchema" xmlns:p="http://schemas.microsoft.com/office/2006/metadata/properties" xmlns:ns2="d0d51521-1202-4089-88cd-2df99d1fbbe5" xmlns:ns3="53bc20f8-8cc8-4e7c-a9cf-4309c466419f" targetNamespace="http://schemas.microsoft.com/office/2006/metadata/properties" ma:root="true" ma:fieldsID="e5d17d3a0cd33de20cf037d848e22c21" ns2:_="" ns3:_="">
    <xsd:import namespace="d0d51521-1202-4089-88cd-2df99d1fbbe5"/>
    <xsd:import namespace="53bc20f8-8cc8-4e7c-a9cf-4309c46641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51521-1202-4089-88cd-2df99d1fbb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3b4f369-e68d-40dc-b20e-bd2c7c5d9b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c20f8-8cc8-4e7c-a9cf-4309c466419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1d61b23-4f78-4896-b167-2f16d7580aa4}" ma:internalName="TaxCatchAll" ma:showField="CatchAllData" ma:web="53bc20f8-8cc8-4e7c-a9cf-4309c46641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C90E97-EE0D-4EE6-9EC1-E27FD455FB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1D8A1C-FA6C-4729-9291-3D77F7BC00B6}">
  <ds:schemaRefs>
    <ds:schemaRef ds:uri="http://schemas.microsoft.com/office/2006/metadata/properties"/>
    <ds:schemaRef ds:uri="http://schemas.microsoft.com/office/infopath/2007/PartnerControls"/>
    <ds:schemaRef ds:uri="706b092f-fc16-4f9e-a1ce-cc959e58e7a2"/>
    <ds:schemaRef ds:uri="ad8c07db-ddc3-4ed8-bcf0-cea6db8fb2ca"/>
    <ds:schemaRef ds:uri="d0d51521-1202-4089-88cd-2df99d1fbbe5"/>
    <ds:schemaRef ds:uri="53bc20f8-8cc8-4e7c-a9cf-4309c466419f"/>
  </ds:schemaRefs>
</ds:datastoreItem>
</file>

<file path=customXml/itemProps3.xml><?xml version="1.0" encoding="utf-8"?>
<ds:datastoreItem xmlns:ds="http://schemas.openxmlformats.org/officeDocument/2006/customXml" ds:itemID="{E8112077-EC72-4ECE-A240-5261CA5D4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51521-1202-4089-88cd-2df99d1fbbe5"/>
    <ds:schemaRef ds:uri="53bc20f8-8cc8-4e7c-a9cf-4309c46641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</vt:lpstr>
      <vt:lpstr>Summary</vt:lpstr>
      <vt:lpstr>TTM LE1</vt:lpstr>
      <vt:lpstr>TTM LE2</vt:lpstr>
      <vt:lpstr>TTM LE3</vt:lpstr>
      <vt:lpstr>FTE</vt:lpstr>
      <vt:lpstr>Air Fare - 2024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Wong,Joan,SG-Singapore R&amp;D</dc:creator>
  <cp:lastModifiedBy>Wong,Joan,SG-Singapore R&amp;D</cp:lastModifiedBy>
  <dcterms:created xsi:type="dcterms:W3CDTF">2025-01-13T08:04:24Z</dcterms:created>
  <dcterms:modified xsi:type="dcterms:W3CDTF">2025-01-16T08:25:49Z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0x0101005556DDF83D1AF542AF8681FDEF0525D1</vt:lpwstr>
  </property>
  <property fmtid="{D5CDD505-2E9C-101B-9397-08002B2CF9AE}" pid="3" name="MediaServiceImageTags">
    <vt:lpwstr/>
  </property>
</Properties>
</file>