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ll/Desktop/Bootcamp/Analysis Projects (Class Folder)/Crowdfunding Analysis/"/>
    </mc:Choice>
  </mc:AlternateContent>
  <xr:revisionPtr revIDLastSave="0" documentId="13_ncr:1_{1B56D631-B2D4-9346-9DDE-A5FFD4B2CF03}" xr6:coauthVersionLast="45" xr6:coauthVersionMax="45" xr10:uidLastSave="{00000000-0000-0000-0000-000000000000}"/>
  <bookViews>
    <workbookView xWindow="40" yWindow="460" windowWidth="25440" windowHeight="14260" activeTab="8" xr2:uid="{00000000-000D-0000-FFFF-FFFF00000000}"/>
  </bookViews>
  <sheets>
    <sheet name="Kickstarter_Challenge" sheetId="1" r:id="rId1"/>
    <sheet name="Successful US Kickstarters" sheetId="14" r:id="rId2"/>
    <sheet name="Failed US Kickstarters" sheetId="15" r:id="rId3"/>
    <sheet name="Theater Outcomes by Launch Date" sheetId="12" r:id="rId4"/>
    <sheet name="Outcomes Based on Goals" sheetId="13" r:id="rId5"/>
    <sheet name="Category Statistics" sheetId="2" r:id="rId6"/>
    <sheet name="Subcategory Statistics" sheetId="3" r:id="rId7"/>
    <sheet name="Outcomes Based on Launch Date" sheetId="4" r:id="rId8"/>
    <sheet name="Descriptive Statistics" sheetId="10" r:id="rId9"/>
    <sheet name="Edinburgh Research" sheetId="6" r:id="rId10"/>
  </sheets>
  <definedNames>
    <definedName name="_xlnm._FilterDatabase" localSheetId="0" hidden="1">Kickstarter_Challenge!$A$1:$T$4115</definedName>
  </definedNames>
  <calcPr calcId="191029"/>
  <pivotCaches>
    <pivotCache cacheId="11" r:id="rId11"/>
    <pivotCache cacheId="12" r:id="rId12"/>
    <pivotCache cacheId="1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10" l="1"/>
  <c r="B14" i="10"/>
  <c r="C7" i="10"/>
  <c r="B7" i="10"/>
  <c r="C13" i="10"/>
  <c r="B13" i="10"/>
  <c r="C6" i="10"/>
  <c r="B6" i="10"/>
  <c r="C12" i="10"/>
  <c r="B12" i="10"/>
  <c r="C5" i="10"/>
  <c r="B5" i="10"/>
  <c r="B11" i="10"/>
  <c r="C11" i="10"/>
  <c r="C10" i="10"/>
  <c r="B10" i="10"/>
  <c r="B3" i="10"/>
  <c r="C4" i="10"/>
  <c r="B4" i="10"/>
  <c r="C3" i="10"/>
  <c r="B6" i="13" l="1"/>
  <c r="H3" i="13"/>
  <c r="H4" i="13"/>
  <c r="H5" i="13"/>
  <c r="H7" i="13"/>
  <c r="H8" i="13"/>
  <c r="H9" i="13"/>
  <c r="H10" i="13"/>
  <c r="H11" i="13"/>
  <c r="H12" i="13"/>
  <c r="H13" i="13"/>
  <c r="H2" i="13"/>
  <c r="G3" i="13"/>
  <c r="G4" i="13"/>
  <c r="G5" i="13"/>
  <c r="G7" i="13"/>
  <c r="G8" i="13"/>
  <c r="G9" i="13"/>
  <c r="G10" i="13"/>
  <c r="G11" i="13"/>
  <c r="G12" i="13"/>
  <c r="G13" i="13"/>
  <c r="G2" i="13"/>
  <c r="F3" i="13"/>
  <c r="F4" i="13"/>
  <c r="F5" i="13"/>
  <c r="F7" i="13"/>
  <c r="F8" i="13"/>
  <c r="F9" i="13"/>
  <c r="F10" i="13"/>
  <c r="F11" i="13"/>
  <c r="F12" i="13"/>
  <c r="F13" i="13"/>
  <c r="F2" i="13"/>
  <c r="E3" i="13"/>
  <c r="E4" i="13"/>
  <c r="E5" i="13"/>
  <c r="E7" i="13"/>
  <c r="E8" i="13"/>
  <c r="E9" i="13"/>
  <c r="E10" i="13"/>
  <c r="E11" i="13"/>
  <c r="E12" i="13"/>
  <c r="E13" i="13"/>
  <c r="E2" i="13"/>
  <c r="D11" i="13"/>
  <c r="D10" i="13"/>
  <c r="D9" i="13"/>
  <c r="D2" i="13"/>
  <c r="C2" i="13"/>
  <c r="D12" i="13"/>
  <c r="D13" i="13"/>
  <c r="D8" i="13"/>
  <c r="D7" i="13"/>
  <c r="D6" i="13"/>
  <c r="D5" i="13"/>
  <c r="D4" i="13"/>
  <c r="D3" i="13"/>
  <c r="C13" i="13"/>
  <c r="C12" i="13"/>
  <c r="C11" i="13"/>
  <c r="C10" i="13"/>
  <c r="C9" i="13"/>
  <c r="C8" i="13"/>
  <c r="B13" i="13"/>
  <c r="B12" i="13"/>
  <c r="B11" i="13"/>
  <c r="B10" i="13"/>
  <c r="B9" i="13"/>
  <c r="B8" i="13"/>
  <c r="C7" i="13"/>
  <c r="B7" i="13"/>
  <c r="C6" i="13"/>
  <c r="C5" i="13"/>
  <c r="B5" i="13"/>
  <c r="C4" i="13"/>
  <c r="B4" i="13"/>
  <c r="C3" i="13"/>
  <c r="B3" i="13"/>
  <c r="B2" i="13"/>
  <c r="C15" i="10"/>
  <c r="C8" i="10"/>
  <c r="B8" i="10"/>
  <c r="B15" i="10" l="1"/>
  <c r="E6" i="13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6" i="13" l="1"/>
  <c r="G6" i="13"/>
  <c r="F6" i="13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<sst xmlns="http://schemas.openxmlformats.org/spreadsheetml/2006/main" count="38387" uniqueCount="8420">
  <si>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</si>
  <si>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</si>
  <si>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</si>
  <si>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</si>
  <si>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</si>
  <si>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</si>
  <si>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</si>
  <si>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</si>
  <si>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</si>
  <si>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</si>
  <si>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</si>
  <si>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</si>
  <si>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</si>
  <si>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</si>
  <si>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</si>
  <si>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</si>
  <si>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</si>
  <si>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</si>
  <si>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</si>
  <si>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</si>
  <si>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</si>
  <si>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</si>
  <si>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</si>
  <si>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</si>
  <si>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</si>
  <si>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</si>
  <si>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</si>
  <si>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</si>
  <si>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</si>
  <si>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</si>
  <si>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</si>
  <si>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</si>
  <si>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</si>
  <si>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</si>
  <si>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</si>
  <si>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</si>
  <si>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</si>
  <si>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</si>
  <si>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</si>
  <si>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</si>
  <si>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</si>
  <si>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</si>
  <si>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</si>
  <si>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</si>
  <si>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</si>
  <si>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</si>
  <si>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</si>
  <si>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</si>
  <si>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</si>
  <si>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</si>
  <si>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</si>
  <si>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</si>
  <si>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</si>
  <si>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</si>
  <si>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</si>
  <si>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</si>
  <si>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</si>
  <si>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</si>
  <si>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</si>
  <si>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</si>
  <si>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</si>
  <si>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</si>
  <si>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</si>
  <si>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</si>
  <si>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</si>
  <si>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</si>
  <si>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</si>
  <si>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</si>
  <si>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</si>
  <si>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</si>
  <si>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</si>
  <si>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</si>
  <si>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</si>
  <si>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</si>
  <si>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</si>
  <si>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</si>
  <si>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</si>
  <si>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</si>
  <si>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</si>
  <si>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</si>
  <si>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</si>
  <si>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</si>
  <si>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</si>
  <si>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</si>
  <si>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</si>
  <si>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</si>
  <si>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</si>
  <si>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</si>
  <si>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</si>
  <si>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</si>
  <si>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</si>
  <si>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</si>
  <si>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</si>
  <si>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</si>
  <si>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</si>
  <si>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</si>
  <si>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</si>
  <si>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</si>
  <si>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</si>
  <si>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</si>
  <si>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</si>
  <si>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</si>
  <si>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</si>
  <si>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</si>
  <si>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</si>
  <si>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</si>
  <si>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</si>
  <si>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</si>
  <si>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</si>
  <si>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</si>
  <si>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</si>
  <si>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</si>
  <si>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</si>
  <si>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</si>
  <si>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</si>
  <si>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</si>
  <si>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</si>
  <si>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</si>
  <si>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</si>
  <si>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</si>
  <si>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</si>
  <si>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</si>
  <si>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</si>
  <si>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</si>
  <si>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</si>
  <si>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</si>
  <si>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</si>
  <si>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</si>
  <si>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</si>
  <si>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</si>
  <si>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</si>
  <si>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</si>
  <si>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</si>
  <si>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</si>
  <si>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</si>
  <si>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</si>
  <si>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</si>
  <si>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</si>
  <si>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</si>
  <si>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</si>
  <si>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</si>
  <si>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</si>
  <si>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</si>
  <si>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</si>
  <si>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</si>
  <si>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</si>
  <si>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</si>
  <si>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</si>
  <si>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</si>
  <si>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</si>
  <si>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</si>
  <si>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</si>
  <si>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</si>
  <si>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</si>
  <si>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</si>
  <si>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</si>
  <si>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</si>
  <si>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</si>
  <si>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</si>
  <si>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</si>
  <si>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</si>
  <si>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</si>
  <si>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</si>
  <si>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</si>
  <si>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</si>
  <si>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</si>
  <si>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</si>
  <si>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</si>
  <si>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</si>
  <si>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</si>
  <si>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</si>
  <si>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</si>
  <si>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</si>
  <si>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</si>
  <si>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</si>
  <si>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</si>
  <si>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</si>
  <si>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</si>
  <si>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</si>
  <si>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</si>
  <si>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</si>
  <si>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</si>
  <si>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</si>
  <si>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</si>
  <si>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</si>
  <si>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</si>
  <si>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</si>
  <si>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</si>
  <si>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</si>
  <si>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</si>
  <si>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</si>
  <si>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</si>
  <si>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</si>
  <si>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</si>
  <si>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</si>
  <si>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</si>
  <si>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</si>
  <si>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</si>
  <si>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</si>
  <si>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</si>
  <si>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</si>
  <si>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</si>
  <si>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</si>
  <si>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</si>
  <si>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</si>
  <si>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</si>
  <si>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</si>
  <si>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</si>
  <si>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</si>
  <si>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</si>
  <si>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</si>
  <si>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</si>
  <si>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</si>
  <si>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</si>
  <si>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</si>
  <si>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</si>
  <si>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</si>
  <si>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</si>
  <si>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</si>
  <si>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</si>
  <si>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</si>
  <si>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</si>
  <si>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</si>
  <si>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</si>
  <si>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</si>
  <si>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</si>
  <si>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</si>
  <si>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</si>
  <si>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</si>
  <si>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</si>
  <si>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</si>
  <si>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</si>
  <si>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</si>
  <si>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</si>
  <si>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</si>
  <si>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</si>
  <si>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</si>
  <si>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</si>
  <si>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</si>
  <si>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</si>
  <si>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</si>
  <si>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</si>
  <si>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</si>
  <si>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</si>
  <si>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</si>
  <si>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</si>
  <si>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</si>
  <si>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</si>
  <si>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</si>
  <si>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</si>
  <si>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</si>
  <si>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</si>
  <si>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</si>
  <si>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</si>
  <si>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</si>
  <si>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</si>
  <si>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</si>
  <si>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</si>
  <si>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</si>
  <si>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</si>
  <si>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</si>
  <si>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</si>
  <si>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</si>
  <si>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</si>
  <si>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</si>
  <si>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</si>
  <si>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</si>
  <si>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</si>
  <si>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</si>
  <si>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</si>
  <si>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</si>
  <si>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</si>
  <si>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</si>
  <si>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</si>
  <si>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</si>
  <si>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</si>
  <si>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</si>
  <si>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</si>
  <si>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</si>
  <si>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</si>
  <si>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</si>
  <si>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</si>
  <si>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</si>
  <si>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</si>
  <si>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</si>
  <si>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</si>
  <si>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</si>
  <si>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</si>
  <si>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</si>
  <si>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</si>
  <si>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</si>
  <si>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</si>
  <si>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</si>
  <si>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</si>
  <si>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</si>
  <si>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</si>
  <si>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</si>
  <si>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</si>
  <si>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</si>
  <si>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</si>
  <si>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</si>
  <si>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</si>
  <si>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</si>
  <si>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</si>
  <si>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</si>
  <si>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</si>
  <si>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</si>
  <si>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</si>
  <si>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</si>
  <si>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</si>
  <si>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</si>
  <si>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</si>
  <si>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</si>
  <si>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</si>
  <si>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</si>
  <si>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</si>
  <si>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</si>
  <si>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</si>
  <si>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</si>
  <si>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</si>
  <si>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</si>
  <si>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</si>
  <si>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</si>
  <si>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</si>
  <si>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</si>
  <si>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</si>
  <si>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</si>
  <si>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</si>
  <si>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</si>
  <si>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</si>
  <si>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</si>
  <si>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</si>
  <si>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</si>
  <si>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</si>
  <si>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</si>
  <si>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</si>
  <si>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</si>
  <si>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</si>
  <si>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</si>
  <si>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</si>
  <si>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</si>
  <si>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</si>
  <si>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</si>
  <si>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</si>
  <si>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</si>
  <si>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</si>
  <si>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</si>
  <si>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</si>
  <si>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</si>
  <si>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</si>
  <si>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</si>
  <si>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</si>
  <si>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</si>
  <si>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</si>
  <si>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</si>
  <si>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</si>
  <si>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</si>
  <si>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</si>
  <si>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</si>
  <si>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</si>
  <si>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</si>
  <si>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</si>
  <si>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</si>
  <si>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</si>
  <si>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</si>
  <si>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</si>
  <si>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</si>
  <si>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</si>
  <si>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</si>
  <si>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</si>
  <si>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</si>
  <si>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</si>
  <si>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</si>
  <si>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</si>
  <si>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</si>
  <si>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</si>
  <si>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</si>
  <si>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</si>
  <si>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</si>
  <si>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</si>
  <si>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</si>
  <si>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</si>
  <si>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</si>
  <si>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</si>
  <si>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</si>
  <si>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</si>
  <si>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</si>
  <si>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</si>
  <si>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</si>
  <si>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</si>
  <si>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</si>
  <si>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</si>
  <si>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</si>
  <si>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</si>
  <si>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</si>
  <si>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</si>
  <si>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</si>
  <si>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</si>
  <si>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</si>
  <si>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</si>
  <si>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</si>
  <si>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</si>
  <si>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</si>
  <si>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</si>
  <si>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</si>
  <si>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</si>
  <si>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</si>
  <si>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</si>
  <si>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</si>
  <si>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</si>
  <si>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</si>
  <si>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</si>
  <si>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</si>
  <si>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</si>
  <si>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</si>
  <si>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</si>
  <si>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</si>
  <si>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</si>
  <si>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</si>
  <si>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</si>
  <si>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</si>
  <si>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</si>
  <si>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</si>
  <si>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</si>
  <si>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</si>
  <si>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</si>
  <si>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</si>
  <si>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</si>
  <si>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</si>
  <si>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</si>
  <si>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</si>
  <si>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</si>
  <si>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</si>
  <si>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</si>
  <si>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</si>
  <si>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</si>
  <si>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</si>
  <si>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</si>
  <si>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</si>
  <si>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</si>
  <si>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</si>
  <si>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</si>
  <si>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</si>
  <si>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</si>
  <si>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</si>
  <si>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</si>
  <si>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</si>
  <si>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</si>
  <si>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</si>
  <si>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</si>
  <si>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</si>
  <si>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</si>
  <si>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</si>
  <si>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</si>
  <si>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</si>
  <si>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</si>
  <si>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</si>
  <si>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</si>
  <si>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</si>
  <si>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</si>
  <si>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</si>
  <si>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</si>
  <si>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</si>
  <si>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</si>
  <si>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</si>
  <si>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</si>
  <si>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</si>
  <si>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</si>
  <si>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</si>
  <si>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</si>
  <si>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</si>
  <si>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</si>
  <si>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</si>
  <si>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</si>
  <si>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</si>
  <si>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</si>
  <si>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</si>
  <si>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</si>
  <si>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</si>
  <si>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</si>
  <si>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</si>
  <si>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</si>
  <si>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</si>
  <si>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</si>
  <si>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</si>
  <si>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</si>
  <si>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</si>
  <si>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</si>
  <si>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</si>
  <si>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</si>
  <si>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</si>
  <si>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</si>
  <si>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</si>
  <si>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</si>
  <si>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</si>
  <si>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</si>
  <si>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</si>
  <si>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</si>
  <si>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</si>
  <si>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</si>
  <si>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</si>
  <si>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</si>
  <si>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</si>
  <si>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</si>
  <si>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</si>
  <si>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</si>
  <si>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</si>
  <si>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</si>
  <si>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</si>
  <si>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</si>
  <si>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</si>
  <si>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</si>
  <si>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</si>
  <si>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</si>
  <si>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</si>
  <si>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</si>
  <si>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</si>
  <si>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</si>
  <si>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</si>
  <si>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</si>
  <si>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</si>
  <si>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</si>
  <si>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</si>
  <si>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</si>
  <si>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</si>
  <si>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</si>
  <si>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</si>
  <si>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</si>
  <si>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</si>
  <si>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</si>
  <si>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</si>
  <si>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</si>
  <si>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</si>
  <si>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</si>
  <si>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</si>
  <si>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</si>
  <si>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</si>
  <si>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</si>
  <si>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</si>
  <si>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</si>
  <si>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</si>
  <si>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</si>
  <si>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</si>
  <si>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</si>
  <si>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</si>
  <si>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</si>
  <si>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</si>
  <si>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</si>
  <si>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</si>
  <si>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</si>
  <si>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</si>
  <si>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</si>
  <si>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</si>
  <si>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</si>
  <si>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</si>
  <si>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</si>
  <si>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</si>
  <si>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</si>
  <si>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</si>
  <si>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</si>
  <si>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</si>
  <si>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</si>
  <si>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</si>
  <si>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</si>
  <si>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</si>
  <si>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</si>
  <si>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</si>
  <si>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</si>
  <si>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</si>
  <si>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</si>
  <si>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</si>
  <si>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</si>
  <si>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</si>
  <si>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</si>
  <si>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</si>
  <si>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</si>
  <si>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</si>
  <si>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</si>
  <si>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</si>
  <si>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</si>
  <si>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</si>
  <si>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</si>
  <si>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</si>
  <si>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</si>
  <si>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</si>
  <si>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</si>
  <si>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</si>
  <si>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</si>
  <si>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</si>
  <si>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</si>
  <si>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</si>
  <si>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</si>
  <si>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</si>
  <si>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</si>
  <si>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</si>
  <si>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</si>
  <si>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</si>
  <si>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</si>
  <si>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</si>
  <si>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</si>
  <si>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</si>
  <si>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</si>
  <si>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</si>
  <si>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</si>
  <si>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</si>
  <si>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</si>
  <si>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</si>
  <si>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</si>
  <si>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</si>
  <si>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</si>
  <si>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</si>
  <si>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</si>
  <si>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</si>
  <si>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</si>
  <si>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</si>
  <si>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</si>
  <si>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</si>
  <si>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</si>
  <si>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</si>
  <si>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</si>
  <si>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</si>
  <si>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</si>
  <si>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</si>
  <si>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</si>
  <si>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</si>
  <si>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</si>
  <si>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</si>
  <si>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</si>
  <si>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</si>
  <si>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</si>
  <si>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</si>
  <si>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</si>
  <si>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</si>
  <si>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</si>
  <si>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</si>
  <si>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</si>
  <si>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</si>
  <si>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</si>
  <si>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</si>
  <si>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</si>
  <si>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</si>
  <si>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</si>
  <si>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</si>
  <si>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</si>
  <si>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</si>
  <si>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</si>
  <si>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</si>
  <si>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</si>
  <si>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</si>
  <si>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</si>
  <si>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</si>
  <si>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</si>
  <si>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</si>
  <si>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</si>
  <si>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</si>
  <si>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</si>
  <si>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</si>
  <si>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</si>
  <si>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</si>
  <si>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</si>
  <si>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</si>
  <si>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</si>
  <si>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</si>
  <si>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</si>
  <si>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</si>
  <si>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</si>
  <si>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</si>
  <si>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</si>
  <si>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</si>
  <si>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</si>
  <si>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</si>
  <si>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</si>
  <si>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</si>
  <si>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</si>
  <si>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</si>
  <si>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</si>
  <si>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</si>
  <si>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</si>
  <si>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</si>
  <si>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</si>
  <si>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</si>
  <si>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</si>
  <si>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</si>
  <si>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</si>
  <si>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</si>
  <si>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</si>
  <si>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</si>
  <si>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</si>
  <si>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</si>
  <si>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</si>
  <si>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</si>
  <si>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</si>
  <si>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</si>
  <si>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</si>
  <si>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</si>
  <si>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</si>
  <si>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</si>
  <si>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</si>
  <si>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</si>
  <si>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</si>
  <si>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</si>
  <si>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</si>
  <si>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</si>
  <si>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</si>
  <si>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</si>
  <si>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</si>
  <si>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</si>
  <si>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</si>
  <si>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</si>
  <si>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</si>
  <si>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</si>
  <si>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</si>
  <si>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</si>
  <si>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</si>
  <si>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</si>
  <si>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</si>
  <si>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</si>
  <si>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</si>
  <si>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</si>
  <si>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</si>
  <si>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</si>
  <si>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</si>
  <si>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</si>
  <si>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</si>
  <si>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</si>
  <si>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</si>
  <si>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</si>
  <si>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</si>
  <si>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</si>
  <si>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</si>
  <si>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</si>
  <si>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</si>
  <si>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</si>
  <si>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</si>
  <si>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</si>
  <si>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</si>
  <si>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</si>
  <si>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</si>
  <si>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</si>
  <si>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</si>
  <si>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</si>
  <si>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</si>
  <si>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</si>
  <si>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</si>
  <si>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</si>
  <si>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</si>
  <si>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</si>
  <si>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</si>
  <si>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</si>
  <si>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</si>
  <si>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</si>
  <si>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</si>
  <si>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</si>
  <si>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</si>
  <si>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</si>
  <si>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</si>
  <si>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</si>
  <si>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</si>
  <si>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</si>
  <si>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</si>
  <si>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</si>
  <si>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</si>
  <si>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</si>
  <si>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</si>
  <si>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</si>
  <si>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</si>
  <si>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</si>
  <si>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</si>
  <si>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</si>
  <si>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</si>
  <si>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</si>
  <si>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</si>
  <si>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</si>
  <si>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</si>
  <si>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</si>
  <si>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</si>
  <si>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</si>
  <si>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</si>
  <si>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</si>
  <si>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</si>
  <si>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</si>
  <si>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</si>
  <si>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</si>
  <si>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</si>
  <si>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</si>
  <si>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</si>
  <si>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</si>
  <si>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</si>
  <si>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</si>
  <si>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</si>
  <si>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</si>
  <si>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</si>
  <si>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</si>
  <si>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</si>
  <si>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</si>
  <si>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</si>
  <si>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</si>
  <si>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</si>
  <si>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</si>
  <si>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</si>
  <si>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</si>
  <si>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</si>
  <si>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</si>
  <si>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</si>
  <si>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</si>
  <si>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</si>
  <si>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</si>
  <si>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</si>
  <si>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</si>
  <si>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</si>
  <si>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</si>
  <si>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</si>
  <si>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</si>
  <si>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</si>
  <si>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</si>
  <si>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</si>
  <si>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</si>
  <si>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</si>
  <si>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</si>
  <si>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</si>
  <si>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</si>
  <si>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</si>
  <si>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</si>
  <si>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</si>
  <si>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</si>
  <si>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</si>
  <si>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</si>
  <si>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</si>
  <si>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</si>
  <si>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</si>
  <si>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</si>
  <si>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</si>
  <si>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</si>
  <si>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</si>
  <si>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</si>
  <si>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</si>
  <si>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</si>
  <si>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</si>
  <si>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</si>
  <si>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</si>
  <si>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</si>
  <si>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</si>
  <si>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</si>
  <si>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</si>
  <si>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</si>
  <si>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</si>
  <si>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</si>
  <si>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</si>
  <si>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</si>
  <si>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</si>
  <si>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</si>
  <si>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</si>
  <si>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</si>
  <si>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</si>
  <si>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</si>
  <si>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</si>
  <si>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</si>
  <si>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</si>
  <si>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</si>
  <si>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</si>
  <si>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</si>
  <si>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</si>
  <si>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</si>
  <si>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</si>
  <si>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</si>
  <si>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</si>
  <si>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</si>
  <si>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</si>
  <si>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</si>
  <si>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</si>
  <si>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</si>
  <si>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</si>
  <si>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</si>
  <si>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</si>
  <si>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</si>
  <si>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</si>
  <si>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</si>
  <si>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</si>
  <si>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</si>
  <si>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</si>
  <si>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</si>
  <si>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</si>
  <si>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</si>
  <si>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</si>
  <si>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</si>
  <si>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</si>
  <si>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</si>
  <si>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</si>
  <si>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</si>
  <si>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</si>
  <si>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</si>
  <si>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</si>
  <si>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</si>
  <si>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</si>
  <si>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</si>
  <si>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</si>
  <si>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</si>
  <si>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</si>
  <si>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</si>
  <si>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</si>
  <si>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</si>
  <si>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</si>
  <si>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</si>
  <si>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</si>
  <si>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</si>
  <si>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</si>
  <si>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</si>
  <si>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</si>
  <si>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</si>
  <si>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</si>
  <si>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</si>
  <si>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</si>
  <si>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</si>
  <si>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</si>
  <si>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</si>
  <si>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</si>
  <si>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</si>
  <si>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</si>
  <si>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</si>
  <si>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</si>
  <si>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</si>
  <si>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</si>
  <si>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</si>
  <si>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</si>
  <si>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</si>
  <si>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</si>
  <si>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</si>
  <si>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</si>
  <si>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</si>
  <si>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</si>
  <si>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</si>
  <si>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</si>
  <si>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</si>
  <si>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</si>
  <si>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</si>
  <si>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</si>
  <si>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</si>
  <si>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</si>
  <si>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</si>
  <si>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</si>
  <si>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</si>
  <si>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</si>
  <si>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</si>
  <si>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</si>
  <si>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</si>
  <si>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</si>
  <si>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</si>
  <si>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</si>
  <si>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</si>
  <si>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</si>
  <si>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</si>
  <si>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</si>
  <si>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</si>
  <si>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</si>
  <si>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</si>
  <si>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</si>
  <si>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</si>
  <si>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</si>
  <si>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</si>
  <si>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</si>
  <si>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</si>
  <si>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</si>
  <si>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</si>
  <si>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</si>
  <si>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</si>
  <si>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</si>
  <si>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</si>
  <si>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</si>
  <si>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</si>
  <si>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</si>
  <si>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</si>
  <si>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</si>
  <si>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</si>
  <si>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</si>
  <si>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</si>
  <si>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</si>
  <si>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</si>
  <si>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</si>
  <si>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</si>
  <si>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</si>
  <si>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</si>
  <si>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</si>
  <si>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</si>
  <si>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</si>
  <si>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</si>
  <si>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</si>
  <si>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</si>
  <si>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</si>
  <si>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</si>
  <si>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</si>
  <si>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</si>
  <si>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</si>
  <si>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</si>
  <si>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</si>
  <si>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</si>
  <si>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</si>
  <si>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</si>
  <si>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</si>
  <si>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</si>
  <si>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</si>
  <si>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</si>
  <si>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</si>
  <si>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</si>
  <si>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</si>
  <si>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</si>
  <si>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</si>
  <si>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</si>
  <si>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</si>
  <si>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</si>
  <si>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</si>
  <si>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</si>
  <si>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</si>
  <si>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</si>
  <si>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</si>
  <si>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</si>
  <si>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</si>
  <si>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</si>
  <si>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</si>
  <si>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</si>
  <si>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</si>
  <si>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</si>
  <si>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</si>
  <si>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</si>
  <si>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</si>
  <si>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</si>
  <si>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</si>
  <si>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</si>
  <si>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</si>
  <si>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</si>
  <si>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</si>
  <si>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</si>
  <si>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</si>
  <si>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</si>
  <si>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</si>
  <si>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</si>
  <si>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</si>
  <si>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</si>
  <si>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</si>
  <si>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</si>
  <si>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</si>
  <si>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</si>
  <si>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</si>
  <si>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</si>
  <si>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</si>
  <si>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</si>
  <si>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</si>
  <si>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</si>
  <si>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</si>
  <si>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</si>
  <si>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</si>
  <si>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</si>
  <si>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</si>
  <si>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</si>
  <si>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</si>
  <si>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</si>
  <si>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</si>
  <si>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</si>
  <si>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</si>
  <si>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</si>
  <si>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</si>
  <si>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</si>
  <si>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</si>
  <si>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</si>
  <si>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</si>
  <si>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</si>
  <si>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</si>
  <si>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</si>
  <si>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</si>
  <si>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</si>
  <si>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</si>
  <si>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</si>
  <si>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</si>
  <si>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</si>
  <si>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</si>
  <si>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</si>
  <si>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</si>
  <si>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</si>
  <si>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</si>
  <si>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</si>
  <si>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</si>
  <si>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</si>
  <si>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</si>
  <si>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</si>
  <si>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</si>
  <si>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</si>
  <si>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</si>
  <si>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</si>
  <si>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</si>
  <si>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</si>
  <si>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</si>
  <si>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</si>
  <si>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</si>
  <si>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</si>
  <si>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</si>
  <si>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</si>
  <si>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</si>
  <si>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</si>
  <si>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</si>
  <si>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</si>
  <si>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</si>
  <si>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</si>
  <si>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</si>
  <si>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</si>
  <si>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</si>
  <si>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</si>
  <si>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</si>
  <si>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</si>
  <si>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</si>
  <si>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</si>
  <si>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</si>
  <si>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</si>
  <si>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</si>
  <si>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</si>
  <si>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</si>
  <si>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</si>
  <si>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</si>
  <si>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</si>
  <si>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</si>
  <si>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</si>
  <si>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</si>
  <si>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</si>
  <si>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</si>
  <si>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</si>
  <si>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</si>
  <si>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</si>
  <si>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</si>
  <si>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</si>
  <si>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</si>
  <si>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</si>
  <si>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</si>
  <si>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</si>
  <si>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</si>
  <si>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</si>
  <si>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</si>
  <si>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</si>
  <si>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</si>
  <si>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</si>
  <si>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</si>
  <si>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</si>
  <si>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</si>
  <si>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</si>
  <si>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</si>
  <si>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</si>
  <si>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</si>
  <si>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</si>
  <si>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</si>
  <si>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</si>
  <si>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</si>
  <si>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</si>
  <si>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</si>
  <si>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</si>
  <si>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</si>
  <si>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</si>
  <si>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</si>
  <si>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</si>
  <si>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</si>
  <si>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</si>
  <si>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</si>
  <si>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</si>
  <si>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</si>
  <si>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</si>
  <si>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</si>
  <si>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</si>
  <si>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</si>
  <si>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</si>
  <si>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</si>
  <si>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</si>
  <si>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</si>
  <si>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</si>
  <si>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</si>
  <si>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</si>
  <si>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</si>
  <si>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</si>
  <si>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</si>
  <si>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</si>
  <si>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</si>
  <si>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</si>
  <si>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</si>
  <si>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</si>
  <si>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</si>
  <si>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</si>
  <si>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</si>
  <si>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</si>
  <si>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</si>
  <si>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</si>
  <si>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</si>
  <si>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</si>
  <si>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</si>
  <si>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</si>
  <si>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</si>
  <si>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</si>
  <si>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</si>
  <si>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</si>
  <si>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</si>
  <si>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</si>
  <si>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</si>
  <si>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</si>
  <si>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</si>
  <si>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</si>
  <si>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</si>
  <si>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</si>
  <si>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</si>
  <si>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</si>
  <si>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</si>
  <si>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</si>
  <si>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</si>
  <si>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</si>
  <si>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</si>
  <si>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</si>
  <si>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</si>
  <si>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</si>
  <si>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</si>
  <si>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</si>
  <si>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</si>
  <si>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</si>
  <si>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</si>
  <si>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</si>
  <si>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</si>
  <si>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</si>
  <si>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</si>
  <si>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</si>
  <si>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</si>
  <si>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</si>
  <si>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</si>
  <si>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</si>
  <si>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</si>
  <si>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</si>
  <si>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</si>
  <si>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</si>
  <si>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</si>
  <si>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</si>
  <si>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</si>
  <si>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</si>
  <si>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</si>
  <si>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</si>
  <si>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</si>
  <si>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</si>
  <si>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</si>
  <si>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</si>
  <si>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</si>
  <si>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</si>
  <si>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</si>
  <si>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</si>
  <si>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</si>
  <si>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</si>
  <si>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</si>
  <si>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</si>
  <si>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</si>
  <si>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</si>
  <si>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</si>
  <si>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</si>
  <si>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</si>
  <si>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</si>
  <si>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</si>
  <si>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</si>
  <si>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</si>
  <si>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</si>
  <si>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</si>
  <si>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</si>
  <si>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</si>
  <si>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</si>
  <si>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</si>
  <si>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</si>
  <si>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</si>
  <si>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</si>
  <si>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</si>
  <si>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</si>
  <si>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</si>
  <si>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</si>
  <si>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</si>
  <si>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</si>
  <si>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</si>
  <si>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</si>
  <si>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</si>
  <si>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</si>
  <si>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</si>
  <si>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</si>
  <si>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</si>
  <si>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</si>
  <si>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</si>
  <si>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</si>
  <si>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</si>
  <si>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</si>
  <si>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</si>
  <si>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</si>
  <si>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</si>
  <si>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</si>
  <si>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</si>
  <si>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</si>
  <si>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</si>
  <si>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</si>
  <si>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</si>
  <si>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</si>
  <si>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</si>
  <si>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</si>
  <si>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</si>
  <si>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</si>
  <si>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</si>
  <si>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</si>
  <si>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</si>
  <si>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</si>
  <si>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</si>
  <si>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</si>
  <si>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</si>
  <si>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</si>
  <si>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</si>
  <si>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</si>
  <si>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</si>
  <si>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</si>
  <si>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</si>
  <si>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</si>
  <si>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</si>
  <si>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</si>
  <si>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</si>
  <si>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</si>
  <si>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</si>
  <si>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</si>
  <si>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</si>
  <si>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</si>
  <si>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</si>
  <si>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</si>
  <si>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</si>
  <si>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</si>
  <si>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</si>
  <si>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</si>
  <si>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</si>
  <si>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</si>
  <si>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</si>
  <si>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</si>
  <si>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</si>
  <si>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</si>
  <si>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</si>
  <si>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</si>
  <si>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</si>
  <si>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</si>
  <si>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</si>
  <si>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</si>
  <si>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</si>
  <si>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</si>
  <si>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</si>
  <si>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</si>
  <si>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</si>
  <si>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</si>
  <si>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</si>
  <si>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</si>
  <si>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</si>
  <si>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</si>
  <si>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</si>
  <si>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</si>
  <si>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</si>
  <si>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</si>
  <si>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</si>
  <si>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</si>
  <si>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</si>
  <si>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</si>
  <si>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</si>
  <si>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</si>
  <si>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</si>
  <si>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</si>
  <si>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</si>
  <si>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</si>
  <si>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</si>
  <si>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</si>
  <si>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</si>
  <si>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</si>
  <si>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</si>
  <si>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</si>
  <si>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</si>
  <si>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</si>
  <si>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</si>
  <si>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</si>
  <si>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</si>
  <si>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</si>
  <si>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</si>
  <si>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</si>
  <si>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</si>
  <si>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</si>
  <si>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</si>
  <si>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</si>
  <si>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</si>
  <si>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</si>
  <si>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</si>
  <si>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</si>
  <si>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</si>
  <si>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</si>
  <si>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</si>
  <si>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</si>
  <si>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</si>
  <si>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</si>
  <si>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</si>
  <si>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</si>
  <si>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</si>
  <si>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</si>
  <si>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</si>
  <si>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</si>
  <si>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</si>
  <si>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</si>
  <si>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</si>
  <si>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</si>
  <si>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</si>
  <si>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</si>
  <si>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</si>
  <si>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</si>
  <si>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</si>
  <si>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</si>
  <si>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</si>
  <si>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</si>
  <si>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</si>
  <si>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</si>
  <si>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</si>
  <si>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</si>
  <si>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</si>
  <si>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</si>
  <si>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</si>
  <si>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</si>
  <si>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</si>
  <si>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</si>
  <si>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</si>
  <si>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</si>
  <si>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</si>
  <si>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</si>
  <si>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</si>
  <si>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</si>
  <si>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</si>
  <si>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</si>
  <si>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</si>
  <si>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</si>
  <si>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</si>
  <si>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</si>
  <si>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</si>
  <si>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</si>
  <si>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</si>
  <si>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</si>
  <si>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</si>
  <si>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</si>
  <si>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</si>
  <si>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</si>
  <si>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</si>
  <si>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</si>
  <si>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</si>
  <si>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</si>
  <si>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</si>
  <si>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</si>
  <si>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</si>
  <si>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</si>
  <si>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</si>
  <si>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</si>
  <si>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</si>
  <si>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</si>
  <si>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</si>
  <si>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</si>
  <si>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</si>
  <si>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</si>
  <si>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</si>
  <si>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</si>
  <si>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</si>
  <si>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</si>
  <si>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</si>
  <si>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</si>
  <si>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</si>
  <si>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</si>
  <si>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</si>
  <si>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</si>
  <si>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</si>
  <si>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</si>
  <si>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</si>
  <si>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</si>
  <si>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</si>
  <si>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</si>
  <si>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</si>
  <si>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</si>
  <si>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</si>
  <si>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</si>
  <si>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</si>
  <si>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</si>
  <si>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</si>
  <si>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</si>
  <si>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</si>
  <si>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</si>
  <si>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</si>
  <si>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</si>
  <si>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</si>
  <si>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</si>
  <si>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</si>
  <si>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</si>
  <si>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</si>
  <si>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</si>
  <si>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</si>
  <si>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</si>
  <si>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</si>
  <si>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</si>
  <si>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</si>
  <si>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</si>
  <si>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</si>
  <si>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</si>
  <si>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</si>
  <si>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</si>
  <si>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</si>
  <si>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</si>
  <si>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</si>
  <si>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</si>
  <si>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</si>
  <si>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</si>
  <si>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</si>
  <si>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</si>
  <si>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</si>
  <si>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</si>
  <si>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</si>
  <si>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</si>
  <si>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</si>
  <si>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</si>
  <si>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</si>
  <si>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</si>
  <si>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</si>
  <si>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</si>
  <si>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</si>
  <si>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</si>
  <si>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</si>
  <si>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</si>
  <si>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</si>
  <si>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</si>
  <si>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</si>
  <si>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</si>
  <si>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</si>
  <si>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</si>
  <si>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</si>
  <si>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</si>
  <si>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</si>
  <si>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</si>
  <si>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</si>
  <si>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</si>
  <si>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</si>
  <si>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</si>
  <si>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</si>
  <si>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</si>
  <si>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</si>
  <si>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</si>
  <si>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</si>
  <si>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</si>
  <si>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</si>
  <si>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</si>
  <si>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</si>
  <si>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</si>
  <si>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</si>
  <si>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</si>
  <si>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</si>
  <si>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</si>
  <si>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</si>
  <si>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</si>
  <si>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</si>
  <si>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</si>
  <si>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</si>
  <si>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</si>
  <si>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</si>
  <si>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</si>
  <si>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</si>
  <si>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</si>
  <si>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</si>
  <si>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</si>
  <si>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</si>
  <si>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</si>
  <si>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</si>
  <si>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</si>
  <si>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</si>
  <si>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</si>
  <si>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</si>
  <si>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</si>
  <si>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</si>
  <si>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</si>
  <si>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</si>
  <si>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</si>
  <si>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</si>
  <si>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</si>
  <si>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</si>
  <si>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</si>
  <si>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</si>
  <si>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</si>
  <si>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</si>
  <si>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</si>
  <si>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</si>
  <si>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</si>
  <si>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</si>
  <si>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</si>
  <si>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</si>
  <si>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</si>
  <si>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</si>
  <si>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</si>
  <si>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</si>
  <si>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</si>
  <si>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</si>
  <si>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</si>
  <si>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</si>
  <si>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</si>
  <si>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</si>
  <si>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</si>
  <si>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</si>
  <si>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</si>
  <si>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</si>
  <si>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</si>
  <si>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</si>
  <si>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</si>
  <si>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</si>
  <si>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</si>
  <si>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</si>
  <si>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</si>
  <si>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</si>
  <si>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</si>
  <si>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</si>
  <si>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</si>
  <si>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</si>
  <si>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</si>
  <si>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</si>
  <si>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</si>
  <si>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</si>
  <si>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</si>
  <si>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</si>
  <si>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</si>
  <si>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</si>
  <si>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</si>
  <si>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</si>
  <si>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</si>
  <si>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</si>
  <si>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</si>
  <si>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</si>
  <si>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</si>
  <si>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</si>
  <si>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</si>
  <si>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</si>
  <si>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</si>
  <si>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</si>
  <si>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</si>
  <si>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</si>
  <si>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</si>
  <si>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</si>
  <si>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</si>
  <si>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</si>
  <si>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</si>
  <si>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</si>
  <si>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</si>
  <si>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</si>
  <si>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</si>
  <si>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</si>
  <si>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</si>
  <si>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</si>
  <si>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</si>
  <si>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</si>
  <si>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</si>
  <si>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</si>
  <si>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</si>
  <si>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</si>
  <si>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</si>
  <si>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</si>
  <si>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</si>
  <si>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</si>
  <si>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</si>
  <si>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</si>
  <si>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</si>
  <si>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</si>
  <si>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</si>
  <si>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</si>
  <si>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</si>
  <si>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</si>
  <si>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</si>
  <si>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</si>
  <si>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</si>
  <si>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</si>
  <si>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</si>
  <si>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</si>
  <si>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</si>
  <si>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</si>
  <si>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</si>
  <si>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</si>
  <si>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</si>
  <si>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</si>
  <si>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</si>
  <si>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</si>
  <si>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</si>
  <si>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</si>
  <si>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</si>
  <si>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</si>
  <si>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</si>
  <si>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</si>
  <si>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</si>
  <si>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</si>
  <si>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</si>
  <si>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</si>
  <si>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</si>
  <si>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</si>
  <si>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</si>
  <si>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</si>
  <si>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</si>
  <si>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</si>
  <si>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</si>
  <si>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</si>
  <si>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</si>
  <si>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</si>
  <si>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</si>
  <si>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</si>
  <si>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</si>
  <si>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</si>
  <si>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</si>
  <si>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</si>
  <si>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</si>
  <si>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</si>
  <si>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</si>
  <si>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</si>
  <si>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</si>
  <si>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</si>
  <si>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</si>
  <si>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</si>
  <si>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</si>
  <si>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</si>
  <si>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</si>
  <si>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</si>
  <si>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</si>
  <si>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</si>
  <si>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</si>
  <si>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</si>
  <si>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</si>
  <si>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</si>
  <si>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</si>
  <si>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</si>
  <si>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</si>
  <si>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</si>
  <si>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</si>
  <si>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</si>
  <si>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</si>
  <si>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</si>
  <si>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</si>
  <si>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</si>
  <si>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</si>
  <si>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</si>
  <si>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</si>
  <si>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</si>
  <si>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</si>
  <si>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</si>
  <si>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</si>
  <si>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</si>
  <si>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</si>
  <si>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</si>
  <si>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</si>
  <si>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</si>
  <si>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</si>
  <si>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</si>
  <si>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</si>
  <si>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</si>
  <si>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</si>
  <si>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</si>
  <si>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</si>
  <si>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</si>
  <si>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</si>
  <si>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</si>
  <si>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</si>
  <si>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</si>
  <si>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</si>
  <si>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</si>
  <si>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</si>
  <si>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</si>
  <si>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</si>
  <si>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</si>
  <si>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</si>
  <si>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</si>
  <si>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</si>
  <si>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</si>
  <si>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</si>
  <si>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</si>
  <si>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</si>
  <si>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</si>
  <si>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</si>
  <si>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</si>
  <si>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</si>
  <si>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</si>
  <si>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</si>
  <si>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</si>
  <si>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</si>
  <si>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</si>
  <si>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</si>
  <si>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</si>
  <si>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</si>
  <si>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</si>
  <si>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</si>
  <si>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</si>
  <si>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</si>
  <si>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</si>
  <si>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</si>
  <si>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</si>
  <si>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</si>
  <si>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</si>
  <si>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</si>
  <si>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</si>
  <si>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</si>
  <si>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</si>
  <si>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</si>
  <si>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</si>
  <si>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</si>
  <si>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</si>
  <si>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</si>
  <si>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</si>
  <si>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</si>
  <si>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</si>
  <si>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</si>
  <si>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</si>
  <si>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</si>
  <si>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</si>
  <si>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</si>
  <si>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</si>
  <si>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</si>
  <si>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</si>
  <si>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</si>
  <si>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</si>
  <si>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</si>
  <si>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</si>
  <si>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</si>
  <si>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</si>
  <si>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</si>
  <si>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</si>
  <si>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</si>
  <si>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</si>
  <si>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</si>
  <si>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</si>
  <si>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</si>
  <si>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</si>
  <si>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</si>
  <si>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</si>
  <si>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</si>
  <si>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</si>
  <si>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</si>
  <si>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</si>
  <si>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</si>
  <si>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</si>
  <si>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</si>
  <si>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</si>
  <si>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</si>
  <si>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</si>
  <si>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</si>
  <si>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</si>
  <si>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</si>
  <si>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</si>
  <si>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</si>
  <si>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</si>
  <si>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</si>
  <si>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</si>
  <si>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</si>
  <si>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</si>
  <si>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</si>
  <si>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</si>
  <si>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</si>
  <si>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</si>
  <si>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</si>
  <si>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</si>
  <si>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</si>
  <si>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</si>
  <si>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</si>
  <si>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</si>
  <si>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</si>
  <si>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</si>
  <si>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</si>
  <si>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</si>
  <si>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</si>
  <si>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</si>
  <si>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</si>
  <si>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</si>
  <si>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</si>
  <si>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</si>
  <si>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</si>
  <si>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</si>
  <si>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</si>
  <si>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</si>
  <si>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</si>
  <si>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</si>
  <si>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</si>
  <si>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</si>
  <si>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</si>
  <si>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</si>
  <si>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</si>
  <si>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</si>
  <si>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</si>
  <si>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</si>
  <si>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</si>
  <si>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</si>
  <si>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</si>
  <si>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</si>
  <si>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</si>
  <si>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</si>
  <si>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</si>
  <si>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</si>
  <si>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</si>
  <si>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</si>
  <si>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</si>
  <si>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</si>
  <si>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</si>
  <si>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</si>
  <si>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</si>
  <si>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</si>
  <si>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</si>
  <si>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</si>
  <si>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</si>
  <si>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</si>
  <si>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</si>
  <si>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</si>
  <si>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</si>
  <si>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</si>
  <si>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</si>
  <si>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</si>
  <si>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</si>
  <si>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</si>
  <si>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</si>
  <si>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</si>
  <si>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</si>
  <si>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</si>
  <si>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</si>
  <si>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</si>
  <si>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</si>
  <si>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</si>
  <si>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</si>
  <si>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</si>
  <si>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</si>
  <si>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</si>
  <si>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</si>
  <si>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</si>
  <si>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</si>
  <si>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</si>
  <si>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</si>
  <si>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</si>
  <si>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</si>
  <si>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</si>
  <si>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</si>
  <si>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</si>
  <si>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</si>
  <si>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</si>
  <si>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</si>
  <si>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</si>
  <si>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</si>
  <si>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</si>
  <si>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</si>
  <si>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</si>
  <si>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</si>
  <si>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</si>
  <si>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</si>
  <si>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</si>
  <si>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</si>
  <si>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</si>
  <si>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</si>
  <si>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</si>
  <si>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</si>
  <si>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</si>
  <si>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</si>
  <si>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</si>
  <si>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</si>
  <si>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</si>
  <si>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</si>
  <si>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</si>
  <si>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</si>
  <si>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</si>
  <si>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</si>
  <si>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</si>
  <si>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</si>
  <si>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</si>
  <si>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</si>
  <si>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</si>
  <si>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</si>
  <si>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</si>
  <si>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</si>
  <si>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</si>
  <si>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</si>
  <si>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</si>
  <si>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</si>
  <si>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</si>
  <si>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</si>
  <si>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</si>
  <si>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</si>
  <si>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</si>
  <si>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</si>
  <si>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</si>
  <si>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</si>
  <si>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</si>
  <si>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</si>
  <si>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</si>
  <si>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</si>
  <si>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</si>
  <si>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</si>
  <si>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</si>
  <si>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</si>
  <si>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</si>
  <si>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</si>
  <si>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</si>
  <si>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</si>
  <si>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</si>
  <si>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</si>
  <si>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</si>
  <si>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</si>
  <si>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</si>
  <si>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</si>
  <si>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</si>
  <si>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</si>
  <si>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</si>
  <si>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</si>
  <si>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</si>
  <si>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</si>
  <si>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</si>
  <si>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</si>
  <si>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</si>
  <si>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</si>
  <si>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</si>
  <si>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</si>
  <si>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</si>
  <si>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</si>
  <si>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</si>
  <si>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</si>
  <si>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</si>
  <si>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</si>
  <si>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</si>
  <si>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</si>
  <si>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</si>
  <si>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</si>
  <si>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</si>
  <si>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</si>
  <si>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</si>
  <si>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</si>
  <si>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</si>
  <si>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</si>
  <si>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</si>
  <si>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</si>
  <si>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</si>
  <si>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</si>
  <si>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</si>
  <si>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</si>
  <si>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</si>
  <si>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</si>
  <si>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</si>
  <si>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</si>
  <si>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</si>
  <si>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</si>
  <si>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</si>
  <si>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</si>
  <si>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</si>
  <si>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</si>
  <si>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</si>
  <si>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</si>
  <si>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</si>
  <si>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</si>
  <si>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</si>
  <si>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</si>
  <si>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</si>
  <si>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</si>
  <si>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</si>
  <si>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</si>
  <si>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</si>
  <si>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</si>
  <si>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</si>
  <si>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</si>
  <si>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</si>
  <si>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</si>
  <si>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</si>
  <si>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</si>
  <si>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</si>
  <si>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</si>
  <si>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</si>
  <si>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</si>
  <si>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</si>
  <si>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</si>
  <si>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</si>
  <si>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</si>
  <si>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</si>
  <si>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</si>
  <si>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</si>
  <si>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</si>
  <si>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</si>
  <si>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</si>
  <si>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</si>
  <si>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</si>
  <si>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</si>
  <si>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</si>
  <si>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</si>
  <si>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</si>
  <si>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</si>
  <si>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</si>
  <si>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</si>
  <si>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</si>
  <si>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</si>
  <si>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</si>
  <si>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</si>
  <si>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</si>
  <si>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</si>
  <si>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</si>
  <si>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</si>
  <si>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</si>
  <si>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</si>
  <si>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</si>
  <si>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</si>
  <si>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</si>
  <si>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</si>
  <si>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</si>
  <si>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</si>
  <si>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</si>
  <si>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</si>
  <si>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</si>
  <si>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</si>
  <si>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</si>
  <si>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</si>
  <si>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</si>
  <si>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</si>
  <si>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</si>
  <si>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</si>
  <si>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</si>
  <si>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</si>
  <si>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</si>
  <si>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</si>
  <si>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</si>
  <si>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</si>
  <si>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</si>
  <si>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</si>
  <si>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</si>
  <si>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</si>
  <si>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</si>
  <si>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</si>
  <si>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</si>
  <si>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</si>
  <si>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</si>
  <si>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</si>
  <si>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</si>
  <si>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</si>
  <si>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</si>
  <si>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</si>
  <si>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</si>
  <si>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</si>
  <si>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</si>
  <si>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</si>
  <si>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</si>
  <si>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</si>
  <si>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</si>
  <si>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</si>
  <si>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</si>
  <si>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</si>
  <si>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</si>
  <si>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</si>
  <si>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</si>
  <si>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</si>
  <si>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</si>
  <si>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</si>
  <si>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</si>
  <si>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</si>
  <si>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</si>
  <si>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</si>
  <si>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</si>
  <si>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</si>
  <si>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</si>
  <si>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</si>
  <si>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</si>
  <si>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</si>
  <si>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</si>
  <si>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</si>
  <si>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</si>
  <si>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</si>
  <si>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</si>
  <si>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</si>
  <si>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</si>
  <si>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</si>
  <si>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</si>
  <si>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</si>
  <si>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</si>
  <si>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</si>
  <si>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</si>
  <si>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</si>
  <si>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</si>
  <si>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</si>
  <si>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</si>
  <si>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</si>
  <si>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</si>
  <si>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</si>
  <si>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</si>
  <si>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</si>
  <si>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</si>
  <si>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</si>
  <si>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</si>
  <si>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</si>
  <si>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</si>
  <si>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</si>
  <si>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</si>
  <si>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</si>
  <si>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</si>
  <si>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</si>
  <si>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</si>
  <si>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</si>
  <si>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</si>
  <si>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</si>
  <si>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</si>
  <si>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</si>
  <si>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</si>
  <si>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</si>
  <si>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</si>
  <si>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</si>
  <si>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</si>
  <si>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</si>
  <si>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</si>
  <si>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</si>
  <si>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</si>
  <si>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</si>
  <si>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</si>
  <si>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</si>
  <si>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</si>
  <si>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</si>
  <si>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</si>
  <si>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</si>
  <si>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</si>
  <si>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</si>
  <si>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</si>
  <si>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</si>
  <si>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</si>
  <si>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</si>
  <si>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</si>
  <si>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</si>
  <si>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</si>
  <si>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</si>
  <si>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</si>
  <si>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</si>
  <si>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</si>
  <si>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</si>
  <si>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</si>
  <si>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</si>
  <si>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</si>
  <si>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</si>
  <si>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</si>
  <si>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</si>
  <si>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</si>
  <si>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</si>
  <si>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</si>
  <si>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</si>
  <si>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</si>
  <si>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</si>
  <si>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</si>
  <si>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</si>
  <si>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</si>
  <si>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</si>
  <si>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</si>
  <si>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</si>
  <si>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</si>
  <si>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</si>
  <si>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</si>
  <si>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</si>
  <si>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</si>
  <si>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</si>
  <si>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</si>
  <si>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</si>
  <si>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</si>
  <si>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</si>
  <si>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</si>
  <si>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</si>
  <si>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</si>
  <si>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</si>
  <si>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</si>
  <si>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</si>
  <si>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</si>
  <si>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</si>
  <si>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</si>
  <si>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</si>
  <si>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</si>
  <si>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</si>
  <si>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</si>
  <si>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</si>
  <si>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</si>
  <si>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</si>
  <si>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</si>
  <si>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</si>
  <si>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</si>
  <si>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</si>
  <si>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</si>
  <si>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</si>
  <si>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</si>
  <si>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</si>
  <si>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</si>
  <si>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</si>
  <si>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</si>
  <si>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</si>
  <si>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</si>
  <si>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</si>
  <si>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</si>
  <si>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</si>
  <si>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</si>
  <si>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</si>
  <si>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</si>
  <si>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</si>
  <si>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</si>
  <si>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</si>
  <si>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</si>
  <si>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</si>
  <si>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</si>
  <si>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</si>
  <si>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</si>
  <si>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</si>
  <si>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</si>
  <si>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</si>
  <si>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</si>
  <si>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</si>
  <si>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</si>
  <si>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</si>
  <si>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</si>
  <si>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</si>
  <si>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</si>
  <si>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</si>
  <si>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</si>
  <si>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</si>
  <si>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</si>
  <si>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</si>
  <si>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</si>
  <si>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</si>
  <si>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</si>
  <si>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</si>
  <si>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</si>
  <si>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</si>
  <si>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</si>
  <si>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</si>
  <si>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</si>
  <si>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</si>
  <si>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</si>
  <si>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</si>
  <si>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</si>
  <si>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</si>
  <si>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</si>
  <si>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</si>
  <si>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</si>
  <si>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</si>
  <si>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</si>
  <si>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</si>
  <si>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</si>
  <si>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</si>
  <si>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</si>
  <si>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</si>
  <si>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</si>
  <si>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</si>
  <si>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</si>
  <si>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</si>
  <si>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</si>
  <si>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</si>
  <si>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</si>
  <si>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</si>
  <si>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</si>
  <si>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</si>
  <si>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</si>
  <si>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</si>
  <si>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</si>
  <si>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</si>
  <si>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</si>
  <si>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</si>
  <si>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</si>
  <si>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</si>
  <si>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</si>
  <si>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</si>
  <si>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</si>
  <si>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</si>
  <si>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</si>
  <si>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</si>
  <si>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</si>
  <si>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</si>
  <si>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</si>
  <si>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</si>
  <si>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</si>
  <si>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</si>
  <si>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</si>
  <si>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</si>
  <si>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</si>
  <si>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</si>
  <si>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</si>
  <si>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</si>
  <si>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</si>
  <si>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</si>
  <si>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</si>
  <si>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</si>
  <si>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</si>
  <si>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</si>
  <si>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</si>
  <si>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</si>
  <si>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</si>
  <si>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</si>
  <si>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</si>
  <si>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</si>
  <si>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</si>
  <si>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</si>
  <si>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</si>
  <si>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</si>
  <si>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</si>
  <si>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</si>
  <si>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</si>
  <si>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</si>
  <si>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</si>
  <si>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</si>
  <si>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</si>
  <si>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</si>
  <si>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</si>
  <si>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</si>
  <si>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</si>
  <si>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</si>
  <si>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</si>
  <si>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</si>
  <si>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</si>
  <si>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</si>
  <si>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</si>
  <si>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</si>
  <si>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</si>
  <si>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</si>
  <si>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</si>
  <si>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</si>
  <si>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</si>
  <si>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</si>
  <si>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</si>
  <si>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</si>
  <si>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</si>
  <si>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</si>
  <si>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</si>
  <si>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</si>
  <si>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</si>
  <si>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</si>
  <si>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</si>
  <si>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</si>
  <si>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</si>
  <si>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</si>
  <si>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</si>
  <si>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</si>
  <si>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</si>
  <si>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</si>
  <si>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</si>
  <si>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</si>
  <si>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</si>
  <si>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</si>
  <si>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</si>
  <si>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</si>
  <si>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</si>
  <si>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</si>
  <si>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</si>
  <si>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</si>
  <si>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</si>
  <si>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</si>
  <si>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</si>
  <si>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</si>
  <si>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</si>
  <si>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</si>
  <si>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</si>
  <si>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</si>
  <si>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</si>
  <si>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</si>
  <si>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</si>
  <si>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</si>
  <si>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</si>
  <si>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</si>
  <si>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</si>
  <si>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</si>
  <si>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</si>
  <si>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</si>
  <si>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</si>
  <si>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</si>
  <si>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</si>
  <si>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</si>
  <si>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</si>
  <si>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</si>
  <si>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</si>
  <si>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</si>
  <si>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</si>
  <si>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</si>
  <si>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</si>
  <si>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</si>
  <si>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</si>
  <si>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</si>
  <si>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</si>
  <si>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</si>
  <si>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</si>
  <si>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</si>
  <si>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</si>
  <si>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</si>
  <si>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</si>
  <si>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</si>
  <si>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</si>
  <si>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</si>
  <si>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</si>
  <si>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</si>
  <si>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</si>
  <si>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</si>
  <si>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</si>
  <si>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</si>
  <si>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</si>
  <si>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</si>
  <si>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</si>
  <si>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</si>
  <si>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</si>
  <si>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</si>
  <si>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</si>
  <si>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</si>
  <si>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</si>
  <si>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</si>
  <si>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</si>
  <si>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</si>
  <si>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</si>
  <si>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</si>
  <si>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</si>
  <si>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</si>
  <si>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</si>
  <si>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</si>
  <si>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</si>
  <si>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</si>
  <si>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</si>
  <si>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</si>
  <si>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</si>
  <si>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</si>
  <si>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</si>
  <si>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</si>
  <si>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</si>
  <si>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</si>
  <si>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</si>
  <si>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</si>
  <si>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</si>
  <si>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</si>
  <si>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</si>
  <si>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</si>
  <si>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</si>
  <si>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</si>
  <si>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</si>
  <si>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</si>
  <si>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</si>
  <si>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</si>
  <si>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</si>
  <si>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</si>
  <si>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</si>
  <si>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</si>
  <si>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</si>
  <si>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</si>
  <si>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</si>
  <si>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</si>
  <si>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</si>
  <si>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</si>
  <si>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</si>
  <si>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</si>
  <si>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</si>
  <si>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</si>
  <si>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</si>
  <si>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</si>
  <si>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</si>
  <si>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</si>
  <si>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</si>
  <si>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</si>
  <si>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</si>
  <si>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</si>
  <si>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</si>
  <si>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</si>
  <si>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</si>
  <si>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</si>
  <si>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</si>
  <si>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</si>
  <si>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</si>
  <si>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</si>
  <si>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</si>
  <si>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</si>
  <si>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</si>
  <si>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</si>
  <si>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</si>
  <si>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</si>
  <si>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</si>
  <si>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</si>
  <si>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</si>
  <si>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</si>
  <si>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</si>
  <si>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</si>
  <si>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</si>
  <si>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</si>
  <si>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</si>
  <si>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</si>
  <si>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</si>
  <si>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</si>
  <si>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</si>
  <si>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</si>
  <si>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</si>
  <si>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</si>
  <si>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</si>
  <si>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</si>
  <si>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</si>
  <si>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</si>
  <si>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</si>
  <si>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</si>
  <si>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</si>
  <si>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</si>
  <si>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</si>
  <si>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</si>
  <si>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</si>
  <si>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</si>
  <si>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</si>
  <si>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</si>
  <si>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</si>
  <si>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</si>
  <si>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</si>
  <si>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</si>
  <si>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</si>
  <si>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</si>
  <si>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</si>
  <si>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</si>
  <si>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</si>
  <si>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</si>
  <si>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</si>
  <si>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</si>
  <si>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</si>
  <si>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</si>
  <si>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</si>
  <si>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</si>
  <si>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</si>
  <si>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</si>
  <si>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</si>
  <si>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</si>
  <si>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</si>
  <si>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</si>
  <si>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</si>
  <si>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</si>
  <si>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</si>
  <si>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</si>
  <si>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</si>
  <si>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</si>
  <si>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</si>
  <si>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</si>
  <si>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</si>
  <si>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</si>
  <si>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</si>
  <si>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</si>
  <si>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</si>
  <si>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</si>
  <si>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</si>
  <si>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</si>
  <si>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</si>
  <si>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</si>
  <si>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</si>
  <si>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</si>
  <si>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</si>
  <si>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</si>
  <si>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</si>
  <si>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</si>
  <si>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</si>
  <si>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</si>
  <si>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</si>
  <si>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</si>
  <si>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</si>
  <si>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</si>
  <si>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</si>
  <si>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</si>
  <si>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</si>
  <si>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</si>
  <si>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</si>
  <si>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</si>
  <si>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</si>
  <si>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</si>
  <si>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</si>
  <si>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</si>
  <si>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</si>
  <si>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</si>
  <si>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</si>
  <si>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</si>
  <si>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</si>
  <si>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</si>
  <si>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</si>
  <si>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</si>
  <si>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</si>
  <si>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</si>
  <si>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</si>
  <si>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</si>
  <si>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</si>
  <si>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</si>
  <si>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</si>
  <si>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</si>
  <si>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</si>
  <si>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</si>
  <si>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</si>
  <si>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</si>
  <si>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</si>
  <si>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</si>
  <si>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</si>
  <si>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</si>
  <si>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</si>
  <si>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</si>
  <si>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</si>
  <si>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</si>
  <si>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</si>
  <si>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</si>
  <si>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</si>
  <si>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</si>
  <si>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</si>
  <si>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</si>
  <si>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</si>
  <si>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</si>
  <si>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</si>
  <si>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</si>
  <si>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</si>
  <si>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</si>
  <si>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</si>
  <si>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</si>
  <si>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</si>
  <si>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</si>
  <si>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</si>
  <si>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</si>
  <si>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</si>
  <si>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</si>
  <si>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</si>
  <si>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</si>
  <si>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</si>
  <si>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</si>
  <si>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</si>
  <si>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</si>
  <si>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</si>
  <si>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</si>
  <si>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</si>
  <si>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</si>
  <si>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</si>
  <si>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</si>
  <si>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</si>
  <si>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</si>
  <si>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</si>
  <si>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</si>
  <si>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</si>
  <si>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</si>
  <si>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</si>
  <si>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</si>
  <si>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</si>
  <si>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</si>
  <si>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</si>
  <si>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</si>
  <si>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</si>
  <si>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</si>
  <si>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</si>
  <si>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</si>
  <si>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</si>
  <si>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</si>
  <si>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</si>
  <si>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</si>
  <si>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</si>
  <si>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</si>
  <si>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</si>
  <si>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</si>
  <si>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</si>
  <si>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</si>
  <si>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</si>
  <si>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</si>
  <si>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</si>
  <si>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</si>
  <si>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</si>
  <si>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</si>
  <si>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</si>
  <si>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</si>
  <si>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</si>
  <si>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</si>
  <si>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</si>
  <si>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</si>
  <si>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</si>
  <si>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</si>
  <si>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</si>
  <si>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</si>
  <si>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</si>
  <si>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</si>
  <si>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</si>
  <si>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</si>
  <si>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</si>
  <si>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</si>
  <si>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</si>
  <si>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</si>
  <si>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</si>
  <si>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</si>
  <si>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</si>
  <si>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</si>
  <si>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</si>
  <si>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</si>
  <si>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</si>
  <si>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</si>
  <si>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</si>
  <si>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</si>
  <si>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</si>
  <si>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</si>
  <si>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</si>
  <si>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</si>
  <si>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</si>
  <si>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</si>
  <si>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</si>
  <si>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</si>
  <si>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</si>
  <si>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</si>
  <si>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</si>
  <si>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</si>
  <si>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</si>
  <si>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</si>
  <si>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</si>
  <si>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</si>
  <si>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</si>
  <si>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</si>
  <si>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</si>
  <si>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</si>
  <si>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</si>
  <si>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</si>
  <si>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</si>
  <si>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</si>
  <si>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</si>
  <si>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</si>
  <si>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</si>
  <si>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</si>
  <si>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</si>
  <si>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</si>
  <si>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</si>
  <si>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</si>
  <si>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</si>
  <si>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</si>
  <si>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</si>
  <si>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</si>
  <si>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</si>
  <si>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</si>
  <si>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</si>
  <si>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</si>
  <si>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</si>
  <si>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</si>
  <si>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</si>
  <si>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</si>
  <si>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</si>
  <si>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</si>
  <si>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</si>
  <si>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</si>
  <si>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</si>
  <si>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</si>
  <si>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</si>
  <si>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</si>
  <si>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</si>
  <si>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</si>
  <si>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</si>
  <si>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</si>
  <si>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</si>
  <si>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</si>
  <si>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</si>
  <si>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</si>
  <si>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</si>
  <si>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</si>
  <si>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</si>
  <si>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</si>
  <si>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</si>
  <si>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</si>
  <si>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</si>
  <si>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</si>
  <si>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</si>
  <si>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</si>
  <si>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</si>
  <si>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</si>
  <si>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</si>
  <si>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</si>
  <si>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</si>
  <si>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</si>
  <si>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</si>
  <si>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</si>
  <si>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</si>
  <si>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</si>
  <si>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</si>
  <si>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</si>
  <si>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</si>
  <si>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</si>
  <si>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</si>
  <si>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</si>
  <si>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</si>
  <si>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</si>
  <si>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</si>
  <si>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</si>
  <si>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</si>
  <si>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</si>
  <si>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</si>
  <si>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</si>
  <si>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</si>
  <si>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</si>
  <si>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</si>
  <si>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</si>
  <si>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</si>
  <si>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</si>
  <si>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</si>
  <si>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</si>
  <si>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</si>
  <si>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</si>
  <si>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</si>
  <si>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</si>
  <si>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</si>
  <si>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</si>
  <si>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</si>
  <si>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</si>
  <si>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</si>
  <si>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</si>
  <si>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</si>
  <si>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</si>
  <si>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</si>
  <si>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</si>
  <si>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</si>
  <si>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</si>
  <si>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</si>
  <si>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</si>
  <si>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</si>
  <si>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</si>
  <si>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</si>
  <si>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</si>
  <si>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</si>
  <si>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</si>
  <si>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</si>
  <si>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</si>
  <si>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</si>
  <si>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</si>
  <si>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</si>
  <si>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</si>
  <si>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</si>
  <si>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</si>
  <si>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</si>
  <si>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</si>
  <si>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</si>
  <si>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</si>
  <si>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</si>
  <si>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</si>
  <si>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</si>
  <si>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</si>
  <si>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</si>
  <si>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</si>
  <si>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</si>
  <si>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</si>
  <si>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</si>
  <si>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</si>
  <si>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</si>
  <si>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</si>
  <si>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</si>
  <si>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</si>
  <si>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</si>
  <si>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</si>
  <si>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</si>
  <si>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</si>
  <si>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</si>
  <si>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</si>
  <si>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</si>
  <si>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</si>
  <si>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</si>
  <si>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</si>
  <si>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</si>
  <si>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</si>
  <si>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</si>
  <si>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</si>
  <si>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</si>
  <si>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</si>
  <si>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</si>
  <si>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</si>
  <si>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</si>
  <si>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</si>
  <si>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</si>
  <si>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</si>
  <si>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</si>
  <si>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</si>
  <si>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</si>
  <si>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</si>
  <si>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</si>
  <si>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</si>
  <si>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</si>
  <si>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</si>
  <si>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</si>
  <si>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</si>
  <si>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</si>
  <si>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</si>
  <si>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</si>
  <si>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</si>
  <si>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</si>
  <si>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</si>
  <si>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</si>
  <si>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</si>
  <si>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</si>
  <si>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</si>
  <si>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</si>
  <si>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</si>
  <si>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</si>
  <si>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</si>
  <si>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</si>
  <si>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</si>
  <si>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</si>
  <si>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</si>
  <si>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</si>
  <si>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</si>
  <si>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</si>
  <si>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</si>
  <si>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</si>
  <si>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</si>
  <si>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</si>
  <si>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</si>
  <si>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</si>
  <si>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</si>
  <si>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</si>
  <si>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</si>
  <si>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</si>
  <si>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</si>
  <si>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</si>
  <si>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</si>
  <si>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</si>
  <si>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</si>
  <si>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</si>
  <si>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</si>
  <si>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</si>
  <si>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</si>
  <si>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</si>
  <si>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</si>
  <si>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</si>
  <si>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</si>
  <si>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</si>
  <si>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</si>
  <si>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</si>
  <si>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</si>
  <si>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</si>
  <si>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</si>
  <si>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</si>
  <si>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</si>
  <si>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</si>
  <si>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</si>
  <si>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</si>
  <si>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</si>
  <si>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</si>
  <si>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</si>
  <si>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</si>
  <si>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</si>
  <si>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</si>
  <si>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</si>
  <si>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</si>
  <si>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</si>
  <si>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</si>
  <si>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</si>
  <si>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</si>
  <si>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</si>
  <si>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</si>
  <si>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</si>
  <si>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</si>
  <si>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</si>
  <si>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</si>
  <si>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</si>
  <si>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</si>
  <si>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</si>
  <si>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</si>
  <si>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</si>
  <si>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</si>
  <si>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</si>
  <si>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</si>
  <si>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</si>
  <si>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</si>
  <si>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</si>
  <si>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</si>
  <si>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</si>
  <si>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</si>
  <si>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</si>
  <si>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</si>
  <si>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</si>
  <si>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</si>
  <si>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</si>
  <si>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</si>
  <si>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</si>
  <si>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</si>
  <si>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</si>
  <si>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</si>
  <si>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</si>
  <si>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</si>
  <si>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</si>
  <si>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</si>
  <si>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</si>
  <si>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</si>
  <si>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</si>
  <si>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</si>
  <si>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</si>
  <si>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</si>
  <si>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</si>
  <si>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</si>
  <si>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</si>
  <si>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</si>
  <si>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</si>
  <si>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</si>
  <si>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</si>
  <si>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</si>
  <si>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</si>
  <si>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</si>
  <si>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</si>
  <si>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</si>
  <si>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</si>
  <si>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</si>
  <si>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</si>
  <si>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</si>
  <si>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</si>
  <si>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</si>
  <si>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</si>
  <si>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</si>
  <si>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</si>
  <si>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</si>
  <si>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</si>
  <si>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</si>
  <si>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</si>
  <si>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</si>
  <si>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</si>
  <si>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</si>
  <si>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</si>
  <si>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</si>
  <si>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</si>
  <si>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</si>
  <si>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</si>
  <si>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</si>
  <si>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</si>
  <si>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</si>
  <si>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</si>
  <si>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</si>
  <si>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</si>
  <si>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</si>
  <si>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</si>
  <si>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</si>
  <si>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</si>
  <si>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</si>
  <si>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</si>
  <si>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</si>
  <si>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</si>
  <si>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</si>
  <si>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</si>
  <si>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</si>
  <si>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</si>
  <si>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</si>
  <si>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</si>
  <si>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</si>
  <si>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</si>
  <si>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</si>
  <si>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</si>
  <si>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</si>
  <si>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</si>
  <si>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</si>
  <si>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</si>
  <si>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</si>
  <si>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</si>
  <si>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</si>
  <si>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</si>
  <si>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</si>
  <si>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</si>
  <si>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</si>
  <si>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</si>
  <si>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</si>
  <si>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</si>
  <si>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</si>
  <si>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</si>
  <si>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</si>
  <si>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</si>
  <si>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</si>
  <si>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</si>
  <si>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</si>
  <si>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</si>
  <si>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</si>
  <si>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</si>
  <si>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</si>
  <si>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</si>
  <si>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</si>
  <si>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</si>
  <si>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</si>
  <si>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</si>
  <si>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</si>
  <si>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</si>
  <si>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</si>
  <si>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</si>
  <si>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</si>
  <si>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</si>
  <si>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</si>
  <si>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</si>
  <si>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</si>
  <si>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</si>
  <si>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</si>
  <si>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</si>
  <si>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</si>
  <si>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</si>
  <si>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</si>
  <si>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</si>
  <si>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</si>
  <si>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</si>
  <si>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</si>
  <si>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</si>
  <si>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</si>
  <si>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</si>
  <si>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</si>
  <si>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</si>
  <si>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</si>
  <si>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</si>
  <si>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</si>
  <si>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</si>
  <si>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</si>
  <si>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</si>
  <si>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</si>
  <si>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</si>
  <si>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</si>
  <si>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</si>
  <si>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</si>
  <si>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</si>
  <si>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</si>
  <si>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</si>
  <si>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</si>
  <si>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</si>
  <si>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</si>
  <si>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</si>
  <si>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</si>
  <si>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</si>
  <si>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</si>
  <si>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</si>
  <si>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</si>
  <si>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</si>
  <si>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</si>
  <si>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</si>
  <si>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</si>
  <si>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</si>
  <si>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</si>
  <si>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</si>
  <si>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</si>
  <si>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</si>
  <si>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</si>
  <si>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</si>
  <si>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</si>
  <si>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</si>
  <si>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</si>
  <si>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</si>
  <si>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</si>
  <si>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</si>
  <si>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</si>
  <si>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</si>
  <si>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</si>
  <si>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</si>
  <si>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</si>
  <si>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</si>
  <si>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</si>
  <si>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</si>
  <si>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</si>
  <si>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</si>
  <si>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</si>
  <si>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</si>
  <si>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</si>
  <si>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</si>
  <si>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</si>
  <si>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</si>
  <si>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</si>
  <si>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</si>
  <si>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</si>
  <si>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</si>
  <si>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</si>
  <si>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</si>
  <si>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</si>
  <si>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</si>
  <si>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</si>
  <si>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</si>
  <si>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</si>
  <si>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</si>
  <si>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</si>
  <si>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</si>
  <si>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</si>
  <si>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</si>
  <si>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</si>
  <si>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</si>
  <si>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</si>
  <si>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</si>
  <si>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</si>
  <si>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</si>
  <si>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</si>
  <si>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</si>
  <si>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</si>
  <si>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</si>
  <si>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</si>
  <si>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</si>
  <si>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</si>
  <si>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</si>
  <si>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</si>
  <si>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</si>
  <si>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</si>
  <si>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</si>
  <si>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</si>
  <si>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</si>
  <si>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</si>
  <si>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</si>
  <si>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</si>
  <si>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</si>
  <si>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</si>
  <si>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</si>
  <si>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</si>
  <si>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</si>
  <si>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</si>
  <si>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</si>
  <si>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</si>
  <si>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</si>
  <si>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</si>
  <si>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</si>
  <si>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</si>
  <si>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</si>
  <si>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</si>
  <si>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</si>
  <si>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</si>
  <si>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</si>
  <si>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</si>
  <si>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</si>
  <si>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</si>
  <si>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</si>
  <si>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</si>
  <si>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</si>
  <si>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</si>
  <si>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</si>
  <si>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</si>
  <si>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</si>
  <si>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</si>
  <si>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</si>
  <si>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</si>
  <si>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</si>
  <si>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</si>
  <si>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</si>
  <si>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</si>
  <si>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</si>
  <si>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</si>
  <si>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</si>
  <si>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</si>
  <si>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</si>
  <si>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</si>
  <si>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</si>
  <si>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</si>
  <si>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</si>
  <si>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</si>
  <si>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</si>
  <si>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</si>
  <si>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</si>
  <si>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</si>
  <si>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</si>
  <si>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</si>
  <si>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</si>
  <si>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</si>
  <si>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</si>
  <si>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</si>
  <si>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</si>
  <si>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</si>
  <si>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</si>
  <si>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</si>
  <si>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</si>
  <si>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</si>
  <si>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</si>
  <si>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</si>
  <si>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</si>
  <si>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</si>
  <si>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</si>
  <si>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</si>
  <si>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</si>
  <si>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</si>
  <si>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</si>
  <si>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</si>
  <si>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</si>
  <si>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</si>
  <si>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</si>
  <si>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</si>
  <si>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</si>
  <si>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</si>
  <si>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</si>
  <si>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</si>
  <si>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</si>
  <si>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</si>
  <si>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</si>
  <si>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</si>
  <si>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</si>
  <si>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</si>
  <si>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</si>
  <si>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</si>
  <si>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</si>
  <si>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</si>
  <si>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</si>
  <si>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</si>
  <si>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</si>
  <si>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</si>
  <si>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</si>
  <si>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</si>
  <si>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</si>
  <si>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</si>
  <si>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</si>
  <si>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</si>
  <si>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</si>
  <si>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</si>
  <si>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</si>
  <si>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</si>
  <si>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</si>
  <si>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</si>
  <si>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</si>
  <si>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</si>
  <si>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</si>
  <si>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</si>
  <si>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</si>
  <si>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</si>
  <si>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</si>
  <si>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</si>
  <si>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</si>
  <si>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</si>
  <si>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</si>
  <si>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</si>
  <si>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</si>
  <si>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</si>
  <si>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</si>
  <si>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</si>
  <si>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</si>
  <si>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</si>
  <si>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</si>
  <si>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</si>
  <si>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</si>
  <si>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</si>
  <si>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</si>
  <si>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</si>
  <si>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</si>
  <si>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</si>
  <si>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</si>
  <si>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</si>
  <si>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</si>
  <si>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</si>
  <si>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</si>
  <si>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</si>
  <si>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</si>
  <si>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</si>
  <si>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</si>
  <si>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</si>
  <si>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</si>
  <si>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</si>
  <si>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</si>
  <si>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</si>
  <si>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</si>
  <si>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</si>
  <si>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</si>
  <si>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</si>
  <si>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</si>
  <si>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</si>
  <si>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</si>
  <si>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</si>
  <si>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</si>
  <si>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</si>
  <si>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</si>
  <si>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</si>
  <si>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</si>
  <si>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</si>
  <si>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</si>
  <si>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</si>
  <si>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</si>
  <si>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</si>
  <si>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</si>
  <si>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</si>
  <si>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</si>
  <si>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</si>
  <si>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</si>
  <si>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</si>
  <si>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</si>
  <si>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</si>
  <si>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</si>
  <si>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</si>
  <si>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</si>
  <si>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</si>
  <si>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</si>
  <si>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</si>
  <si>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</si>
  <si>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</si>
  <si>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</si>
  <si>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</si>
  <si>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</si>
  <si>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</si>
  <si>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</si>
  <si>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</si>
  <si>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</si>
  <si>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</si>
  <si>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</si>
  <si>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</si>
  <si>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</si>
  <si>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</si>
  <si>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</si>
  <si>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</si>
  <si>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</si>
  <si>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</si>
  <si>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</si>
  <si>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</si>
  <si>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</si>
  <si>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</si>
  <si>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</si>
  <si>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</si>
  <si>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</si>
  <si>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</si>
  <si>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</si>
  <si>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</si>
  <si>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</si>
  <si>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</si>
  <si>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</si>
  <si>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</si>
  <si>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</si>
  <si>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</si>
  <si>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</si>
  <si>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</si>
  <si>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</si>
  <si>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</si>
  <si>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</si>
  <si>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</si>
  <si>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</si>
  <si>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</si>
  <si>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</si>
  <si>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</si>
  <si>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</si>
  <si>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</si>
  <si>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</si>
  <si>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</si>
  <si>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</si>
  <si>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</si>
  <si>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</si>
  <si>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</si>
  <si>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</si>
  <si>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</si>
  <si>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</si>
  <si>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</si>
  <si>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</si>
  <si>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</si>
  <si>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</si>
  <si>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</si>
  <si>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</si>
  <si>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</si>
  <si>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</si>
  <si>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</si>
  <si>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</si>
  <si>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</si>
  <si>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</si>
  <si>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</si>
  <si>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</si>
  <si>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</si>
  <si>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</si>
  <si>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</si>
  <si>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</si>
  <si>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</si>
  <si>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</si>
  <si>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</si>
  <si>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</si>
  <si>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</si>
  <si>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</si>
  <si>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</si>
  <si>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</si>
  <si>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</si>
  <si>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</si>
  <si>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</si>
  <si>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</si>
  <si>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</si>
  <si>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</si>
  <si>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</si>
  <si>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</si>
  <si>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</si>
  <si>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</si>
  <si>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</si>
  <si>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</si>
  <si>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</si>
  <si>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</si>
  <si>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</si>
  <si>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</si>
  <si>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</si>
  <si>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</si>
  <si>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</si>
  <si>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</si>
  <si>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</si>
  <si>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</si>
  <si>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</si>
  <si>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</si>
  <si>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</si>
  <si>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</si>
  <si>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</si>
  <si>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</si>
  <si>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</si>
  <si>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</si>
  <si>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</si>
  <si>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</si>
  <si>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</si>
  <si>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</si>
  <si>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</si>
  <si>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</si>
  <si>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</si>
  <si>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</si>
  <si>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</si>
  <si>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</si>
  <si>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</si>
  <si>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</si>
  <si>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</si>
  <si>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</si>
  <si>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</si>
  <si>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</si>
  <si>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</si>
  <si>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</si>
  <si>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</si>
  <si>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</si>
  <si>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</si>
  <si>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</si>
  <si>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</si>
  <si>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</si>
  <si>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</si>
  <si>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</si>
  <si>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</si>
  <si>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</si>
  <si>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</si>
  <si>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</si>
  <si>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</si>
  <si>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</si>
  <si>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</si>
  <si>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</si>
  <si>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</si>
  <si>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</si>
  <si>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</si>
  <si>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</si>
  <si>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</si>
  <si>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</si>
  <si>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</si>
  <si>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</si>
  <si>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</si>
  <si>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</si>
  <si>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</si>
  <si>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</si>
  <si>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</si>
  <si>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</si>
  <si>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</si>
  <si>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</si>
  <si>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</si>
  <si>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</si>
  <si>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</si>
  <si>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</si>
  <si>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</si>
  <si>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</si>
  <si>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</si>
  <si>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</si>
  <si>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</si>
  <si>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</si>
  <si>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</si>
  <si>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</si>
  <si>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</si>
  <si>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</si>
  <si>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</si>
  <si>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</si>
  <si>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</si>
  <si>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</si>
  <si>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</si>
  <si>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</si>
  <si>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</si>
  <si>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</si>
  <si>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</si>
  <si>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</si>
  <si>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</si>
  <si>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</si>
  <si>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</si>
  <si>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</si>
  <si>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</si>
  <si>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</si>
  <si>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</si>
  <si>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</si>
  <si>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</si>
  <si>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</si>
  <si>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</si>
  <si>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</si>
  <si>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</si>
  <si>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</si>
  <si>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</si>
  <si>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</si>
  <si>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</si>
  <si>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</si>
  <si>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</si>
  <si>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</si>
  <si>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</si>
  <si>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</si>
  <si>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</si>
  <si>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</si>
  <si>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</si>
  <si>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</si>
  <si>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</si>
  <si>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</si>
  <si>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</si>
  <si>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</si>
  <si>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</si>
  <si>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</si>
  <si>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</si>
  <si>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</si>
  <si>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</si>
  <si>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</si>
  <si>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</si>
  <si>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</si>
  <si>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</si>
  <si>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</si>
  <si>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</si>
  <si>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</si>
  <si>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</si>
  <si>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</si>
  <si>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</si>
  <si>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</si>
  <si>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</si>
  <si>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</si>
  <si>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</si>
  <si>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</si>
  <si>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</si>
  <si>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</si>
  <si>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</si>
  <si>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</si>
  <si>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</si>
  <si>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</si>
  <si>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</si>
  <si>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</si>
  <si>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</si>
  <si>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</si>
  <si>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</si>
  <si>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</si>
  <si>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</si>
  <si>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</si>
  <si>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</si>
  <si>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</si>
  <si>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</si>
  <si>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</si>
  <si>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</si>
  <si>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</si>
  <si>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</si>
  <si>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</si>
  <si>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</si>
  <si>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</si>
  <si>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</si>
  <si>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</si>
  <si>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</si>
  <si>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</si>
  <si>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</si>
  <si>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</si>
  <si>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</si>
  <si>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</si>
  <si>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</si>
  <si>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</si>
  <si>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</si>
  <si>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</si>
  <si>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</si>
  <si>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</si>
  <si>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</si>
  <si>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</si>
  <si>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</si>
  <si>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</si>
  <si>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</si>
  <si>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</si>
  <si>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</si>
  <si>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</si>
  <si>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</si>
  <si>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</si>
  <si>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</si>
  <si>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</si>
  <si>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</si>
  <si>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</si>
  <si>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</si>
  <si>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</si>
  <si>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</si>
  <si>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</si>
  <si>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</si>
  <si>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</si>
  <si>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</si>
  <si>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</si>
  <si>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</si>
  <si>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</si>
  <si>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</si>
  <si>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</si>
  <si>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</si>
  <si>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</si>
  <si>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</si>
  <si>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</si>
  <si>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</si>
  <si>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</si>
  <si>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</si>
  <si>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</si>
  <si>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</si>
  <si>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</si>
  <si>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</si>
  <si>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</si>
  <si>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</si>
  <si>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</si>
  <si>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</si>
  <si>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</si>
  <si>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</si>
  <si>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</si>
  <si>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</si>
  <si>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</si>
  <si>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</si>
  <si>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</si>
  <si>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</si>
  <si>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</si>
  <si>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</si>
  <si>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</si>
  <si>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</si>
  <si>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</si>
  <si>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</si>
  <si>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</si>
  <si>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</si>
  <si>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</si>
  <si>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</si>
  <si>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</si>
  <si>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</si>
  <si>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</si>
  <si>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</si>
  <si>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</si>
  <si>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</si>
  <si>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</si>
  <si>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</si>
  <si>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</si>
  <si>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</si>
  <si>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</si>
  <si>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</si>
  <si>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</si>
  <si>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</si>
  <si>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</si>
  <si>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</si>
  <si>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</si>
  <si>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</si>
  <si>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</si>
  <si>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</si>
  <si>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</si>
  <si>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</si>
  <si>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</si>
  <si>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</si>
  <si>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</si>
  <si>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</si>
  <si>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</si>
  <si>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</si>
  <si>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</si>
  <si>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</si>
  <si>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</si>
  <si>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</si>
  <si>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</si>
  <si>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</si>
  <si>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</si>
  <si>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</si>
  <si>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</si>
  <si>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</si>
  <si>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</si>
  <si>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</si>
  <si>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</si>
  <si>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</si>
  <si>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</si>
  <si>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</si>
  <si>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</si>
  <si>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</si>
  <si>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</si>
  <si>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</si>
  <si>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</si>
  <si>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</si>
  <si>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</si>
  <si>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</si>
  <si>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</si>
  <si>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</si>
  <si>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</si>
  <si>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</si>
  <si>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</si>
  <si>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</si>
  <si>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</si>
  <si>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</si>
  <si>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</si>
  <si>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</si>
  <si>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</si>
  <si>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</si>
  <si>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</si>
  <si>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</si>
  <si>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</si>
  <si>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</si>
  <si>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</si>
  <si>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</si>
  <si>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</si>
  <si>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</si>
  <si>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</si>
  <si>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</si>
  <si>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</si>
  <si>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</si>
  <si>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</si>
  <si>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</si>
  <si>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</si>
  <si>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</si>
  <si>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</si>
  <si>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</si>
  <si>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</si>
  <si>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</si>
  <si>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</si>
  <si>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</si>
  <si>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</si>
  <si>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</si>
  <si>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</si>
  <si>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</si>
  <si>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</si>
  <si>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</si>
  <si>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</si>
  <si>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</si>
  <si>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</si>
  <si>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</si>
  <si>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</si>
  <si>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</si>
  <si>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</si>
  <si>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</si>
  <si>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</si>
  <si>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</si>
  <si>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</si>
  <si>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</si>
  <si>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</si>
  <si>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</si>
  <si>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</si>
  <si>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</si>
  <si>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</si>
  <si>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</si>
  <si>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</si>
  <si>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</si>
  <si>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</si>
  <si>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</si>
  <si>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</si>
  <si>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</si>
  <si>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</si>
  <si>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</si>
  <si>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</si>
  <si>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</si>
  <si>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</si>
  <si>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</si>
  <si>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</si>
  <si>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</si>
  <si>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</si>
  <si>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</si>
  <si>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</si>
  <si>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</si>
  <si>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</si>
  <si>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</si>
  <si>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</si>
  <si>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</si>
  <si>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</si>
  <si>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</si>
  <si>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</si>
  <si>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</si>
  <si>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</si>
  <si>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</si>
  <si>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</si>
  <si>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</si>
  <si>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</si>
  <si>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</si>
  <si>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</si>
  <si>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</si>
  <si>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</si>
  <si>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</si>
  <si>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</si>
  <si>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</si>
  <si>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</si>
  <si>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</si>
  <si>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</si>
  <si>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</si>
  <si>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</si>
  <si>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</si>
  <si>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</si>
  <si>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</si>
  <si>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</si>
  <si>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</si>
  <si>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</si>
  <si>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</si>
  <si>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</si>
  <si>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</si>
  <si>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</si>
  <si>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</si>
  <si>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</si>
  <si>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</si>
  <si>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</si>
  <si>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</si>
  <si>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</si>
  <si>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</si>
  <si>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</si>
  <si>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</si>
  <si>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</si>
  <si>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</si>
  <si>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</si>
  <si>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</si>
  <si>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</si>
  <si>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</si>
  <si>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</si>
  <si>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</si>
  <si>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</si>
  <si>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</si>
  <si>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</si>
  <si>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</si>
  <si>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</si>
  <si>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</si>
  <si>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</si>
  <si>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</si>
  <si>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</si>
  <si>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</si>
  <si>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</si>
  <si>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</si>
  <si>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</si>
  <si>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</si>
  <si>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</si>
  <si>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</si>
  <si>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</si>
  <si>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</si>
  <si>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</si>
  <si>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</si>
  <si>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</si>
  <si>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</si>
  <si>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</si>
  <si>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</si>
  <si>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</si>
  <si>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</si>
  <si>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</si>
  <si>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</si>
  <si>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</si>
  <si>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</si>
  <si>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</si>
  <si>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</si>
  <si>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</si>
  <si>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</si>
  <si>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</si>
  <si>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</si>
  <si>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</si>
  <si>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</si>
  <si>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</si>
  <si>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</si>
  <si>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</si>
  <si>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</si>
  <si>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</si>
  <si>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</si>
  <si>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</si>
  <si>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</si>
  <si>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</si>
  <si>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</si>
  <si>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</si>
  <si>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</si>
  <si>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</si>
  <si>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</si>
  <si>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</si>
  <si>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</si>
  <si>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</si>
  <si>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</si>
  <si>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</si>
  <si>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</si>
  <si>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</si>
  <si>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</si>
  <si>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</si>
  <si>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</si>
  <si>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</si>
  <si>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</si>
  <si>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</si>
  <si>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</si>
  <si>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</si>
  <si>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</si>
  <si>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</si>
  <si>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</si>
  <si>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</si>
  <si>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</si>
  <si>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</si>
  <si>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</si>
  <si>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</si>
  <si>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</si>
  <si>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</si>
  <si>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</si>
  <si>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</si>
  <si>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</si>
  <si>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</si>
  <si>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</si>
  <si>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</si>
  <si>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</si>
  <si>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</si>
  <si>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</si>
  <si>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</si>
  <si>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</si>
  <si>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</si>
  <si>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</si>
  <si>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</si>
  <si>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</si>
  <si>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</si>
  <si>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</si>
  <si>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</si>
  <si>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</si>
  <si>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</si>
  <si>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</si>
  <si>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</si>
  <si>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</si>
  <si>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</si>
  <si>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</si>
  <si>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</si>
  <si>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</si>
  <si>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</si>
  <si>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</si>
  <si>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</si>
  <si>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</si>
  <si>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</si>
  <si>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</si>
  <si>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</si>
  <si>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</si>
  <si>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</si>
  <si>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</si>
  <si>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</si>
  <si>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</si>
  <si>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</si>
  <si>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</si>
  <si>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</si>
  <si>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</si>
  <si>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</si>
  <si>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</si>
  <si>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</si>
  <si>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</si>
  <si>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</si>
  <si>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</si>
  <si>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</si>
  <si>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</si>
  <si>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</si>
  <si>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</si>
  <si>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</si>
  <si>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</si>
  <si>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</si>
  <si>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</si>
  <si>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</si>
  <si>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</si>
  <si>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</si>
  <si>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</si>
  <si>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</si>
  <si>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</si>
  <si>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</si>
  <si>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</si>
  <si>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</si>
  <si>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</si>
  <si>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</si>
  <si>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</si>
  <si>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</si>
  <si>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</si>
  <si>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</si>
  <si>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</si>
  <si>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</si>
  <si>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</si>
  <si>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</si>
  <si>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</si>
  <si>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</si>
  <si>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</si>
  <si>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</si>
  <si>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</si>
  <si>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</si>
  <si>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</si>
  <si>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</si>
  <si>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</si>
  <si>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</si>
  <si>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</si>
  <si>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</si>
  <si>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</si>
  <si>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</si>
  <si>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</si>
  <si>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</si>
  <si>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</si>
  <si>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</si>
  <si>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</si>
  <si>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</si>
  <si>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</si>
  <si>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</si>
  <si>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</si>
  <si>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</si>
  <si>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</si>
  <si>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</si>
  <si>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</si>
  <si>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</si>
  <si>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</si>
  <si>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</si>
  <si>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</si>
  <si>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</si>
  <si>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</si>
  <si>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</si>
  <si>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</si>
  <si>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</si>
  <si>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</si>
  <si>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</si>
  <si>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</si>
  <si>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</si>
  <si>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</si>
  <si>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</si>
  <si>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</si>
  <si>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</si>
  <si>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</si>
  <si>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</si>
  <si>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</si>
  <si>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</si>
  <si>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</si>
  <si>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</si>
  <si>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</si>
  <si>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</si>
  <si>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</si>
  <si>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</si>
  <si>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</si>
  <si>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</si>
  <si>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</si>
  <si>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</si>
  <si>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</si>
  <si>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</si>
  <si>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</si>
  <si>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</si>
  <si>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</si>
  <si>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</si>
  <si>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</si>
  <si>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</si>
  <si>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</si>
  <si>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</si>
  <si>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</si>
  <si>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</si>
  <si>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</si>
  <si>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</si>
  <si>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</si>
  <si>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</si>
  <si>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</si>
  <si>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</si>
  <si>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</si>
  <si>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</si>
  <si>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</si>
  <si>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</si>
  <si>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</si>
  <si>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</si>
  <si>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</si>
  <si>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</si>
  <si>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</si>
  <si>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</si>
  <si>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</si>
  <si>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</si>
  <si>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</si>
  <si>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</si>
  <si>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</si>
  <si>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</si>
  <si>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</si>
  <si>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</si>
  <si>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</si>
  <si>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</si>
  <si>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</si>
  <si>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</si>
  <si>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</si>
  <si>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</si>
  <si>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</si>
  <si>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</si>
  <si>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</si>
  <si>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</si>
  <si>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</si>
  <si>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</si>
  <si>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</si>
  <si>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</si>
  <si>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</si>
  <si>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</si>
  <si>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</si>
  <si>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</si>
  <si>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</si>
  <si>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</si>
  <si>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</si>
  <si>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</si>
  <si>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</si>
  <si>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</si>
  <si>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</si>
  <si>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</si>
  <si>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</si>
  <si>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</si>
  <si>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</si>
  <si>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</si>
  <si>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</si>
  <si>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</si>
  <si>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</si>
  <si>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</si>
  <si>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</si>
  <si>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</si>
  <si>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</si>
  <si>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</si>
  <si>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</si>
  <si>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</si>
  <si>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</si>
  <si>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</si>
  <si>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</si>
  <si>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</si>
  <si>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</si>
  <si>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</si>
  <si>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</si>
  <si>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</si>
  <si>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</si>
  <si>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</si>
  <si>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</si>
  <si>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</si>
  <si>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</si>
  <si>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</si>
  <si>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</si>
  <si>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</si>
  <si>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</si>
  <si>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</si>
  <si>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</si>
  <si>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</si>
  <si>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</si>
  <si>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</si>
  <si>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</si>
  <si>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</si>
  <si>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</si>
  <si>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</si>
  <si>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</si>
  <si>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</si>
  <si>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</si>
  <si>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</si>
  <si>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</si>
  <si>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</si>
  <si>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</si>
  <si>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</si>
  <si>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</si>
  <si>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</si>
  <si>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</si>
  <si>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</si>
  <si>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</si>
  <si>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</si>
  <si>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</si>
  <si>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</si>
  <si>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</si>
  <si>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</si>
  <si>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</si>
  <si>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</si>
  <si>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</si>
  <si>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</si>
  <si>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</si>
  <si>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</si>
  <si>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</si>
  <si>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</si>
  <si>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</si>
  <si>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</si>
  <si>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</si>
  <si>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</si>
  <si>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</si>
  <si>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</si>
  <si>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</si>
  <si>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</si>
  <si>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</si>
  <si>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</si>
  <si>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</si>
  <si>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</si>
  <si>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</si>
  <si>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</si>
  <si>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</si>
  <si>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</si>
  <si>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</si>
  <si>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</si>
  <si>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</si>
  <si>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</si>
  <si>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</si>
  <si>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</si>
  <si>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</si>
  <si>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</si>
  <si>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</si>
  <si>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</si>
  <si>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</si>
  <si>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</si>
  <si>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</si>
  <si>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</si>
  <si>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</si>
  <si>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</si>
  <si>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</si>
  <si>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</si>
  <si>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</si>
  <si>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</si>
  <si>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</si>
  <si>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</si>
  <si>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</si>
  <si>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</si>
  <si>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</si>
  <si>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</si>
  <si>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</si>
  <si>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</si>
  <si>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</si>
  <si>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</si>
  <si>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</si>
  <si>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</si>
  <si>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</si>
  <si>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</si>
  <si>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</si>
  <si>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</si>
  <si>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</si>
  <si>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</si>
  <si>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</si>
  <si>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</si>
  <si>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</si>
  <si>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</si>
  <si>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</si>
  <si>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</si>
  <si>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</si>
  <si>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</si>
  <si>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</si>
  <si>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</si>
  <si>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</si>
  <si>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</si>
  <si>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</si>
  <si>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</si>
  <si>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</si>
  <si>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</si>
  <si>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</si>
  <si>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</si>
  <si>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</si>
  <si>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</si>
  <si>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</si>
  <si>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</si>
  <si>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</si>
  <si>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</si>
  <si>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</si>
  <si>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</si>
  <si>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</si>
  <si>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</si>
  <si>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</si>
  <si>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</si>
  <si>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</si>
  <si>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</si>
  <si>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</si>
  <si>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</si>
  <si>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</si>
  <si>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</si>
  <si>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</si>
  <si>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</si>
  <si>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</si>
  <si>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</si>
  <si>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</si>
  <si>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</si>
  <si>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</si>
  <si>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</si>
  <si>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</si>
  <si>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</si>
  <si>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</si>
  <si>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</si>
  <si>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</si>
  <si>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</si>
  <si>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</si>
  <si>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</si>
  <si>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</si>
  <si>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</si>
  <si>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</si>
  <si>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</si>
  <si>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</si>
  <si>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</si>
  <si>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</si>
  <si>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</si>
  <si>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</si>
  <si>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</si>
  <si>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</si>
  <si>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</si>
  <si>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</si>
  <si>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</si>
  <si>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</si>
  <si>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</si>
  <si>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</si>
  <si>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</si>
  <si>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</si>
  <si>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</si>
  <si>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</si>
  <si>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</si>
  <si>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</si>
  <si>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</si>
  <si>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</si>
  <si>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</si>
  <si>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</si>
  <si>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</si>
  <si>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</si>
  <si>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</si>
  <si>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</si>
  <si>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</si>
  <si>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</si>
  <si>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</si>
  <si>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</si>
  <si>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</si>
  <si>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</si>
  <si>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</si>
  <si>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</si>
  <si>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</si>
  <si>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</si>
  <si>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</si>
  <si>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</si>
  <si>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</si>
  <si>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</si>
  <si>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</si>
  <si>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</si>
  <si>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</si>
  <si>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</si>
  <si>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</si>
  <si>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</si>
  <si>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</si>
  <si>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</si>
  <si>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</si>
  <si>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</si>
  <si>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</si>
  <si>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</si>
  <si>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</si>
  <si>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</si>
  <si>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</si>
  <si>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</si>
  <si>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</si>
  <si>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</si>
  <si>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</si>
  <si>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</si>
  <si>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</si>
  <si>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</si>
  <si>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</si>
  <si>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</si>
  <si>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</si>
  <si>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</si>
  <si>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</si>
  <si>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</si>
  <si>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</si>
  <si>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</si>
  <si>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</si>
  <si>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</si>
  <si>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</si>
  <si>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</si>
  <si>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</si>
  <si>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</si>
  <si>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</si>
  <si>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</si>
  <si>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</si>
  <si>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</si>
  <si>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</si>
  <si>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</si>
  <si>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</si>
  <si>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</si>
  <si>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</si>
  <si>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</si>
  <si>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</si>
  <si>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</si>
  <si>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</si>
  <si>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</si>
  <si>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</si>
  <si>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</si>
  <si>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</si>
  <si>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</si>
  <si>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</si>
  <si>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</si>
  <si>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</si>
  <si>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</si>
  <si>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</si>
  <si>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</si>
  <si>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</si>
  <si>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</si>
  <si>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</si>
  <si>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</si>
  <si>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</si>
  <si>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</si>
  <si>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</si>
  <si>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</si>
  <si>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</si>
  <si>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</si>
  <si>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</si>
  <si>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</si>
  <si>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</si>
  <si>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</si>
  <si>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</si>
  <si>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</si>
  <si>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</si>
  <si>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</si>
  <si>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</si>
  <si>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</si>
  <si>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</si>
  <si>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</si>
  <si>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</si>
  <si>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</si>
  <si>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</si>
  <si>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</si>
  <si>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</si>
  <si>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</si>
  <si>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</si>
  <si>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</si>
  <si>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</si>
  <si>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</si>
  <si>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</si>
  <si>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</si>
  <si>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</si>
  <si>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</si>
  <si>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</si>
  <si>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</si>
  <si>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</si>
  <si>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</si>
  <si>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</si>
  <si>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</si>
  <si>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</si>
  <si>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</si>
  <si>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</si>
  <si>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</si>
  <si>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</si>
  <si>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</si>
  <si>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</si>
  <si>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</si>
  <si>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</si>
  <si>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</si>
  <si>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</si>
  <si>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</si>
  <si>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</si>
  <si>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</si>
  <si>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</si>
  <si>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</si>
  <si>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</si>
  <si>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</si>
  <si>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</si>
  <si>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</si>
  <si>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</si>
  <si>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</si>
  <si>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</si>
  <si>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</si>
  <si>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</si>
  <si>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</si>
  <si>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</si>
  <si>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</si>
  <si>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</si>
  <si>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</si>
  <si>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</si>
  <si>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</si>
  <si>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</si>
  <si>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</si>
  <si>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</si>
  <si>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</si>
  <si>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</si>
  <si>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</si>
  <si>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</si>
  <si>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</si>
  <si>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</si>
  <si>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</si>
  <si>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</si>
  <si>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</si>
  <si>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</si>
  <si>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</si>
  <si>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</si>
  <si>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</si>
  <si>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</si>
  <si>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</si>
  <si>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</si>
  <si>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</si>
  <si>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</si>
  <si>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</si>
  <si>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</si>
  <si>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</si>
  <si>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</si>
  <si>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</si>
  <si>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</si>
  <si>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</si>
  <si>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</si>
  <si>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</si>
  <si>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</si>
  <si>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</si>
  <si>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</si>
  <si>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</si>
  <si>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</si>
  <si>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</si>
  <si>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</si>
  <si>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</si>
  <si>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</si>
  <si>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</si>
  <si>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</si>
  <si>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</si>
  <si>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</si>
  <si>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</si>
  <si>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</si>
  <si>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</si>
  <si>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</si>
  <si>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</si>
  <si>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</si>
  <si>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</si>
  <si>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</si>
  <si>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</si>
  <si>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</si>
  <si>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</si>
  <si>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</si>
  <si>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</si>
  <si>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</si>
  <si>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</si>
  <si>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</si>
  <si>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</si>
  <si>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</si>
  <si>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</si>
  <si>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</si>
  <si>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</si>
  <si>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</si>
  <si>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</si>
  <si>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</si>
  <si>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</si>
  <si>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</si>
  <si>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</si>
  <si>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</si>
  <si>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</si>
  <si>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</si>
  <si>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</si>
  <si>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</si>
  <si>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</si>
  <si>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</si>
  <si>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</si>
  <si>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</si>
  <si>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</si>
  <si>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</si>
  <si>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</si>
  <si>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</si>
  <si>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</si>
  <si>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</si>
  <si>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</si>
  <si>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</si>
  <si>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</si>
  <si>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</si>
  <si>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</si>
  <si>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</si>
  <si>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</si>
  <si>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</si>
  <si>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</si>
  <si>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</si>
  <si>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</si>
  <si>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</si>
  <si>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</si>
  <si>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</si>
  <si>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</si>
  <si>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</si>
  <si>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</si>
  <si>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</si>
  <si>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</si>
  <si>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</si>
  <si>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</si>
  <si>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</si>
  <si>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</si>
  <si>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</si>
  <si>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</si>
  <si>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</si>
  <si>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</si>
  <si>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</si>
  <si>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</si>
  <si>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</si>
  <si>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</si>
  <si>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</si>
  <si>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</si>
  <si>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</si>
  <si>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</si>
  <si>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</si>
  <si>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</si>
  <si>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</si>
  <si>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</si>
  <si>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</si>
  <si>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</si>
  <si>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</si>
  <si>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</si>
  <si>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</si>
  <si>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</si>
  <si>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</si>
  <si>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</si>
  <si>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</si>
  <si>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</si>
  <si>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</si>
  <si>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</si>
  <si>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</si>
  <si>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</si>
  <si>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</si>
  <si>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</si>
  <si>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</si>
  <si>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</si>
  <si>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</si>
  <si>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</si>
  <si>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</si>
  <si>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</si>
  <si>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</si>
  <si>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</si>
  <si>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</si>
  <si>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</si>
  <si>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</si>
  <si>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</si>
  <si>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</si>
  <si>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</si>
  <si>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</si>
  <si>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</si>
  <si>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</si>
  <si>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</si>
  <si>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</si>
  <si>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</si>
  <si>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</si>
  <si>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</si>
  <si>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</si>
  <si>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</si>
  <si>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</si>
  <si>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</si>
  <si>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</si>
  <si>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</si>
  <si>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</si>
  <si>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</si>
  <si>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</si>
  <si>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</si>
  <si>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</si>
  <si>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</si>
  <si>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</si>
  <si>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</si>
  <si>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</si>
  <si>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</si>
  <si>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</si>
  <si>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</si>
  <si>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</si>
  <si>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</si>
  <si>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</si>
  <si>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</si>
  <si>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</si>
  <si>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</si>
  <si>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</si>
  <si>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</si>
  <si>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</si>
  <si>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</si>
  <si>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</si>
  <si>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</si>
  <si>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</si>
  <si>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</si>
  <si>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</si>
  <si>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</si>
  <si>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</si>
  <si>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</si>
  <si>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</si>
  <si>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</si>
  <si>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</si>
  <si>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</si>
  <si>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</si>
  <si>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</si>
  <si>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</si>
  <si>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</si>
  <si>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</si>
  <si>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</si>
  <si>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</si>
  <si>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</si>
  <si>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</si>
  <si>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</si>
  <si>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</si>
  <si>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</si>
  <si>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</si>
  <si>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</si>
  <si>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</si>
  <si>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</si>
  <si>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</si>
  <si>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</si>
  <si>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</si>
  <si>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</si>
  <si>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</si>
  <si>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</si>
  <si>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</si>
  <si>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</si>
  <si>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</si>
  <si>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</si>
  <si>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</si>
  <si>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</si>
  <si>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</si>
  <si>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</si>
  <si>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</si>
  <si>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</si>
  <si>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</si>
  <si>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</si>
  <si>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</si>
  <si>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</si>
  <si>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</si>
  <si>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</si>
  <si>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</si>
  <si>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</si>
  <si>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</si>
  <si>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</si>
  <si>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</si>
  <si>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</si>
  <si>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</si>
  <si>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</si>
  <si>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</si>
  <si>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</si>
  <si>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</si>
  <si>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</si>
  <si>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</si>
  <si>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</si>
  <si>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</si>
  <si>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</si>
  <si>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</si>
  <si>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</si>
  <si>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</si>
  <si>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</si>
  <si>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</si>
  <si>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</si>
  <si>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</si>
  <si>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</si>
  <si>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</si>
  <si>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</si>
  <si>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</si>
  <si>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</si>
  <si>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</si>
  <si>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</si>
  <si>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</si>
  <si>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</si>
  <si>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</si>
  <si>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</si>
  <si>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</si>
  <si>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</si>
  <si>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</si>
  <si>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</si>
  <si>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</si>
  <si>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</si>
  <si>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</si>
  <si>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</si>
  <si>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</si>
  <si>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</si>
  <si>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</si>
  <si>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</si>
  <si>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</si>
  <si>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</si>
  <si>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</si>
  <si>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</si>
  <si>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</si>
  <si>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</si>
  <si>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</si>
  <si>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</si>
  <si>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</si>
  <si>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</si>
  <si>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</si>
  <si>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</si>
  <si>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</si>
  <si>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</si>
  <si>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</si>
  <si>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</si>
  <si>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</si>
  <si>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</si>
  <si>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</si>
  <si>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</si>
  <si>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</si>
  <si>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</si>
  <si>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</si>
  <si>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</si>
  <si>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</si>
  <si>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</si>
  <si>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</si>
  <si>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</si>
  <si>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</si>
  <si>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</si>
  <si>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</si>
  <si>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</si>
  <si>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</si>
  <si>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</si>
  <si>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</si>
  <si>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</si>
  <si>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</si>
  <si>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</si>
  <si>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</si>
  <si>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</si>
  <si>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</si>
  <si>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</si>
  <si>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</si>
  <si>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</si>
  <si>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</si>
  <si>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</si>
  <si>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</si>
  <si>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</si>
  <si>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</si>
  <si>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</si>
  <si>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</si>
  <si>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</si>
  <si>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</si>
  <si>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</si>
  <si>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</si>
  <si>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</si>
  <si>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</si>
  <si>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</si>
  <si>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</si>
  <si>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</si>
  <si>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</si>
  <si>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</si>
  <si>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</si>
  <si>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</si>
  <si>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</si>
  <si>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</si>
  <si>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</si>
  <si>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</si>
  <si>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</si>
  <si>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</si>
  <si>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</si>
  <si>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</si>
  <si>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</si>
  <si>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</si>
  <si>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</si>
  <si>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</si>
  <si>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</si>
  <si>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</si>
  <si>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</si>
  <si>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</si>
  <si>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</si>
  <si>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</si>
  <si>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</si>
  <si>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</si>
  <si>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</si>
  <si>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</si>
  <si>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</si>
  <si>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</si>
  <si>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</si>
  <si>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</si>
  <si>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</si>
  <si>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</si>
  <si>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</si>
  <si>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</si>
  <si>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</si>
  <si>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</si>
  <si>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</si>
  <si>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</si>
  <si>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</si>
  <si>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</si>
  <si>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</si>
  <si>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</si>
  <si>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</si>
  <si>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</si>
  <si>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</si>
  <si>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</si>
  <si>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</si>
  <si>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</si>
  <si>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</si>
  <si>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</si>
  <si>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</si>
  <si>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</si>
  <si>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</si>
  <si>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</si>
  <si>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</si>
  <si>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</si>
  <si>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</si>
  <si>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</si>
  <si>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</si>
  <si>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</si>
  <si>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</si>
  <si>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</si>
  <si>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</si>
  <si>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</si>
  <si>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</si>
  <si>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</si>
  <si>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</si>
  <si>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</si>
  <si>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</si>
  <si>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</si>
  <si>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</si>
  <si>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</si>
  <si>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</si>
  <si>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</si>
  <si>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</si>
  <si>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</si>
  <si>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</si>
  <si>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</si>
  <si>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</si>
  <si>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</si>
  <si>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</si>
  <si>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</si>
  <si>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</si>
  <si>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</si>
  <si>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</si>
  <si>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</si>
  <si>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</si>
  <si>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</si>
  <si>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</si>
  <si>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</si>
  <si>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</si>
  <si>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</si>
  <si>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</si>
  <si>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</si>
  <si>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</si>
  <si>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</si>
  <si>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</si>
  <si>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</si>
  <si>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</si>
  <si>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</si>
  <si>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</si>
  <si>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</si>
  <si>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</si>
  <si>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</si>
  <si>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</si>
  <si>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</si>
  <si>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</si>
  <si>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</si>
  <si>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</si>
  <si>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</si>
  <si>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</si>
  <si>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</si>
  <si>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</si>
  <si>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</si>
  <si>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</si>
  <si>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</si>
  <si>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</si>
  <si>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</si>
  <si>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</si>
  <si>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</si>
  <si>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</si>
  <si>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</si>
  <si>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</si>
  <si>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</si>
  <si>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</si>
  <si>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</si>
  <si>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</si>
  <si>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</si>
  <si>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</si>
  <si>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</si>
  <si>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</si>
  <si>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</si>
  <si>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</si>
  <si>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</si>
  <si>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</si>
  <si>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</si>
  <si>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</si>
  <si>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</si>
  <si>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</si>
  <si>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</si>
  <si>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</si>
  <si>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</si>
  <si>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</si>
  <si>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</si>
  <si>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</si>
  <si>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</si>
  <si>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</si>
  <si>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</si>
  <si>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</si>
  <si>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</si>
  <si>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</si>
  <si>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</si>
  <si>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</si>
  <si>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</si>
  <si>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</si>
  <si>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</si>
  <si>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</si>
  <si>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</si>
  <si>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</si>
  <si>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</si>
  <si>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</si>
  <si>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</si>
  <si>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</si>
  <si>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</si>
  <si>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</si>
  <si>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</si>
  <si>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</si>
  <si>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</si>
  <si>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</si>
  <si>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</si>
  <si>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</si>
  <si>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</si>
  <si>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</si>
  <si>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</si>
  <si>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</si>
  <si>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</si>
  <si>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</si>
  <si>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</si>
  <si>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</si>
  <si>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</si>
  <si>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</si>
  <si>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</si>
  <si>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</si>
  <si>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</si>
  <si>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</si>
  <si>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</si>
  <si>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</si>
  <si>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</si>
  <si>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</si>
  <si>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</si>
  <si>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</si>
  <si>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</si>
  <si>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</si>
  <si>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</si>
  <si>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</si>
  <si>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</si>
  <si>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</si>
  <si>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</si>
  <si>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</si>
  <si>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</si>
  <si>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</si>
  <si>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</si>
  <si>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</si>
  <si>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</si>
  <si>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</si>
  <si>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</si>
  <si>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</si>
  <si>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</si>
  <si>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</si>
  <si>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</si>
  <si>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</si>
  <si>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</si>
  <si>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</si>
  <si>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</si>
  <si>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</si>
  <si>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</si>
  <si>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</si>
  <si>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</si>
  <si>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</si>
  <si>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</si>
  <si>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</si>
  <si>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</si>
  <si>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</si>
  <si>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</si>
  <si>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</si>
  <si>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</si>
  <si>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</si>
  <si>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</si>
  <si>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</si>
  <si>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</si>
  <si>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</si>
  <si>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</si>
  <si>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</si>
  <si>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</si>
  <si>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</si>
  <si>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</si>
  <si>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</si>
  <si>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</si>
  <si>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</si>
  <si>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</si>
  <si>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</si>
  <si>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</si>
  <si>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</si>
  <si>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</si>
  <si>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</si>
  <si>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</si>
  <si>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</si>
  <si>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</si>
  <si>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</si>
  <si>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</si>
  <si>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</si>
  <si>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</si>
  <si>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</si>
  <si>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</si>
  <si>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</si>
  <si>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</si>
  <si>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</si>
  <si>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</si>
  <si>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</si>
  <si>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</si>
  <si>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</si>
  <si>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</si>
  <si>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</si>
  <si>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</si>
  <si>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</si>
  <si>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</si>
  <si>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</si>
  <si>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</si>
  <si>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</si>
  <si>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</si>
  <si>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</si>
  <si>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</si>
  <si>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</si>
  <si>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</si>
  <si>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</si>
  <si>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</si>
  <si>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</si>
  <si>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</si>
  <si>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</si>
  <si>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</si>
  <si>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</si>
  <si>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</si>
  <si>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</si>
  <si>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</si>
  <si>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</si>
  <si>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</si>
  <si>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</si>
  <si>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</si>
  <si>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</si>
  <si>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</si>
  <si>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</si>
  <si>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</si>
  <si>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</si>
  <si>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</si>
  <si>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</si>
  <si>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</si>
  <si>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</si>
  <si>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</si>
  <si>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</si>
  <si>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</si>
  <si>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</si>
  <si>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</si>
  <si>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</si>
  <si>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</si>
  <si>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</si>
  <si>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</si>
  <si>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</si>
  <si>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</si>
  <si>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</si>
  <si>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</si>
  <si>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</si>
  <si>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</si>
  <si>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</si>
  <si>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</si>
  <si>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</si>
  <si>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</si>
  <si>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</si>
  <si>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</si>
  <si>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</si>
  <si>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</si>
  <si>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</si>
  <si>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</si>
  <si>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</si>
  <si>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</si>
  <si>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</si>
  <si>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</si>
  <si>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</si>
  <si>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</si>
  <si>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</si>
  <si>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</si>
  <si>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</si>
  <si>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</si>
  <si>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</si>
  <si>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</si>
  <si>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</si>
  <si>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</si>
  <si>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</si>
  <si>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</si>
  <si>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</si>
  <si>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</si>
  <si>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</si>
  <si>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</si>
  <si>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</si>
  <si>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</si>
  <si>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</si>
  <si>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</si>
  <si>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</si>
  <si>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</si>
  <si>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</si>
  <si>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</si>
  <si>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</si>
  <si>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</si>
  <si>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</si>
  <si>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</si>
  <si>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</si>
  <si>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</si>
  <si>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</si>
  <si>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</si>
  <si>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</si>
  <si>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</si>
  <si>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</si>
  <si>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</si>
  <si>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</si>
  <si>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</si>
  <si>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</si>
  <si>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</si>
  <si>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</si>
  <si>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</si>
  <si>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</si>
  <si>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</si>
  <si>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</si>
  <si>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</si>
  <si>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</si>
  <si>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</si>
  <si>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</si>
  <si>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</si>
  <si>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</si>
  <si>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</si>
  <si>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</si>
  <si>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</si>
  <si>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</si>
  <si>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</si>
  <si>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</si>
  <si>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</si>
  <si>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</si>
  <si>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</si>
  <si>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</si>
  <si>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</si>
  <si>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</si>
  <si>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</si>
  <si>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</si>
  <si>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</si>
  <si>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</si>
  <si>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</si>
  <si>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</si>
  <si>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</si>
  <si>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</si>
  <si>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</si>
  <si>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</si>
  <si>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</si>
  <si>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</si>
  <si>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</si>
  <si>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</si>
  <si>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</si>
  <si>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</si>
  <si>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</si>
  <si>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</si>
  <si>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</si>
  <si>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</si>
  <si>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</si>
  <si>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</si>
  <si>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</si>
  <si>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</si>
  <si>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</si>
  <si>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</si>
  <si>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</si>
  <si>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</si>
  <si>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</si>
  <si>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</si>
  <si>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</si>
  <si>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</si>
  <si>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</si>
  <si>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</si>
  <si>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</si>
  <si>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</si>
  <si>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</si>
  <si>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</si>
  <si>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</si>
  <si>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</si>
  <si>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</si>
  <si>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</si>
  <si>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</si>
  <si>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</si>
  <si>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</si>
  <si>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</si>
  <si>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</si>
  <si>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</si>
  <si>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</si>
  <si>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</si>
  <si>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</si>
  <si>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</si>
  <si>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</si>
  <si>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</si>
  <si>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</si>
  <si>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</si>
  <si>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</si>
  <si>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</si>
  <si>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</si>
  <si>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</si>
  <si>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</si>
  <si>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</si>
  <si>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</si>
  <si>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</si>
  <si>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</si>
  <si>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</si>
  <si>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</si>
  <si>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</si>
  <si>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</si>
  <si>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</si>
  <si>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</si>
  <si>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</si>
  <si>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</si>
  <si>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</si>
  <si>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</si>
  <si>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</si>
  <si>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</si>
  <si>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</si>
  <si>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</si>
  <si>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</si>
  <si>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</si>
  <si>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</si>
  <si>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</si>
  <si>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</si>
  <si>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</si>
  <si>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</si>
  <si>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</si>
  <si>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</si>
  <si>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</si>
  <si>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</si>
  <si>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</si>
  <si>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</si>
  <si>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</si>
  <si>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</si>
  <si>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</si>
  <si>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</si>
  <si>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</si>
  <si>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</si>
  <si>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</si>
  <si>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</si>
  <si>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</si>
  <si>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</si>
  <si>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</si>
  <si>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</si>
  <si>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</si>
  <si>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</si>
  <si>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</si>
  <si>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</si>
  <si>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</si>
  <si>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</si>
  <si>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</si>
  <si>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</si>
  <si>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</si>
  <si>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</si>
  <si>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</si>
  <si>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</si>
  <si>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</si>
  <si>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</si>
  <si>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</si>
  <si>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</si>
  <si>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</si>
  <si>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</si>
  <si>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</si>
  <si>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</si>
  <si>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</si>
  <si>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</si>
  <si>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</si>
  <si>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</si>
  <si>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</si>
  <si>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</si>
  <si>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</si>
  <si>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</si>
  <si>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</si>
  <si>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</si>
  <si>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</si>
  <si>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</si>
  <si>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</si>
  <si>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</si>
  <si>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</si>
  <si>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</si>
  <si>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</si>
  <si>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</si>
  <si>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</si>
  <si>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</si>
  <si>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</si>
  <si>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</si>
  <si>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</si>
  <si>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</si>
  <si>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</si>
  <si>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</si>
  <si>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</si>
  <si>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</si>
  <si>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</si>
  <si>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</si>
  <si>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</si>
  <si>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</si>
  <si>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</si>
  <si>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</si>
  <si>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</si>
  <si>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</si>
  <si>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</si>
  <si>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</si>
  <si>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</si>
  <si>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</si>
  <si>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</si>
  <si>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</si>
  <si>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</si>
  <si>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</si>
  <si>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</si>
  <si>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</si>
  <si>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</si>
  <si>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</si>
  <si>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</si>
  <si>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</si>
  <si>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</si>
  <si>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</si>
  <si>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</si>
  <si>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</si>
  <si>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</si>
  <si>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</si>
  <si>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</si>
  <si>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</si>
  <si>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</si>
  <si>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</si>
  <si>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</si>
  <si>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</si>
  <si>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</si>
  <si>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</si>
  <si>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</si>
  <si>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</si>
  <si>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</si>
  <si>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</si>
  <si>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</si>
  <si>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</si>
  <si>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</si>
  <si>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</si>
  <si>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</si>
  <si>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</si>
  <si>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</si>
  <si>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</si>
  <si>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</si>
  <si>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</si>
  <si>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</si>
  <si>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</si>
  <si>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</si>
  <si>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</si>
  <si>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</si>
  <si>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</si>
  <si>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</si>
  <si>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</si>
  <si>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</si>
  <si>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</si>
  <si>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</si>
  <si>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</si>
  <si>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</si>
  <si>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</si>
  <si>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</si>
  <si>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</si>
  <si>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</si>
  <si>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</si>
  <si>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</si>
  <si>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</si>
  <si>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</si>
  <si>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</si>
  <si>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</si>
  <si>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</si>
  <si>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</si>
  <si>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</si>
  <si>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</si>
  <si>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</si>
  <si>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</si>
  <si>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</si>
  <si>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</si>
  <si>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</si>
  <si>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</si>
  <si>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</si>
  <si>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</si>
  <si>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</si>
  <si>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</si>
  <si>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</si>
  <si>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</si>
  <si>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</si>
  <si>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</si>
  <si>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</si>
  <si>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</si>
  <si>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</si>
  <si>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</si>
  <si>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</si>
  <si>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</si>
  <si>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</si>
  <si>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</si>
  <si>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</si>
  <si>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</si>
  <si>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</si>
  <si>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</si>
  <si>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</si>
  <si>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</si>
  <si>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</si>
  <si>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</si>
  <si>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</si>
  <si>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</si>
  <si>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</si>
  <si>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</si>
  <si>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</si>
  <si>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</si>
  <si>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</si>
  <si>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</si>
  <si>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</si>
  <si>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</si>
  <si>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</si>
  <si>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</si>
  <si>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</si>
  <si>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</si>
  <si>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</si>
  <si>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</si>
  <si>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</si>
  <si>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</si>
  <si>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</si>
  <si>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</si>
  <si>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</si>
  <si>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</si>
  <si>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</si>
  <si>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</si>
  <si>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</si>
  <si>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</si>
  <si>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</si>
  <si>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</si>
  <si>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</si>
  <si>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</si>
  <si>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</si>
  <si>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</si>
  <si>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</si>
  <si>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</si>
  <si>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</si>
  <si>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</si>
  <si>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</si>
  <si>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</si>
  <si>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</si>
  <si>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</si>
  <si>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</si>
  <si>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</si>
  <si>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</si>
  <si>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</si>
  <si>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</si>
  <si>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</si>
  <si>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</si>
  <si>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</si>
  <si>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</si>
  <si>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</si>
  <si>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</si>
  <si>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</si>
  <si>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</si>
  <si>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</si>
  <si>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</si>
  <si>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</si>
  <si>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</si>
  <si>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</si>
  <si>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</si>
  <si>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</si>
  <si>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</si>
  <si>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</si>
  <si>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</si>
  <si>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</si>
  <si>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</si>
  <si>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</si>
  <si>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</si>
  <si>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</si>
  <si>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</si>
  <si>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</si>
  <si>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</si>
  <si>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</si>
  <si>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</si>
  <si>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</si>
  <si>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</si>
  <si>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</si>
  <si>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</si>
  <si>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</si>
  <si>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</si>
  <si>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</si>
  <si>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</si>
  <si>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</si>
  <si>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</si>
  <si>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</si>
  <si>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</si>
  <si>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</si>
  <si>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</si>
  <si>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</si>
  <si>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</si>
  <si>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</si>
  <si>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</si>
  <si>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</si>
  <si>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</si>
  <si>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</si>
  <si>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</si>
  <si>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</si>
  <si>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</si>
  <si>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</si>
  <si>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</si>
  <si>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</si>
  <si>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</si>
  <si>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</si>
  <si>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</si>
  <si>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</si>
  <si>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</si>
  <si>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</si>
  <si>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</si>
  <si>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</si>
  <si>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</si>
  <si>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</si>
  <si>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</si>
  <si>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</si>
  <si>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</si>
  <si>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</si>
  <si>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</si>
  <si>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</si>
  <si>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</si>
  <si>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</si>
  <si>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</si>
  <si>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</si>
  <si>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</si>
  <si>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</si>
  <si>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</si>
  <si>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</si>
  <si>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</si>
  <si>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</si>
  <si>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</si>
  <si>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</si>
  <si>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</si>
  <si>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</si>
  <si>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</si>
  <si>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</si>
  <si>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</si>
  <si>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</si>
  <si>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</si>
  <si>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</si>
  <si>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</si>
  <si>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</si>
  <si>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</si>
  <si>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</si>
  <si>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</si>
  <si>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</si>
  <si>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</si>
  <si>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</si>
  <si>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</si>
  <si>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</si>
  <si>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</si>
  <si>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</si>
  <si>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</si>
  <si>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</si>
  <si>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</si>
  <si>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</si>
  <si>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</si>
  <si>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</si>
  <si>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</si>
  <si>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</si>
  <si>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</si>
  <si>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</si>
  <si>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</si>
  <si>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</si>
  <si>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</si>
  <si>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</si>
  <si>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</si>
  <si>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</si>
  <si>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</si>
  <si>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</si>
  <si>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</si>
  <si>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</si>
  <si>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</si>
  <si>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</si>
  <si>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</si>
  <si>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</si>
  <si>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</si>
  <si>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</si>
  <si>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</si>
  <si>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</si>
  <si>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</si>
  <si>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</si>
  <si>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</si>
  <si>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</si>
  <si>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</si>
  <si>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</si>
  <si>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</si>
  <si>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</si>
  <si>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</si>
  <si>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</si>
  <si>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</si>
  <si>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</si>
  <si>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</si>
  <si>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</si>
  <si>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</si>
  <si>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</si>
  <si>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</si>
  <si>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</si>
  <si>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</si>
  <si>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</si>
  <si>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</si>
  <si>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</si>
  <si>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</si>
  <si>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</si>
  <si>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</si>
  <si>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</si>
  <si>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</si>
  <si>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</si>
  <si>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</si>
  <si>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</si>
  <si>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</si>
  <si>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</si>
  <si>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</si>
  <si>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</si>
  <si>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</si>
  <si>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</si>
  <si>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</si>
  <si>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</si>
  <si>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</si>
  <si>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</si>
  <si>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</si>
  <si>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</si>
  <si>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</si>
  <si>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</si>
  <si>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</si>
  <si>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</si>
  <si>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</si>
  <si>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</si>
  <si>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</si>
  <si>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</si>
  <si>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</si>
  <si>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</si>
  <si>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</si>
  <si>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</si>
  <si>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</si>
  <si>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</si>
  <si>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</si>
  <si>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</si>
  <si>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</si>
  <si>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</si>
  <si>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</si>
  <si>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</si>
  <si>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</si>
  <si>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</si>
  <si>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</si>
  <si>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</si>
  <si>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</si>
  <si>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</si>
  <si>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</si>
  <si>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</si>
  <si>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</si>
  <si>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</si>
  <si>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</si>
  <si>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</si>
  <si>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</si>
  <si>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</si>
  <si>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</si>
  <si>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</si>
  <si>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</si>
  <si>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</si>
  <si>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</si>
  <si>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</si>
  <si>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</si>
  <si>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</si>
  <si>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</si>
  <si>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</si>
  <si>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</si>
  <si>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</si>
  <si>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</si>
  <si>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</si>
  <si>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</si>
  <si>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</si>
  <si>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</si>
  <si>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</si>
  <si>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</si>
  <si>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</si>
  <si>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</si>
  <si>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</si>
  <si>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</si>
  <si>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</si>
  <si>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</si>
  <si>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</si>
  <si>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</si>
  <si>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</si>
  <si>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</si>
  <si>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</si>
  <si>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</si>
  <si>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</si>
  <si>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</si>
  <si>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</si>
  <si>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</si>
  <si>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</si>
  <si>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</si>
  <si>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</si>
  <si>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</si>
  <si>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</si>
  <si>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</si>
  <si>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</si>
  <si>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</si>
  <si>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</si>
  <si>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</si>
  <si>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</si>
  <si>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</si>
  <si>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</si>
  <si>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</si>
  <si>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</si>
  <si>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</si>
  <si>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</si>
  <si>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</si>
  <si>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</si>
  <si>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</si>
  <si>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</si>
  <si>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</si>
  <si>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</si>
  <si>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</si>
  <si>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</si>
  <si>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</si>
  <si>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</si>
  <si>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</si>
  <si>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</si>
  <si>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</si>
  <si>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</si>
  <si>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</si>
  <si>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</si>
  <si>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</si>
  <si>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</si>
  <si>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</si>
  <si>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</si>
  <si>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</si>
  <si>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</si>
  <si>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</si>
  <si>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</si>
  <si>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</si>
  <si>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</si>
  <si>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</si>
  <si>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</si>
  <si>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</si>
  <si>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</si>
  <si>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</si>
  <si>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</si>
  <si>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</si>
  <si>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</si>
  <si>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</si>
  <si>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</si>
  <si>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</si>
  <si>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</si>
  <si>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</si>
  <si>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</si>
  <si>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</si>
  <si>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</si>
  <si>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</si>
  <si>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</si>
  <si>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</si>
  <si>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</si>
  <si>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</si>
  <si>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</si>
  <si>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</si>
  <si>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</si>
  <si>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</si>
  <si>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</si>
  <si>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</si>
  <si>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</si>
  <si>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</si>
  <si>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</si>
  <si>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</si>
  <si>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</si>
  <si>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</si>
  <si>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</si>
  <si>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</si>
  <si>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</si>
  <si>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</si>
  <si>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</si>
  <si>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</si>
  <si>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</si>
  <si>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</si>
  <si>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</si>
  <si>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</si>
  <si>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</si>
  <si>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</si>
  <si>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</si>
  <si>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</si>
  <si>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</si>
  <si>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</si>
  <si>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</si>
  <si>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</si>
  <si>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</si>
  <si>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</si>
  <si>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</si>
  <si>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</si>
  <si>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</si>
  <si>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</si>
  <si>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</si>
  <si>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</si>
  <si>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</si>
  <si>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</si>
  <si>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</si>
  <si>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</si>
  <si>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</si>
  <si>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</si>
  <si>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</si>
  <si>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</si>
  <si>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</si>
  <si>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</si>
  <si>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</si>
  <si>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</si>
  <si>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</si>
  <si>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</si>
  <si>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</si>
  <si>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</si>
  <si>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</si>
  <si>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</si>
  <si>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</si>
  <si>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</si>
  <si>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</si>
  <si>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</si>
  <si>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</si>
  <si>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</si>
  <si>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</si>
  <si>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</si>
  <si>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</si>
  <si>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</si>
  <si>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</si>
  <si>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</si>
  <si>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</si>
  <si>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</si>
  <si>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</si>
  <si>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</si>
  <si>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</si>
  <si>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</si>
  <si>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</si>
  <si>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</si>
  <si>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</si>
  <si>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</si>
  <si>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</si>
  <si>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</si>
  <si>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</si>
  <si>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</si>
  <si>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</si>
  <si>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</si>
  <si>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</si>
  <si>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</si>
  <si>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</si>
  <si>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</si>
  <si>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</si>
  <si>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</si>
  <si>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</si>
  <si>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</si>
  <si>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</si>
  <si>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</si>
  <si>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</si>
  <si>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</si>
  <si>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</si>
  <si>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</si>
  <si>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</si>
  <si>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</si>
  <si>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</si>
  <si>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</si>
  <si>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</si>
  <si>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</si>
  <si>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</si>
  <si>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</si>
  <si>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</si>
  <si>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</si>
  <si>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</si>
  <si>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</si>
  <si>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</si>
  <si>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</si>
  <si>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</si>
  <si>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</si>
  <si>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</si>
  <si>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</si>
  <si>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</si>
  <si>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</si>
  <si>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</si>
  <si>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</si>
  <si>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</si>
  <si>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</si>
  <si>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</si>
  <si>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</si>
  <si>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</si>
  <si>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</si>
  <si>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</si>
  <si>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</si>
  <si>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</si>
  <si>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</si>
  <si>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</si>
  <si>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</si>
  <si>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</si>
  <si>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</si>
  <si>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</si>
  <si>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</si>
  <si>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</si>
  <si>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</si>
  <si>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</si>
  <si>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</si>
  <si>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</si>
  <si>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</si>
  <si>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</si>
  <si>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</si>
  <si>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</si>
  <si>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</si>
  <si>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</si>
  <si>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</si>
  <si>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</si>
  <si>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</si>
  <si>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</si>
  <si>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</si>
  <si>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</si>
  <si>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</si>
  <si>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</si>
  <si>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</si>
  <si>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</si>
  <si>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</si>
  <si>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</si>
  <si>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</si>
  <si>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</si>
  <si>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</si>
  <si>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</si>
  <si>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</si>
  <si>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</si>
  <si>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</si>
  <si>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</si>
  <si>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</si>
  <si>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</si>
  <si>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</si>
  <si>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</si>
  <si>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</si>
  <si>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</si>
  <si>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</si>
  <si>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</si>
  <si>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</si>
  <si>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</si>
  <si>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</si>
  <si>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</si>
  <si>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</si>
  <si>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</si>
  <si>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</si>
  <si>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</si>
  <si>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</si>
  <si>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</si>
  <si>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</si>
  <si>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</si>
  <si>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</si>
  <si>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</si>
  <si>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</si>
  <si>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</si>
  <si>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</si>
  <si>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</si>
  <si>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</si>
  <si>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</si>
  <si>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</si>
  <si>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</si>
  <si>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</si>
  <si>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</si>
  <si>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</si>
  <si>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</si>
  <si>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</si>
  <si>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</si>
  <si>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</si>
  <si>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</si>
  <si>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</si>
  <si>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</si>
  <si>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</si>
  <si>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</si>
  <si>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</si>
  <si>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</si>
  <si>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</si>
  <si>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</si>
  <si>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</si>
  <si>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</si>
  <si>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</si>
  <si>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</si>
  <si>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</si>
  <si>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</si>
  <si>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</si>
  <si>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</si>
  <si>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</si>
  <si>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</si>
  <si>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</si>
  <si>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</si>
  <si>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</si>
  <si>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</si>
  <si>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</si>
  <si>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</si>
  <si>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</si>
  <si>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</si>
  <si>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</si>
  <si>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</si>
  <si>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</si>
  <si>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</si>
  <si>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</si>
  <si>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</si>
  <si>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</si>
  <si>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</si>
  <si>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</si>
  <si>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</si>
  <si>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</si>
  <si>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</si>
  <si>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</si>
  <si>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</si>
  <si>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</si>
  <si>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</si>
  <si>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</si>
  <si>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</si>
  <si>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</si>
  <si>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</si>
  <si>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</si>
  <si>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</si>
  <si>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</si>
  <si>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</si>
  <si>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</si>
  <si>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</si>
  <si>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</si>
  <si>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</si>
  <si>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</si>
  <si>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</si>
  <si>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</si>
  <si>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</si>
  <si>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</si>
  <si>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</si>
  <si>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</si>
  <si>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</si>
  <si>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</si>
  <si>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</si>
  <si>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</si>
  <si>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</si>
  <si>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</si>
  <si>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</si>
  <si>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</si>
  <si>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</si>
  <si>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</si>
  <si>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</si>
  <si>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</si>
  <si>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</si>
  <si>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</si>
  <si>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</si>
  <si>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</si>
  <si>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</si>
  <si>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</si>
  <si>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</si>
  <si>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</si>
  <si>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</si>
  <si>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</si>
  <si>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</si>
  <si>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</si>
  <si>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</si>
  <si>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</si>
  <si>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</si>
  <si>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</si>
  <si>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</si>
  <si>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</si>
  <si>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</si>
  <si>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</si>
  <si>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</si>
  <si>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</si>
  <si>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</si>
  <si>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</si>
  <si>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</si>
  <si>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</si>
  <si>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</si>
  <si>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</si>
  <si>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</si>
  <si>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</si>
  <si>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</si>
  <si>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</si>
  <si>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</si>
  <si>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</si>
  <si>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</si>
  <si>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</si>
  <si>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</si>
  <si>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</si>
  <si>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</si>
  <si>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</si>
  <si>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</si>
  <si>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</si>
  <si>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</si>
  <si>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</si>
  <si>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</si>
  <si>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</si>
  <si>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</si>
  <si>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</si>
  <si>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</si>
  <si>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</si>
  <si>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</si>
  <si>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</si>
  <si>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</si>
  <si>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</si>
  <si>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</si>
  <si>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</si>
  <si>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</si>
  <si>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</si>
  <si>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</si>
  <si>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</si>
  <si>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</si>
  <si>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</si>
  <si>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</si>
  <si>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</si>
  <si>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</si>
  <si>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</si>
  <si>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</si>
  <si>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</si>
  <si>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</si>
  <si>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</si>
  <si>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</si>
  <si>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</si>
  <si>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</si>
  <si>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</si>
  <si>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</si>
  <si>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</si>
  <si>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</si>
  <si>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</si>
  <si>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</si>
  <si>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</si>
  <si>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</si>
  <si>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</si>
  <si>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</si>
  <si>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</si>
  <si>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</si>
  <si>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</si>
  <si>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</si>
  <si>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</si>
  <si>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</si>
  <si>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</si>
  <si>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</si>
  <si>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</si>
  <si>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</si>
  <si>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</si>
  <si>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</si>
  <si>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</si>
  <si>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</si>
  <si>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</si>
  <si>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</si>
  <si>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</si>
  <si>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</si>
  <si>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</si>
  <si>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</si>
  <si>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</si>
  <si>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</si>
  <si>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</si>
  <si>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</si>
  <si>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</si>
  <si>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</si>
  <si>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</si>
  <si>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</si>
  <si>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</si>
  <si>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</si>
  <si>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</si>
  <si>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</si>
  <si>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</si>
  <si>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</si>
  <si>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</si>
  <si>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</si>
  <si>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</si>
  <si>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</si>
  <si>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</si>
  <si>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</si>
  <si>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</si>
  <si>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</si>
  <si>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</si>
  <si>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</si>
  <si>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</si>
  <si>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</si>
  <si>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</si>
  <si>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</si>
  <si>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</si>
  <si>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</si>
  <si>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</si>
  <si>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</si>
  <si>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</si>
  <si>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</si>
  <si>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</si>
  <si>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</si>
  <si>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</si>
  <si>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</si>
  <si>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</si>
  <si>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</si>
  <si>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</si>
  <si>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</si>
  <si>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</si>
  <si>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</si>
  <si>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</si>
  <si>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</si>
  <si>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</si>
  <si>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</si>
  <si>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</si>
  <si>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</si>
  <si>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</si>
  <si>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</si>
  <si>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</si>
  <si>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</si>
  <si>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</si>
  <si>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</si>
  <si>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</si>
  <si>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</si>
  <si>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</si>
  <si>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</si>
  <si>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</si>
  <si>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</si>
  <si>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</si>
  <si>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</si>
  <si>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</si>
  <si>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</si>
  <si>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</si>
  <si>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</si>
  <si>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</si>
  <si>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</si>
  <si>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</si>
  <si>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</si>
  <si>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</si>
  <si>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</si>
  <si>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</si>
  <si>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</si>
  <si>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</si>
  <si>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</si>
  <si>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</si>
  <si>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</si>
  <si>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</si>
  <si>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</si>
  <si>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</si>
  <si>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</si>
  <si>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</si>
  <si>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</si>
  <si>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</si>
  <si>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</si>
  <si>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</si>
  <si>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</si>
  <si>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</si>
  <si>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</si>
  <si>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</si>
  <si>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</si>
  <si>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</si>
  <si>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</si>
  <si>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</si>
  <si>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</si>
  <si>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</si>
  <si>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</si>
  <si>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</si>
  <si>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</si>
  <si>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</si>
  <si>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</si>
  <si>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</si>
  <si>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</si>
  <si>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</si>
  <si>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</si>
  <si>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</si>
  <si>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</si>
  <si>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</si>
  <si>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</si>
  <si>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</si>
  <si>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</si>
  <si>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</si>
  <si>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</si>
  <si>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</si>
  <si>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</si>
  <si>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</si>
  <si>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</si>
  <si>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</si>
  <si>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</si>
  <si>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</si>
  <si>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</si>
  <si>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</si>
  <si>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</si>
  <si>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</si>
  <si>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</si>
  <si>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</si>
  <si>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</si>
  <si>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</si>
  <si>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</si>
  <si>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</si>
  <si>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</si>
  <si>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</si>
  <si>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</si>
  <si>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</si>
  <si>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</si>
  <si>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</si>
  <si>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</si>
  <si>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</si>
  <si>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</si>
  <si>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</si>
  <si>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</si>
  <si>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</si>
  <si>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</si>
  <si>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</si>
  <si>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</si>
  <si>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</si>
  <si>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</si>
  <si>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</si>
  <si>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</si>
  <si>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</si>
  <si>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</si>
  <si>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</si>
  <si>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</si>
  <si>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</si>
  <si>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</si>
  <si>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</si>
  <si>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</si>
  <si>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</si>
  <si>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</si>
  <si>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</si>
  <si>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</si>
  <si>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</si>
  <si>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</si>
  <si>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</si>
  <si>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</si>
  <si>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</si>
  <si>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</si>
  <si>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</si>
  <si>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</si>
  <si>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</si>
  <si>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</si>
  <si>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</si>
  <si>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</si>
  <si>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</si>
  <si>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</si>
  <si>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</si>
  <si>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</si>
  <si>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</si>
  <si>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</si>
  <si>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</si>
  <si>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</si>
  <si>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</si>
  <si>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</si>
  <si>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</si>
  <si>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</si>
  <si>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</si>
  <si>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</si>
  <si>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</si>
  <si>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</si>
  <si>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</si>
  <si>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</si>
  <si>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</si>
  <si>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</si>
  <si>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</si>
  <si>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</si>
  <si>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</si>
  <si>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</si>
  <si>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</si>
  <si>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</si>
  <si>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</si>
  <si>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</si>
  <si>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</si>
  <si>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</si>
  <si>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</si>
  <si>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</si>
  <si>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</si>
  <si>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</si>
  <si>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</si>
  <si>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</si>
  <si>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</si>
  <si>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</si>
  <si>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</si>
  <si>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</si>
  <si>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</si>
  <si>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</si>
  <si>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</si>
  <si>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</si>
  <si>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</si>
  <si>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</si>
  <si>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</si>
  <si>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</si>
  <si>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</si>
  <si>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</si>
  <si>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</si>
  <si>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</si>
  <si>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</si>
  <si>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</si>
  <si>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</si>
  <si>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</si>
  <si>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</si>
  <si>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</si>
  <si>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</si>
  <si>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</si>
  <si>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</si>
  <si>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</si>
  <si>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</si>
  <si>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</si>
  <si>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</si>
  <si>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</si>
  <si>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</si>
  <si>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</si>
  <si>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</si>
  <si>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</si>
  <si>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</si>
  <si>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</si>
  <si>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</si>
  <si>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</si>
  <si>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</si>
  <si>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</si>
  <si>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</si>
  <si>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</si>
  <si>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</si>
  <si>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</si>
  <si>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</si>
  <si>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</si>
  <si>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</si>
  <si>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</si>
  <si>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</si>
  <si>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</si>
  <si>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</si>
  <si>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</si>
  <si>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</si>
  <si>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</si>
  <si>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</si>
  <si>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</si>
  <si>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</si>
  <si>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</si>
  <si>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</si>
  <si>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</si>
  <si>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</si>
  <si>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</si>
  <si>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</si>
  <si>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</si>
  <si>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</si>
  <si>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</si>
  <si>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</si>
  <si>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</si>
  <si>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</si>
  <si>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</si>
  <si>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</si>
  <si>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</si>
  <si>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</si>
  <si>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</si>
  <si>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</si>
  <si>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</si>
  <si>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</si>
  <si>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</si>
  <si>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</si>
  <si>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</si>
  <si>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</si>
  <si>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</si>
  <si>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</si>
  <si>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</si>
  <si>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</si>
  <si>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</si>
  <si>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</si>
  <si>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</si>
  <si>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</si>
  <si>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</si>
  <si>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</si>
  <si>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</si>
  <si>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</si>
  <si>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</si>
  <si>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</si>
  <si>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</si>
  <si>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</si>
  <si>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</si>
  <si>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</si>
  <si>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</si>
  <si>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</si>
  <si>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</si>
  <si>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</si>
  <si>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</si>
  <si>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</si>
  <si>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</si>
  <si>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</si>
  <si>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</si>
  <si>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</si>
  <si>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</si>
  <si>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</si>
  <si>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</si>
  <si>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</si>
  <si>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</si>
  <si>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</si>
  <si>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</si>
  <si>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</si>
  <si>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</si>
  <si>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</si>
  <si>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</si>
  <si>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</si>
  <si>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</si>
  <si>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</si>
  <si>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</si>
  <si>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</si>
  <si>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</si>
  <si>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</si>
  <si>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</si>
  <si>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</si>
  <si>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</si>
  <si>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</si>
  <si>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</si>
  <si>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</si>
  <si>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</si>
  <si>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</si>
  <si>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</si>
  <si>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</si>
  <si>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</si>
  <si>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</si>
  <si>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</si>
  <si>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</si>
  <si>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</si>
  <si>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</si>
  <si>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</si>
  <si>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</si>
  <si>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</si>
  <si>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</si>
  <si>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</si>
  <si>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</si>
  <si>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</si>
  <si>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</si>
  <si>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</si>
  <si>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</si>
  <si>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</si>
  <si>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</si>
  <si>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</si>
  <si>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</si>
  <si>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</si>
  <si>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</si>
  <si>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</si>
  <si>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</si>
  <si>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</si>
  <si>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</si>
  <si>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</si>
  <si>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</si>
  <si>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</si>
  <si>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</si>
  <si>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</si>
  <si>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</si>
  <si>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</si>
  <si>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</si>
  <si>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</si>
  <si>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</si>
  <si>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</si>
  <si>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</si>
  <si>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</si>
  <si>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</si>
  <si>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</si>
  <si>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</si>
  <si>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</si>
  <si>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</si>
  <si>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</si>
  <si>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</si>
  <si>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</si>
  <si>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</si>
  <si>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</si>
  <si>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</si>
  <si>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</si>
  <si>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</si>
  <si>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</si>
  <si>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</si>
  <si>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</si>
  <si>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</si>
  <si>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</si>
  <si>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</si>
  <si>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</si>
  <si>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</si>
  <si>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</si>
  <si>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</si>
  <si>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</si>
  <si>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</si>
  <si>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</si>
  <si>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</si>
  <si>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</si>
  <si>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</si>
  <si>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</si>
  <si>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</si>
  <si>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</si>
  <si>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</si>
  <si>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</si>
  <si>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</si>
  <si>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</si>
  <si>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</si>
  <si>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</si>
  <si>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</si>
  <si>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</si>
  <si>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</si>
  <si>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</si>
  <si>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</si>
  <si>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</si>
  <si>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</si>
  <si>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</si>
  <si>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</si>
  <si>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</si>
  <si>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</si>
  <si>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</si>
  <si>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</si>
  <si>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</si>
  <si>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</si>
  <si>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</si>
  <si>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</si>
  <si>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</si>
  <si>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</si>
  <si>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</si>
  <si>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</si>
  <si>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</si>
  <si>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</si>
  <si>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</si>
  <si>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</si>
  <si>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</si>
  <si>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</si>
  <si>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</si>
  <si>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</si>
  <si>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</si>
  <si>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</si>
  <si>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</si>
  <si>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</si>
  <si>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</si>
  <si>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</si>
  <si>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</si>
  <si>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</si>
  <si>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</si>
  <si>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</si>
  <si>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</si>
  <si>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</si>
  <si>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</si>
  <si>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</si>
  <si>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</si>
  <si>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</si>
  <si>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</si>
  <si>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</si>
  <si>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</si>
  <si>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</si>
  <si>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</si>
  <si>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</si>
  <si>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</si>
  <si>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</si>
  <si>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</si>
  <si>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</si>
  <si>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</si>
  <si>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</si>
  <si>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</si>
  <si>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</si>
  <si>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</si>
  <si>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</si>
  <si>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</si>
  <si>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</si>
  <si>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</si>
  <si>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</si>
  <si>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</si>
  <si>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</si>
  <si>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</si>
  <si>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</si>
  <si>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</si>
  <si>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</si>
  <si>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</si>
  <si>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</si>
  <si>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</si>
  <si>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</si>
  <si>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</si>
  <si>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</si>
  <si>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</si>
  <si>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</si>
  <si>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</si>
  <si>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</si>
  <si>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</si>
  <si>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</si>
  <si>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</si>
  <si>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</si>
  <si>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</si>
  <si>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</si>
  <si>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</si>
  <si>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</si>
  <si>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</si>
  <si>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</si>
  <si>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</si>
  <si>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</si>
  <si>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</si>
  <si>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</si>
  <si>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</si>
  <si>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</si>
  <si>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</si>
  <si>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</si>
  <si>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</si>
  <si>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</si>
  <si>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</si>
  <si>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</si>
  <si>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</si>
  <si>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</si>
  <si>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</si>
  <si>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</si>
  <si>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</si>
  <si>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</si>
  <si>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</si>
  <si>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</si>
  <si>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</si>
  <si>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</si>
  <si>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</si>
  <si>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</si>
  <si>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</si>
  <si>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</si>
  <si>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</si>
  <si>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</si>
  <si>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</si>
  <si>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</si>
  <si>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</si>
  <si>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</si>
  <si>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</si>
  <si>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</si>
  <si>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</si>
  <si>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</si>
  <si>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</si>
  <si>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</si>
  <si>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</si>
  <si>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</si>
  <si>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</si>
  <si>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</si>
  <si>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</si>
  <si>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</si>
  <si>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</si>
  <si>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</si>
  <si>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</si>
  <si>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</si>
  <si>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</si>
  <si>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</si>
  <si>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</si>
  <si>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</si>
  <si>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</si>
  <si>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</si>
  <si>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</si>
  <si>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</si>
  <si>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</si>
  <si>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</si>
  <si>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</si>
  <si>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</si>
  <si>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</si>
  <si>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</si>
  <si>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</si>
  <si>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</si>
  <si>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</si>
  <si>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</si>
  <si>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</si>
  <si>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</si>
  <si>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</si>
  <si>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</si>
  <si>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</si>
  <si>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</si>
  <si>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</si>
  <si>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</si>
  <si>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</si>
  <si>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</si>
  <si>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</si>
  <si>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</si>
  <si>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</si>
  <si>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</si>
  <si>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</si>
  <si>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</si>
  <si>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</si>
  <si>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</si>
  <si>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</si>
  <si>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</si>
  <si>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</si>
  <si>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</si>
  <si>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</si>
  <si>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</si>
  <si>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</si>
  <si>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</si>
  <si>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</si>
  <si>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</si>
  <si>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</si>
  <si>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</si>
  <si>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</si>
  <si>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</si>
  <si>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</si>
  <si>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</si>
  <si>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</si>
  <si>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</si>
  <si>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</si>
  <si>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</si>
  <si>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</si>
  <si>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</si>
  <si>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</si>
  <si>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</si>
  <si>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</si>
  <si>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</si>
  <si>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</si>
  <si>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</si>
  <si>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</si>
  <si>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</si>
  <si>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</si>
  <si>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</si>
  <si>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</si>
  <si>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</si>
  <si>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</si>
  <si>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</si>
  <si>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</si>
  <si>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</si>
  <si>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</si>
  <si>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</si>
  <si>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</si>
  <si>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</si>
  <si>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</si>
  <si>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</si>
  <si>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</si>
  <si>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</si>
  <si>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</si>
  <si>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</si>
  <si>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</si>
  <si>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</si>
  <si>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</si>
  <si>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</si>
  <si>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</si>
  <si>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</si>
  <si>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</si>
  <si>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</si>
  <si>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</si>
  <si>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</si>
  <si>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</si>
  <si>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</si>
  <si>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</si>
  <si>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</si>
  <si>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</si>
  <si>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</si>
  <si>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</si>
  <si>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</si>
  <si>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</si>
  <si>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</si>
  <si>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</si>
  <si>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</si>
  <si>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</si>
  <si>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</si>
  <si>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</si>
  <si>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</si>
  <si>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</si>
  <si>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</si>
  <si>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</si>
  <si>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</si>
  <si>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</si>
  <si>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</si>
  <si>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</si>
  <si>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</si>
  <si>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</si>
  <si>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</si>
  <si>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</si>
  <si>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</si>
  <si>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</si>
  <si>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</si>
  <si>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</si>
  <si>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</si>
  <si>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</si>
  <si>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</si>
  <si>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</si>
  <si>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</si>
  <si>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</si>
  <si>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</si>
  <si>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</si>
  <si>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</si>
  <si>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</si>
  <si>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</si>
  <si>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</si>
  <si>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</si>
  <si>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</si>
  <si>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</si>
  <si>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</si>
  <si>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</si>
  <si>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</si>
  <si>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</si>
  <si>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</si>
  <si>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</si>
  <si>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</si>
  <si>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</si>
  <si>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</si>
  <si>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</si>
  <si>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</si>
  <si>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</si>
  <si>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</si>
  <si>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</si>
  <si>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</si>
  <si>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</si>
  <si>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</si>
  <si>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</si>
  <si>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</si>
  <si>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</si>
  <si>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</si>
  <si>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</si>
  <si>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</si>
  <si>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</si>
  <si>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</si>
  <si>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</si>
  <si>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</si>
  <si>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</si>
  <si>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</si>
  <si>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</si>
  <si>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</si>
  <si>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</si>
  <si>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</si>
  <si>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</si>
  <si>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</si>
  <si>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</si>
  <si>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</si>
  <si>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</si>
  <si>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</si>
  <si>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</si>
  <si>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</si>
  <si>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</si>
  <si>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</si>
  <si>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</si>
  <si>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</si>
  <si>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</si>
  <si>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</si>
  <si>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</si>
  <si>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</si>
  <si>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</si>
  <si>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</si>
  <si>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</si>
  <si>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</si>
  <si>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</si>
  <si>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</si>
  <si>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</si>
  <si>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</si>
  <si>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</si>
  <si>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</si>
  <si>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</si>
  <si>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</si>
  <si>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</si>
  <si>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</si>
  <si>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</si>
  <si>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</si>
  <si>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</si>
  <si>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</si>
  <si>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</si>
  <si>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</si>
  <si>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</si>
  <si>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</si>
  <si>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</si>
  <si>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</si>
  <si>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</si>
  <si>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</si>
  <si>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</si>
  <si>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</si>
  <si>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</si>
  <si>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</si>
  <si>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</si>
  <si>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</si>
  <si>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</si>
  <si>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</si>
  <si>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</si>
  <si>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</si>
  <si>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</si>
  <si>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</si>
  <si>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</si>
  <si>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</si>
  <si>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</si>
  <si>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</si>
  <si>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</si>
  <si>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</si>
  <si>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</si>
  <si>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</si>
  <si>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</si>
  <si>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</si>
  <si>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</si>
  <si>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</si>
  <si>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</si>
  <si>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</si>
  <si>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</si>
  <si>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</si>
  <si>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</si>
  <si>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</si>
  <si>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</si>
  <si>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</si>
  <si>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</si>
  <si>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</si>
  <si>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</si>
  <si>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</si>
  <si>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</si>
  <si>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</si>
  <si>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</si>
  <si>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</si>
  <si>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</si>
  <si>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</si>
  <si>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</si>
  <si>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</si>
  <si>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</si>
  <si>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</si>
  <si>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</si>
  <si>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</si>
  <si>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</si>
  <si>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</si>
  <si>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</si>
  <si>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</si>
  <si>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</si>
  <si>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</si>
  <si>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</si>
  <si>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</si>
  <si>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</si>
  <si>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</si>
  <si>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</si>
  <si>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</si>
  <si>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</si>
  <si>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</si>
  <si>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</si>
  <si>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</si>
  <si>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</si>
  <si>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</si>
  <si>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</si>
  <si>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</si>
  <si>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</si>
  <si>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</si>
  <si>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</si>
  <si>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</si>
  <si>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</si>
  <si>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</si>
  <si>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</si>
  <si>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</si>
  <si>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</si>
  <si>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</si>
  <si>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</si>
  <si>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</si>
  <si>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</si>
  <si>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</si>
  <si>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</si>
  <si>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</si>
  <si>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</si>
  <si>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</si>
  <si>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</si>
  <si>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</si>
  <si>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</si>
  <si>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</si>
  <si>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</si>
  <si>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</si>
  <si>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</si>
  <si>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</si>
  <si>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</si>
  <si>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</si>
  <si>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</si>
  <si>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</si>
  <si>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</si>
  <si>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</si>
  <si>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</si>
  <si>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</si>
  <si>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</si>
  <si>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</si>
  <si>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</si>
  <si>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</si>
  <si>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</si>
  <si>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</si>
  <si>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</si>
  <si>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</si>
  <si>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</si>
  <si>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</si>
  <si>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</si>
  <si>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</si>
  <si>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</si>
  <si>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</si>
  <si>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</si>
  <si>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</si>
  <si>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</si>
  <si>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</si>
  <si>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</si>
  <si>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</si>
  <si>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</si>
  <si>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</si>
  <si>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</si>
  <si>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</si>
  <si>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</si>
  <si>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</si>
  <si>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</si>
  <si>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</si>
  <si>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</si>
  <si>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</si>
  <si>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</si>
  <si>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</si>
  <si>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</si>
  <si>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</si>
  <si>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</si>
  <si>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</si>
  <si>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</si>
  <si>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</si>
  <si>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</si>
  <si>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</si>
  <si>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</si>
  <si>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</si>
  <si>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</si>
  <si>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</si>
  <si>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</si>
  <si>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</si>
  <si>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</si>
  <si>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</si>
  <si>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</si>
  <si>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</si>
  <si>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</si>
  <si>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</si>
  <si>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</si>
  <si>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</si>
  <si>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</si>
  <si>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</si>
  <si>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</si>
  <si>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</si>
  <si>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</si>
  <si>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</si>
  <si>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</si>
  <si>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</si>
  <si>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</si>
  <si>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</si>
  <si>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</si>
  <si>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</si>
  <si>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</si>
  <si>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</si>
  <si>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</si>
  <si>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</si>
  <si>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</si>
  <si>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</si>
  <si>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</si>
  <si>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</si>
  <si>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</si>
  <si>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</si>
  <si>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</si>
  <si>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</si>
  <si>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</si>
  <si>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</si>
  <si>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</si>
  <si>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</si>
  <si>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</si>
  <si>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</si>
  <si>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</si>
  <si>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</si>
  <si>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</si>
  <si>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</si>
  <si>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</si>
  <si>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</si>
  <si>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</si>
  <si>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</si>
  <si>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</si>
  <si>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</si>
  <si>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</si>
  <si>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</si>
  <si>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</si>
  <si>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</si>
  <si>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</si>
  <si>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</si>
  <si>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</si>
  <si>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</si>
  <si>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</si>
  <si>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</si>
  <si>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</si>
  <si>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</si>
  <si>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</si>
  <si>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</si>
  <si>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</si>
  <si>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</si>
  <si>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</si>
  <si>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</si>
  <si>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</si>
  <si>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</si>
  <si>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</si>
  <si>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</si>
  <si>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</si>
  <si>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</si>
  <si>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</si>
  <si>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</si>
  <si>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</si>
  <si>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</si>
  <si>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</si>
  <si>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</si>
  <si>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</si>
  <si>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</si>
  <si>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</si>
  <si>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</si>
  <si>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</si>
  <si>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</si>
  <si>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</si>
  <si>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</si>
  <si>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</si>
  <si>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</si>
  <si>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</si>
  <si>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</si>
  <si>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</si>
  <si>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</si>
  <si>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</si>
  <si>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</si>
  <si>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</si>
  <si>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</si>
  <si>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</si>
  <si>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</si>
  <si>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</si>
  <si>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</si>
  <si>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</si>
  <si>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</si>
  <si>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</si>
  <si>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</si>
  <si>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</si>
  <si>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</si>
  <si>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</si>
  <si>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</si>
  <si>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</si>
  <si>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</si>
  <si>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</si>
  <si>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</si>
  <si>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</si>
  <si>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</si>
  <si>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</si>
  <si>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</si>
  <si>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</si>
  <si>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</si>
  <si>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</si>
  <si>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</si>
  <si>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</si>
  <si>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</si>
  <si>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</si>
  <si>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</si>
  <si>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</si>
  <si>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</si>
  <si>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</si>
  <si>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</si>
  <si>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</si>
  <si>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</si>
  <si>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</si>
  <si>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</si>
  <si>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</si>
  <si>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</si>
  <si>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</si>
  <si>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</si>
  <si>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</si>
  <si>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</si>
  <si>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</si>
  <si>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</si>
  <si>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</si>
  <si>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</si>
  <si>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</si>
  <si>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</si>
  <si>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</si>
  <si>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</si>
  <si>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</si>
  <si>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</si>
  <si>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</si>
  <si>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</si>
  <si>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</si>
  <si>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</si>
  <si>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</si>
  <si>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</si>
  <si>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</si>
  <si>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</si>
  <si>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</si>
  <si>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</si>
  <si>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</si>
  <si>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</si>
  <si>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</si>
  <si>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</si>
  <si>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</si>
  <si>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</si>
  <si>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</si>
  <si>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</si>
  <si>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</si>
  <si>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</si>
  <si>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</si>
  <si>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</si>
  <si>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</si>
  <si>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</si>
  <si>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</si>
  <si>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</si>
  <si>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</si>
  <si>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</si>
  <si>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</si>
  <si>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</si>
  <si>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</si>
  <si>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</si>
  <si>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</si>
  <si>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</si>
  <si>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</si>
  <si>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</si>
  <si>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</si>
  <si>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</si>
  <si>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</si>
  <si>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</si>
  <si>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</si>
  <si>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</si>
  <si>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</si>
  <si>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</si>
  <si>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</si>
  <si>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</si>
  <si>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</si>
  <si>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</si>
  <si>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</si>
  <si>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</si>
  <si>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</si>
  <si>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</si>
  <si>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</si>
  <si>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</si>
  <si>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</si>
  <si>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</si>
  <si>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</si>
  <si>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</si>
  <si>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</si>
  <si>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</si>
  <si>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</si>
  <si>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</si>
  <si>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</si>
  <si>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</si>
  <si>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</si>
  <si>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</si>
  <si>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</si>
  <si>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</si>
  <si>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</si>
  <si>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</si>
  <si>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</si>
  <si>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</si>
  <si>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</si>
  <si>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</si>
  <si>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</si>
  <si>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</si>
  <si>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</si>
  <si>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</si>
  <si>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</si>
  <si>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</si>
  <si>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</si>
  <si>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</si>
  <si>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</si>
  <si>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</si>
  <si>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</si>
  <si>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</si>
  <si>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</si>
  <si>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</si>
  <si>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</si>
  <si>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</si>
  <si>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</si>
  <si>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</si>
  <si>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</si>
  <si>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</si>
  <si>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</si>
  <si>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</si>
  <si>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</si>
  <si>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</si>
  <si>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</si>
  <si>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</si>
  <si>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</si>
  <si>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</si>
  <si>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</si>
  <si>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</si>
  <si>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</si>
  <si>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</si>
  <si>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</si>
  <si>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</si>
  <si>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</si>
  <si>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</si>
  <si>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</si>
  <si>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</si>
  <si>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</si>
  <si>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</si>
  <si>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</si>
  <si>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</si>
  <si>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</si>
  <si>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</si>
  <si>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</si>
  <si>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</si>
  <si>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</si>
  <si>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</si>
  <si>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</si>
  <si>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</si>
  <si>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</si>
  <si>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</si>
  <si>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</si>
  <si>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</si>
  <si>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</si>
  <si>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</si>
  <si>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</si>
  <si>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</si>
  <si>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</si>
  <si>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</si>
  <si>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</si>
  <si>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</si>
  <si>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</si>
  <si>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</si>
  <si>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</si>
  <si>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</si>
  <si>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</si>
  <si>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</si>
  <si>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</si>
  <si>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</si>
  <si>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</si>
  <si>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</si>
  <si>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</si>
  <si>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</si>
  <si>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</si>
  <si>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</si>
  <si>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</si>
  <si>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</si>
  <si>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</si>
  <si>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</si>
  <si>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</si>
  <si>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</si>
  <si>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</si>
  <si>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</si>
  <si>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</si>
  <si>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</si>
  <si>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</si>
  <si>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</si>
  <si>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</si>
  <si>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</si>
  <si>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</si>
  <si>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</si>
  <si>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</si>
  <si>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</si>
  <si>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</si>
  <si>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</si>
  <si>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</si>
  <si>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</si>
  <si>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</si>
  <si>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</si>
  <si>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</si>
  <si>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</si>
  <si>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</si>
  <si>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</si>
  <si>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</si>
  <si>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</si>
  <si>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</si>
  <si>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</si>
  <si>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</si>
  <si>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</si>
  <si>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</si>
  <si>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</si>
  <si>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</si>
  <si>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</si>
  <si>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</si>
  <si>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</si>
  <si>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</si>
  <si>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</si>
  <si>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</si>
  <si>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</si>
  <si>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</si>
  <si>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</si>
  <si>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</si>
  <si>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</si>
  <si>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</si>
  <si>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</si>
  <si>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</si>
  <si>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</si>
  <si>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</si>
  <si>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</si>
  <si>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</si>
  <si>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</si>
  <si>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</si>
  <si>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</si>
  <si>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</si>
  <si>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</si>
  <si>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</si>
  <si>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</si>
  <si>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</si>
  <si>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</si>
  <si>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</si>
  <si>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</si>
  <si>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</si>
  <si>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</si>
  <si>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</si>
  <si>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</si>
  <si>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</si>
  <si>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</si>
  <si>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</si>
  <si>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</si>
  <si>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</si>
  <si>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</si>
  <si>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</si>
  <si>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</si>
  <si>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</si>
  <si>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</si>
  <si>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</si>
  <si>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</si>
  <si>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</si>
  <si>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</si>
  <si>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</si>
  <si>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</si>
  <si>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</si>
  <si>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</si>
  <si>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</si>
  <si>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</si>
  <si>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</si>
  <si>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</si>
  <si>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</si>
  <si>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</si>
  <si>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</si>
  <si>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</si>
  <si>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</si>
  <si>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</si>
  <si>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</si>
  <si>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</si>
  <si>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</si>
  <si>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</si>
  <si>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</si>
  <si>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</si>
  <si>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</si>
  <si>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</si>
  <si>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</si>
  <si>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</si>
  <si>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</si>
  <si>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</si>
  <si>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</si>
  <si>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</si>
  <si>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</si>
  <si>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</si>
  <si>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</si>
  <si>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</si>
  <si>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</si>
  <si>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</si>
  <si>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</si>
  <si>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</si>
  <si>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</si>
  <si>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</si>
  <si>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</si>
  <si>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</si>
  <si>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</si>
  <si>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</si>
  <si>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</si>
  <si>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</si>
  <si>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</si>
  <si>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</si>
  <si>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</si>
  <si>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</si>
  <si>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</si>
  <si>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</si>
  <si>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</si>
  <si>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</si>
  <si>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</si>
  <si>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</si>
  <si>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</si>
  <si>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</si>
  <si>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</si>
  <si>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</si>
  <si>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</si>
  <si>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</si>
  <si>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</si>
  <si>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</si>
  <si>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</si>
  <si>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</si>
  <si>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</si>
  <si>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</si>
  <si>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</si>
  <si>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</si>
  <si>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</si>
  <si>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</si>
  <si>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</si>
  <si>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</si>
  <si>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</si>
  <si>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</si>
  <si>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</si>
  <si>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</si>
  <si>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</si>
  <si>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</si>
  <si>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</si>
  <si>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</si>
  <si>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</si>
  <si>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</si>
  <si>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</si>
  <si>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</si>
  <si>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</si>
  <si>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</si>
  <si>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</si>
  <si>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</si>
  <si>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</si>
  <si>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</si>
  <si>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</si>
  <si>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</si>
  <si>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</si>
  <si>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</si>
  <si>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</si>
  <si>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</si>
  <si>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</si>
  <si>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</si>
  <si>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</si>
  <si>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</si>
  <si>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</si>
  <si>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</si>
  <si>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</si>
  <si>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</si>
  <si>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</si>
  <si>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</si>
  <si>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</si>
  <si>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</si>
  <si>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</si>
  <si>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</si>
  <si>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</si>
  <si>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</si>
  <si>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</si>
  <si>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</si>
  <si>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</si>
  <si>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</si>
  <si>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</si>
  <si>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</si>
  <si>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</si>
  <si>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</si>
  <si>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</si>
  <si>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</si>
  <si>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</si>
  <si>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</si>
  <si>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</si>
  <si>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</si>
  <si>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</si>
  <si>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</si>
  <si>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</si>
  <si>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</si>
  <si>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</si>
  <si>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</si>
  <si>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</si>
  <si>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</si>
  <si>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</si>
  <si>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</si>
  <si>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</si>
  <si>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</si>
  <si>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</si>
  <si>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</si>
  <si>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</si>
  <si>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</si>
  <si>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</si>
  <si>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</si>
  <si>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</si>
  <si>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</si>
  <si>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</si>
  <si>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</si>
  <si>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</si>
  <si>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</si>
  <si>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</si>
  <si>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</si>
  <si>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</si>
  <si>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</si>
  <si>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</si>
  <si>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</si>
  <si>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</si>
  <si>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</si>
  <si>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</si>
  <si>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</si>
  <si>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</si>
  <si>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</si>
  <si>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</si>
  <si>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</si>
  <si>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</si>
  <si>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</si>
  <si>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</si>
  <si>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</si>
  <si>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</si>
  <si>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</si>
  <si>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</si>
  <si>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</si>
  <si>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</si>
  <si>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</si>
  <si>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</si>
  <si>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</si>
  <si>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</si>
  <si>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</si>
  <si>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</si>
  <si>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</si>
  <si>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</si>
  <si>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</si>
  <si>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</si>
  <si>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</si>
  <si>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</si>
  <si>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</si>
  <si>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</si>
  <si>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</si>
  <si>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</si>
  <si>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</si>
  <si>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</si>
  <si>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</si>
  <si>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</si>
  <si>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</si>
  <si>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</si>
  <si>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</si>
  <si>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</si>
  <si>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</si>
  <si>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</si>
  <si>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</si>
  <si>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</si>
  <si>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</si>
  <si>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</si>
  <si>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</si>
  <si>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</si>
  <si>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</si>
  <si>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</si>
  <si>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</si>
  <si>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</si>
  <si>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</si>
  <si>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</si>
  <si>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</si>
  <si>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</si>
  <si>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</si>
  <si>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</si>
  <si>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</si>
  <si>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</si>
  <si>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</si>
  <si>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</si>
  <si>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</si>
  <si>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</si>
  <si>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</si>
  <si>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</si>
  <si>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</si>
  <si>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</si>
  <si>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</si>
  <si>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</si>
  <si>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</si>
  <si>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</si>
  <si>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</si>
  <si>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</si>
  <si>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</si>
  <si>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</si>
  <si>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</si>
  <si>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</si>
  <si>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</si>
  <si>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</si>
  <si>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</si>
  <si>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</si>
  <si>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</si>
  <si>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</si>
  <si>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</si>
  <si>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</si>
  <si>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</si>
  <si>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</si>
  <si>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</si>
  <si>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</si>
  <si>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</si>
  <si>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</si>
  <si>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</si>
  <si>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</si>
  <si>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</si>
  <si>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</si>
  <si>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</si>
  <si>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</si>
  <si>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</si>
  <si>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</si>
  <si>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</si>
  <si>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</si>
  <si>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</si>
  <si>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</si>
  <si>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</si>
  <si>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</si>
  <si>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</si>
  <si>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</si>
  <si>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</si>
  <si>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</si>
  <si>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</si>
  <si>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</si>
  <si>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</si>
  <si>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</si>
  <si>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</si>
  <si>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</si>
  <si>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</si>
  <si>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</si>
  <si>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</si>
  <si>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</si>
  <si>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</si>
  <si>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</si>
  <si>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</si>
  <si>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</si>
  <si>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</si>
  <si>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</si>
  <si>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</si>
  <si>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</si>
  <si>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</si>
  <si>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</si>
  <si>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</si>
  <si>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</si>
  <si>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</si>
  <si>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</si>
  <si>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</si>
  <si>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</si>
  <si>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</si>
  <si>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</si>
  <si>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</si>
  <si>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</si>
  <si>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</si>
  <si>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</si>
  <si>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</si>
  <si>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</si>
  <si>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</si>
  <si>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</si>
  <si>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</si>
  <si>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</si>
  <si>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</si>
  <si>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</si>
  <si>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</si>
  <si>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</si>
  <si>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</si>
  <si>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</si>
  <si>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</si>
  <si>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</si>
  <si>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</si>
  <si>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</si>
  <si>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</si>
  <si>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</si>
  <si>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</si>
  <si>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</si>
  <si>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</si>
  <si>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</si>
  <si>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</si>
  <si>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</si>
  <si>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</si>
  <si>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</si>
  <si>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</si>
  <si>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</si>
  <si>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</si>
  <si>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</si>
  <si>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</si>
  <si>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</si>
  <si>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</si>
  <si>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</si>
  <si>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</si>
  <si>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</si>
  <si>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</si>
  <si>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</si>
  <si>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</si>
  <si>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</si>
  <si>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</si>
  <si>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</si>
  <si>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</si>
  <si>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</si>
  <si>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</si>
  <si>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</si>
  <si>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</si>
  <si>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</si>
  <si>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</si>
  <si>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</si>
  <si>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</si>
  <si>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</si>
  <si>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</si>
  <si>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</si>
  <si>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</si>
  <si>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</si>
  <si>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</si>
  <si>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</si>
  <si>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</si>
  <si>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</si>
  <si>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</si>
  <si>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</si>
  <si>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</si>
  <si>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</si>
  <si>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</si>
  <si>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</si>
  <si>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</si>
  <si>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</si>
  <si>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</si>
  <si>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</si>
  <si>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</si>
  <si>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</si>
  <si>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</si>
  <si>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</si>
  <si>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</si>
  <si>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</si>
  <si>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</si>
  <si>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</si>
  <si>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</si>
  <si>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</si>
  <si>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</si>
  <si>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</si>
  <si>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</si>
  <si>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</si>
  <si>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</si>
  <si>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</si>
  <si>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</si>
  <si>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</si>
  <si>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</si>
  <si>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</si>
  <si>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</si>
  <si>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</si>
  <si>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</si>
  <si>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</si>
  <si>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</si>
  <si>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</si>
  <si>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</si>
  <si>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</si>
  <si>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</si>
  <si>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</si>
  <si>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</si>
  <si>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</si>
  <si>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</si>
  <si>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</si>
  <si>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</si>
  <si>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</si>
  <si>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</si>
  <si>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</si>
  <si>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</si>
  <si>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</si>
  <si>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</si>
  <si>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</si>
  <si>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</si>
  <si>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</si>
  <si>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</si>
  <si>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</si>
  <si>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</si>
  <si>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</si>
  <si>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</si>
  <si>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</si>
  <si>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</si>
  <si>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</si>
  <si>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</si>
  <si>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</si>
  <si>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</si>
  <si>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</si>
  <si>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</si>
  <si>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</si>
  <si>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</si>
  <si>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</si>
  <si>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</si>
  <si>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</si>
  <si>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</si>
  <si>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</si>
  <si>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</si>
  <si>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</si>
  <si>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</si>
  <si>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</si>
  <si>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</si>
  <si>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</si>
  <si>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</si>
  <si>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</si>
  <si>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</si>
  <si>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</si>
  <si>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</si>
  <si>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</si>
  <si>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</si>
  <si>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</si>
  <si>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</si>
  <si>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</si>
  <si>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</si>
  <si>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</si>
  <si>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</si>
  <si>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</si>
  <si>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</si>
  <si>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</si>
  <si>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</si>
  <si>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</si>
  <si>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</si>
  <si>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</si>
  <si>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</si>
  <si>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</si>
  <si>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</si>
  <si>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</si>
  <si>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</si>
  <si>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</si>
  <si>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</si>
  <si>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</si>
  <si>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</si>
  <si>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</si>
  <si>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</si>
  <si>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</si>
  <si>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</si>
  <si>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</si>
  <si>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</si>
  <si>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</si>
  <si>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</si>
  <si>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</si>
  <si>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</si>
  <si>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</si>
  <si>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</si>
  <si>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</si>
  <si>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</si>
  <si>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</si>
  <si>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</si>
  <si>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</si>
  <si>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</si>
  <si>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</si>
  <si>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</si>
  <si>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</si>
  <si>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</si>
  <si>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</si>
  <si>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</si>
  <si>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</si>
  <si>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</si>
  <si>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</si>
  <si>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</si>
  <si>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</si>
  <si>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</si>
  <si>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</si>
  <si>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</si>
  <si>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</si>
  <si>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</si>
  <si>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</si>
  <si>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</si>
  <si>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</si>
  <si>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</si>
  <si>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</si>
  <si>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</si>
  <si>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</si>
  <si>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</si>
  <si>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</si>
  <si>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</si>
  <si>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</si>
  <si>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</si>
  <si>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</si>
  <si>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</si>
  <si>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</si>
  <si>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</si>
  <si>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</si>
  <si>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</si>
  <si>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</si>
  <si>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</si>
  <si>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</si>
  <si>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</si>
  <si>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</si>
  <si>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</si>
  <si>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</si>
  <si>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</si>
  <si>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</si>
  <si>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</si>
  <si>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</si>
  <si>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</si>
  <si>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</si>
  <si>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</si>
  <si>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</si>
  <si>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</si>
  <si>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</si>
  <si>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</si>
  <si>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</si>
  <si>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</si>
  <si>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</si>
  <si>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</si>
  <si>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</si>
  <si>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</si>
  <si>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</si>
  <si>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</si>
  <si>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</si>
  <si>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</si>
  <si>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</si>
  <si>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</si>
  <si>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</si>
  <si>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</si>
  <si>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</si>
  <si>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</si>
  <si>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</si>
  <si>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</si>
  <si>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</si>
  <si>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</si>
  <si>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</si>
  <si>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</si>
  <si>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</si>
  <si>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</si>
  <si>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</si>
  <si>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</si>
  <si>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</si>
  <si>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</si>
  <si>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</si>
  <si>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</si>
  <si>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</si>
  <si>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</si>
  <si>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</si>
  <si>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</si>
  <si>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</si>
  <si>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</si>
  <si>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</si>
  <si>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</si>
  <si>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</si>
  <si>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</si>
  <si>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</si>
  <si>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</si>
  <si>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</si>
  <si>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</si>
  <si>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</si>
  <si>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</si>
  <si>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</si>
  <si>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</si>
  <si>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</si>
  <si>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</si>
  <si>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</si>
  <si>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</si>
  <si>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</si>
  <si>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</si>
  <si>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</si>
  <si>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</si>
  <si>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</si>
  <si>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</si>
  <si>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</si>
  <si>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</si>
  <si>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</si>
  <si>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</si>
  <si>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</si>
  <si>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</si>
  <si>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</si>
  <si>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</si>
  <si>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</si>
  <si>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</si>
  <si>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</si>
  <si>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</si>
  <si>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</si>
  <si>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</si>
  <si>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</si>
  <si>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</si>
  <si>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</si>
  <si>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</si>
  <si>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</si>
  <si>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</si>
  <si>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</si>
  <si>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</si>
  <si>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</si>
  <si>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</si>
  <si>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</si>
  <si>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</si>
  <si>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</si>
  <si>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</si>
  <si>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</si>
  <si>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</si>
  <si>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</si>
  <si>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</si>
  <si>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</si>
  <si>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</si>
  <si>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</si>
  <si>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</si>
  <si>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</si>
  <si>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</si>
  <si>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</si>
  <si>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</si>
  <si>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</si>
  <si>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</si>
  <si>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</si>
  <si>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</si>
  <si>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</si>
  <si>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</si>
  <si>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</si>
  <si>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</si>
  <si>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</si>
  <si>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</si>
  <si>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</si>
  <si>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</si>
  <si>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</si>
  <si>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</si>
  <si>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</si>
  <si>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</si>
  <si>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</si>
  <si>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</si>
  <si>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</si>
  <si>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</si>
  <si>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</si>
  <si>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</si>
  <si>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</si>
  <si>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</si>
  <si>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</si>
  <si>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</si>
  <si>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</si>
  <si>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</si>
  <si>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</si>
  <si>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</si>
  <si>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</si>
  <si>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</si>
  <si>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</si>
  <si>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</si>
  <si>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</si>
  <si>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</si>
  <si>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</si>
  <si>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</si>
  <si>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</si>
  <si>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</si>
  <si>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</si>
  <si>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</si>
  <si>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</si>
  <si>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</si>
  <si>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</si>
  <si>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</si>
  <si>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</si>
  <si>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</si>
  <si>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</si>
  <si>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</si>
  <si>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</si>
  <si>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</si>
  <si>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</si>
  <si>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</si>
  <si>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</si>
  <si>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</si>
  <si>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</si>
  <si>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</si>
  <si>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</si>
  <si>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</si>
  <si>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</si>
  <si>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</si>
  <si>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</si>
  <si>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</si>
  <si>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</si>
  <si>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</si>
  <si>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</si>
  <si>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</si>
  <si>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</si>
  <si>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</si>
  <si>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</si>
  <si>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</si>
  <si>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</si>
  <si>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</si>
  <si>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</si>
  <si>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</si>
  <si>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</si>
  <si>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</si>
  <si>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</si>
  <si>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</si>
  <si>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</si>
  <si>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</si>
  <si>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</si>
  <si>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</si>
  <si>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</si>
  <si>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</si>
  <si>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</si>
  <si>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</si>
  <si>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</si>
  <si>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</si>
  <si>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</si>
  <si>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</si>
  <si>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</si>
  <si>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</si>
  <si>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</si>
  <si>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</si>
  <si>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</si>
  <si>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</si>
  <si>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</si>
  <si>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</si>
  <si>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</si>
  <si>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</si>
  <si>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</si>
  <si>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</si>
  <si>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</si>
  <si>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</si>
  <si>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</si>
  <si>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</si>
  <si>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</si>
  <si>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</si>
  <si>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</si>
  <si>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</si>
  <si>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</si>
  <si>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</si>
  <si>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</si>
  <si>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</si>
  <si>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</si>
  <si>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</si>
  <si>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</si>
  <si>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</si>
  <si>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</si>
  <si>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</si>
  <si>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</si>
  <si>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</si>
  <si>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</si>
  <si>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</si>
  <si>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</si>
  <si>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</si>
  <si>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</si>
  <si>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</si>
  <si>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</si>
  <si>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</si>
  <si>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</si>
  <si>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</si>
  <si>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</si>
  <si>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</si>
  <si>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</si>
  <si>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</si>
  <si>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 xml:space="preserve">Mean Goal </t>
  </si>
  <si>
    <t xml:space="preserve">Successful </t>
  </si>
  <si>
    <t>Failed</t>
  </si>
  <si>
    <t>Median Goal</t>
  </si>
  <si>
    <t xml:space="preserve">Standard Deviation of Goal </t>
  </si>
  <si>
    <t xml:space="preserve">Upper Quartile of Goal </t>
  </si>
  <si>
    <t>Lower Quartile of Goal</t>
  </si>
  <si>
    <t>IQR of Goal</t>
  </si>
  <si>
    <t>Upper Quartile of Pledged</t>
  </si>
  <si>
    <t>Mean Pledged</t>
  </si>
  <si>
    <t>Median Pledged</t>
  </si>
  <si>
    <t>Standard Deviation of Pledged</t>
  </si>
  <si>
    <t xml:space="preserve">Lower Quartile of Pledged </t>
  </si>
  <si>
    <t>IQR of Pledged</t>
  </si>
  <si>
    <t>Plays</t>
  </si>
  <si>
    <t xml:space="preserve">Goal </t>
  </si>
  <si>
    <t xml:space="preserve">Number Successful 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</si>
  <si>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</si>
  <si>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</si>
  <si>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</si>
  <si>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</si>
  <si>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</si>
  <si>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</si>
  <si>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</si>
  <si>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</si>
  <si>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</si>
  <si>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</si>
  <si>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</si>
  <si>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</si>
  <si>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</si>
  <si>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</si>
  <si>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</si>
  <si>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</si>
  <si>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50000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</si>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</sst>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A5030B"/>
      <name val="Monaco"/>
      <family val="2"/>
    </font>
    <font>
      <sz val="11"/>
      <color rgb="FF2B2B2B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3" fillId="0" borderId="0" xfId="0" applyFont="1"/>
    <xf numFmtId="0" fontId="1" fillId="0" borderId="0" xfId="0" applyFont="1" applyAlignment="1">
      <alignment wrapText="1"/>
    </xf>
    <xf numFmtId="44" fontId="1" fillId="0" borderId="0" xfId="0" applyNumberFormat="1" applyFont="1"/>
    <xf numFmtId="165" fontId="0" fillId="0" borderId="0" xfId="0" applyNumberFormat="1"/>
    <xf numFmtId="165" fontId="0" fillId="0" borderId="0" xfId="1" applyNumberFormat="1" applyFont="1"/>
    <xf numFmtId="0" fontId="0" fillId="0" borderId="0" xfId="0" applyFont="1"/>
    <xf numFmtId="165" fontId="0" fillId="0" borderId="0" xfId="0" applyNumberFormat="1" applyFont="1"/>
    <xf numFmtId="9" fontId="1" fillId="0" borderId="0" xfId="2" applyFont="1"/>
    <xf numFmtId="9" fontId="0" fillId="0" borderId="0" xfId="2" applyFont="1"/>
    <xf numFmtId="164" fontId="1" fillId="0" borderId="0" xfId="0" applyNumberFormat="1" applyFont="1"/>
    <xf numFmtId="49" fontId="1" fillId="0" borderId="0" xfId="0" applyNumberFormat="1" applyFont="1"/>
    <xf numFmtId="14" fontId="1" fillId="0" borderId="0" xfId="0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FF552B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55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1722082239720035"/>
          <c:y val="0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A8-2E42-BC5D-E1C29543957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A8-2E42-BC5D-E1C29543957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1A8-2E42-BC5D-E1C295439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4877168"/>
        <c:axId val="819628352"/>
      </c:lineChart>
      <c:catAx>
        <c:axId val="784877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628352"/>
        <c:crosses val="autoZero"/>
        <c:auto val="1"/>
        <c:lblAlgn val="ctr"/>
        <c:lblOffset val="100"/>
        <c:noMultiLvlLbl val="0"/>
      </c:catAx>
      <c:valAx>
        <c:axId val="81962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87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77-DE46-8D0D-7E02056A8130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177-DE46-8D0D-7E02056A8130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177-DE46-8D0D-7E02056A8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455840"/>
        <c:axId val="863457472"/>
      </c:lineChart>
      <c:catAx>
        <c:axId val="863455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457472"/>
        <c:crosses val="autoZero"/>
        <c:auto val="1"/>
        <c:lblAlgn val="ctr"/>
        <c:lblOffset val="100"/>
        <c:noMultiLvlLbl val="0"/>
      </c:catAx>
      <c:valAx>
        <c:axId val="86345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45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F6-484F-8548-357425EB78E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DF6-484F-8548-357425EB78E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DF6-484F-8548-357425EB78E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DF6-484F-8548-357425EB78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6981439"/>
        <c:axId val="606983071"/>
      </c:barChart>
      <c:catAx>
        <c:axId val="6069814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Type of Campaign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983071"/>
        <c:crosses val="autoZero"/>
        <c:auto val="1"/>
        <c:lblAlgn val="ctr"/>
        <c:lblOffset val="100"/>
        <c:noMultiLvlLbl val="0"/>
      </c:catAx>
      <c:valAx>
        <c:axId val="60698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981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51-FD4D-9793-263D5021D1C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51-FD4D-9793-263D5021D1C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51-FD4D-9793-263D5021D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1417535"/>
        <c:axId val="629822383"/>
      </c:barChart>
      <c:catAx>
        <c:axId val="631417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822383"/>
        <c:crosses val="autoZero"/>
        <c:auto val="1"/>
        <c:lblAlgn val="ctr"/>
        <c:lblOffset val="100"/>
        <c:noMultiLvlLbl val="0"/>
      </c:catAx>
      <c:valAx>
        <c:axId val="62982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417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of</a:t>
            </a:r>
            <a:r>
              <a:rPr lang="en-US" baseline="0"/>
              <a:t> Campaigns Based on Month of the Year</a:t>
            </a:r>
            <a:endParaRPr lang="en-US"/>
          </a:p>
        </c:rich>
      </c:tx>
      <c:layout>
        <c:manualLayout>
          <c:xMode val="edge"/>
          <c:yMode val="edge"/>
          <c:x val="0.37877800407331969"/>
          <c:y val="4.501607717041800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86-1A41-975C-41F236AEB9F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286-1A41-975C-41F236AEB9F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286-1A41-975C-41F236AEB9F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286-1A41-975C-41F236AEB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4955583"/>
        <c:axId val="633016367"/>
      </c:lineChart>
      <c:catAx>
        <c:axId val="6349555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016367"/>
        <c:crosses val="autoZero"/>
        <c:auto val="1"/>
        <c:lblAlgn val="ctr"/>
        <c:lblOffset val="100"/>
        <c:noMultiLvlLbl val="0"/>
      </c:catAx>
      <c:valAx>
        <c:axId val="633016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955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603250</xdr:colOff>
      <xdr:row>5</xdr:row>
      <xdr:rowOff>31750</xdr:rowOff>
    </xdr:from>
    <xdr:to>
      <xdr:col>12</xdr:col>
      <xdr:colOff>222250</xdr:colOff>
      <xdr:row>19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FEF705-5819-7144-AA89-D5150CCAE1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1066800</xdr:colOff>
      <xdr:row>14</xdr:row>
      <xdr:rowOff>44449</xdr:rowOff>
    </xdr:from>
    <xdr:to>
      <xdr:col>10</xdr:col>
      <xdr:colOff>571500</xdr:colOff>
      <xdr:row>34</xdr:row>
      <xdr:rowOff>25400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BAFC411-DB75-504F-831B-FEB9941085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7</xdr:row>
      <xdr:rowOff>127000</xdr:rowOff>
    </xdr:from>
    <xdr:to>
      <xdr:col>13</xdr:col>
      <xdr:colOff>736600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C377DB-EDF5-8E40-AB95-956E2964AD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6</xdr:row>
      <xdr:rowOff>114300</xdr:rowOff>
    </xdr:from>
    <xdr:to>
      <xdr:col>17</xdr:col>
      <xdr:colOff>317500</xdr:colOff>
      <xdr:row>30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B3D055-B253-C04A-A874-A20C37F294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4</xdr:row>
      <xdr:rowOff>25400</xdr:rowOff>
    </xdr:from>
    <xdr:to>
      <xdr:col>14</xdr:col>
      <xdr:colOff>558800</xdr:colOff>
      <xdr:row>24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3E73B8-310E-5641-85D1-8F03C454A4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ln.thmpsn@gmail.com" refreshedDate="44359.479164699071" createdVersion="6" refreshedVersion="6" minRefreshableVersion="3" recordCount="4114" xr:uid="{E63EBBD6-F005-414A-88E6-E3D4A7056B7F}">
  <cacheSource type="worksheet">
    <worksheetSource ref="A1:R4115" sheet="Kickstarter_Challeng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ln.thmpsn@gmail.com" refreshedDate="44359.498986805556" createdVersion="6" refreshedVersion="6" minRefreshableVersion="3" recordCount="4114" xr:uid="{3BB9DAB4-DAF5-7747-9C70-CA620C89ECFC}">
  <cacheSource type="worksheet">
    <worksheetSource ref="A1:T4115" sheet="Kickstarter_Challeng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ln.thmpsn@gmail.com" refreshedDate="44361.883706944442" createdVersion="6" refreshedVersion="6" minRefreshableVersion="3" recordCount="4114" xr:uid="{72786CC8-F84D-6D4A-9BFE-BD492EB3E1E9}">
  <cacheSource type="worksheet">
    <worksheetSource ref="A1:U4115" sheet="Kickstarter_Challenge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D202FB-86A4-144F-8DA5-E8B203DABC24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D06F8A-9251-1340-B1C2-EA65D5E90EFE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E6A124-00C5-D545-BAA7-551999551F9C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9D1532-38B9-E54D-AD00-C6B73D36ED14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ySplit="1" topLeftCell="A2" activePane="bottomLeft" state="frozen"/>
      <selection pane="bottomLeft" activeCell="C5" sqref="C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21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customWidth="1"/>
    <col min="17" max="17" width="13.5" bestFit="1" customWidth="1"/>
    <col min="18" max="18" width="14.5" bestFit="1" customWidth="1"/>
    <col min="19" max="19" width="20.5" style="16" bestFit="1" customWidth="1"/>
    <col min="20" max="20" width="19.1640625" style="16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8" t="s">
        <v>8379</v>
      </c>
    </row>
    <row r="2" spans="1:21" ht="49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6">
        <f>(((I2/60)/60)/24)+DATE(1970,1,1)</f>
        <v>42208.125</v>
      </c>
      <c r="U2">
        <f>YEAR(S:S)</f>
        <v>2015</v>
      </c>
    </row>
    <row r="3" spans="1:21" ht="33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YEAR(S:S)</f>
        <v>2017</v>
      </c>
    </row>
    <row r="4" spans="1:21" ht="49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3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5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9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9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9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9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9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9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9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3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3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9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9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9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9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9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9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9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3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9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3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9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9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9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3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9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9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9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9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9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9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3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3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9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9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9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9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9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9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9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9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9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9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9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9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2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9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9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9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3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9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9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3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9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3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9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9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9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9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9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9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3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YEAR(S:S)</f>
        <v>2014</v>
      </c>
    </row>
    <row r="68" spans="1:21" ht="33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9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5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9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9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9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9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9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9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9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9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9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7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9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9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9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9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9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9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9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9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9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9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9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3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9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9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9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9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9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9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9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9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3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9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9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9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3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3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9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9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9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9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9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9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9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3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9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2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9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9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3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9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9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9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3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9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9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9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9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9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3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9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YEAR(S:S)</f>
        <v>2014</v>
      </c>
    </row>
    <row r="132" spans="1:21" ht="49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9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3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3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9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9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9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9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3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9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9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9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9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9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9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9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3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9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9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9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9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3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9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3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5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9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9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9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9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9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9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9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5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9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3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9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9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9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9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9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9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9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9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9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9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9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3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3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3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9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9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9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9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9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3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9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9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9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9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9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YEAR(S:S)</f>
        <v>2014</v>
      </c>
    </row>
    <row r="196" spans="1:21" ht="49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9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9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9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9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9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3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9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9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9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9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9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9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9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9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9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9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3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9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9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9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9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9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3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9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2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9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9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9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9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3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9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3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9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9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9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9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9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9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3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9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9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9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9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9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9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9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9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9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9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5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9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9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9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9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9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9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9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3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9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9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YEAR(S:S)</f>
        <v>2016</v>
      </c>
    </row>
    <row r="260" spans="1:21" ht="49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9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3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3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3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5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5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5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9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9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9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9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9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9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9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9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9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9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9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9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3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9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9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9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9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3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9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9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9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3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9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9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3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9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9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9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9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9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9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9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3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9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9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9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5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9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3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3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3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9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9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9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9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9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9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9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9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3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3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9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5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9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9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YEAR(S:S)</f>
        <v>2016</v>
      </c>
    </row>
    <row r="324" spans="1:21" ht="49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9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9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9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9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9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9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9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9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9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9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9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9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9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9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9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9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9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9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9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3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9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9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9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9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9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9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3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9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9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9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9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9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3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3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9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9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9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9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9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9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9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9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9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9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9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9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9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9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9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3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9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9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9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9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9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9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9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9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9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9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9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9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9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YEAR(S:S)</f>
        <v>2014</v>
      </c>
    </row>
    <row r="388" spans="1:21" ht="49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9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9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9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9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9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9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3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9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9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9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5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9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9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9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9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9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9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9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3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9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9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9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9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9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9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9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9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9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5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3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9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9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9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9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9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9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9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9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9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9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9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3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5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3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9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9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5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9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9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9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9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9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9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9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9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9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3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9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9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9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9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9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YEAR(S:S)</f>
        <v>2013</v>
      </c>
    </row>
    <row r="452" spans="1:21" ht="49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9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3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9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9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9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9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9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9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9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3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9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9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9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3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2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9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9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9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3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9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5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9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9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9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9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3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9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9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9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9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9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9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9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5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3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9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9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3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9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9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9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9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9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9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3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9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5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5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9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9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9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9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9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9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9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9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9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9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9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9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3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YEAR(S:S)</f>
        <v>2016</v>
      </c>
    </row>
    <row r="516" spans="1:21" ht="49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9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3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9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9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9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9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9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9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9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9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9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9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9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9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9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9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9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9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9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3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9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9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9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9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5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9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9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9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9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9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9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9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9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9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9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9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9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9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9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9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3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9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9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9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9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9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9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9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9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9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9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9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9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3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9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9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9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9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9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9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9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YEAR(S:S)</f>
        <v>2016</v>
      </c>
    </row>
    <row r="580" spans="1:21" ht="33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3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9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9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9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3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3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9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9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9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9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9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9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9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3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9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3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9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3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9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3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9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9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9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9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3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9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9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9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9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9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9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3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9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9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9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9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9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9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3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9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9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9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9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9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9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9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9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9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9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9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3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3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9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3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3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3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9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3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9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9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YEAR(S:S)</f>
        <v>2015</v>
      </c>
    </row>
    <row r="644" spans="1:21" ht="49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3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9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3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9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9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3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9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9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9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9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9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9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9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9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9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9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9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9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3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9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9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9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9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9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9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5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9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9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9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9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3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9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5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9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9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9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9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9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9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9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9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5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9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9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9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3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9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9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3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9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9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3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9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9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9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9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9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9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9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9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3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YEAR(S:S)</f>
        <v>2016</v>
      </c>
    </row>
    <row r="708" spans="1:21" ht="49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9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9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3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3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9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9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9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9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9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9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2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9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9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9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9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9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3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9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9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9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9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9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9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3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9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9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9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3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9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9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9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3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9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9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3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9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9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3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9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9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9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9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9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9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9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9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9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9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9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9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3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9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9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9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9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9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9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9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9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9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9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YEAR(S:S)</f>
        <v>2013</v>
      </c>
    </row>
    <row r="772" spans="1:21" ht="49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9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5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9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9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9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9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9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9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9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3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9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9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9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9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9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9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9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9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9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9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9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3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9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9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9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5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9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9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9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9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9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9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9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9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9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2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3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9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3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9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3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9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3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9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3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3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9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9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3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9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9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3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9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9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3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9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9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9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9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9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3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9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YEAR(S:S)</f>
        <v>2014</v>
      </c>
    </row>
    <row r="836" spans="1:21" ht="49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9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3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9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9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3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9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9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9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9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9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3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9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5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9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3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3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9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9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3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9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3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9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3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9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9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9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9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9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9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9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9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5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9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9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9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9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3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9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5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9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9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9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9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9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9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9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9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9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9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9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9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9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9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9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9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9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9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9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9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9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YEAR(S:S)</f>
        <v>2012</v>
      </c>
    </row>
    <row r="900" spans="1:21" ht="49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9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3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5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9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9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9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9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3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3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9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9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9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9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9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9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9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9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9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9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9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9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9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9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9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9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9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5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3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9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9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9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9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3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9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9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9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9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9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9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9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9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9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9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3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9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9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3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9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9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9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9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3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9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9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9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5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3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9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9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9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9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YEAR(S:S)</f>
        <v>2017</v>
      </c>
    </row>
    <row r="964" spans="1:21" ht="49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3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9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9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9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9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9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3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9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9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9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9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9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9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9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9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9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9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9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9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3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9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9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9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9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9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9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9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9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5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9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3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3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3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9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9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9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9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9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3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3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9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9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9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9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9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9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9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9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3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3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9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9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9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3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9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9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3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9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9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3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YEAR(S:S)</f>
        <v>2015</v>
      </c>
    </row>
    <row r="1028" spans="1:21" ht="49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9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9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3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3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9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9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9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9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9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9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9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9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9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9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9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9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9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9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9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9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9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9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9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9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9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9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3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9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9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3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2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9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9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9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9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9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9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9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9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9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9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3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9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3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9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9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9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9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9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9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3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9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3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9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3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3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YEAR(S:S)</f>
        <v>2015</v>
      </c>
    </row>
    <row r="1092" spans="1:21" ht="49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9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9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9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9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9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9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9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3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9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9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3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9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9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9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9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9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5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9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9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9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9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9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9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9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9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3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9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9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9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3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9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9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9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9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9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3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5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9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9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9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9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9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9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5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9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9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9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9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9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9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9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9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9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3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9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3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3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3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9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3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YEAR(S:S)</f>
        <v>2015</v>
      </c>
    </row>
    <row r="1156" spans="1:21" ht="49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9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9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9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9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9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9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9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9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9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5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9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9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9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9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9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9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3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9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9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9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5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9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9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9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3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9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9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9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9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9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9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9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9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3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9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3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9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9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5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3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9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9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9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9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9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9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9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9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9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9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3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9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9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3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9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9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9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9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9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3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9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YEAR(S:S)</f>
        <v>2016</v>
      </c>
    </row>
    <row r="1220" spans="1:21" ht="49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3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9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9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3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3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3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9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9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9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3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9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9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9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9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9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9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9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2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9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9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3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3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9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9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9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9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9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9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3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3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9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9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3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9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9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9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9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9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9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9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3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9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3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9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3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9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5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3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9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3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9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3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9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9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3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9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9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3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9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9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9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9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9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YEAR(S:S)</f>
        <v>2013</v>
      </c>
    </row>
    <row r="1284" spans="1:21" ht="49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9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9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9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9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9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9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3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9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9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9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9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9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9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9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9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9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9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9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9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3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9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9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5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3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3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3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3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9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9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9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9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3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9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9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9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9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9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9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9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9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9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9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9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9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9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9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9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9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9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9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9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9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9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9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9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3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9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9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9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9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9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9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YEAR(S:S)</f>
        <v>2014</v>
      </c>
    </row>
    <row r="1348" spans="1:21" ht="49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9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9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9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9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3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9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3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9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9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9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9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9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9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3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9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3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9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9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9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9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9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9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3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9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2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3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9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9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3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9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3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3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9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9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9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9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9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3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9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9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3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9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9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9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2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9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2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9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9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9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9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9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9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9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9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9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3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2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9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9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9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YEAR(S:S)</f>
        <v>2014</v>
      </c>
    </row>
    <row r="1412" spans="1:21" ht="49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9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3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9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9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9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9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9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5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9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9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9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9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9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9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9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9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9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3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9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9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9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9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9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3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9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9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9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9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9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9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9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9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3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9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9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3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9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9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9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3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3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9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9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9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2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3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9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9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9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3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3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9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9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9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3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9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3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9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9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9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YEAR(S:S)</f>
        <v>2012</v>
      </c>
    </row>
    <row r="1476" spans="1:21" ht="49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9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3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9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9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9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9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9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9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9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9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9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9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9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9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9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3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9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3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9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3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9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9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9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9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9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3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9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9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3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9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9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9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9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9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9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9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9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9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9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9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9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9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3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9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3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9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9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9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9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9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9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3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3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3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9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9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9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3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9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9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9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9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YEAR(S:S)</f>
        <v>2016</v>
      </c>
    </row>
    <row r="1540" spans="1:21" ht="49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9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9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9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9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9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9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9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9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9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3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9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9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9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9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9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9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9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9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9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3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3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9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9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9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9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9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9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9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9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9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3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9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9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9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9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9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3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9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5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3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9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9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3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9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9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9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3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9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3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9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9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3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3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3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9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3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9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9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9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9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9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YEAR(S:S)</f>
        <v>2011</v>
      </c>
    </row>
    <row r="1604" spans="1:21" ht="49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3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9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9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9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9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3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9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3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3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9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9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9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9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3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3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9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3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9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9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9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3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9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9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9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3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3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9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9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9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9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3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9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9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9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3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9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9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3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9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3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9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9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9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9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9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9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3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9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9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9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9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3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5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9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9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9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9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9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3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9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9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YEAR(S:S)</f>
        <v>2011</v>
      </c>
    </row>
    <row r="1668" spans="1:21" ht="49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9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9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9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5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3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3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9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9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3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3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9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3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5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3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9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3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9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3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9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9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9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5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2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9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9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9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9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9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9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9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9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9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9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9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9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3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9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9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9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9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9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3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9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9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9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9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9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9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9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9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9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9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9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9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9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9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3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9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9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9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YEAR(S:S)</f>
        <v>2016</v>
      </c>
    </row>
    <row r="1732" spans="1:21" ht="49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3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9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9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9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9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3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9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3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9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9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3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9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9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9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9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9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9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3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3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9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3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3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9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9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9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9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3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9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3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9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3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2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9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9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9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3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3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9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9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9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9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3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9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9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9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9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9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9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9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9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9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9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9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9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9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9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9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9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9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9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3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3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9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YEAR(S:S)</f>
        <v>2014</v>
      </c>
    </row>
    <row r="1796" spans="1:21" ht="49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9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9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9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9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3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9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9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3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9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9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9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9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3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9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9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9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3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9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9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9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9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9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3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3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9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9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9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3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9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9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9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9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9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9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9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9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9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3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2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9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9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9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9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3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9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9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9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7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9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9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9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3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9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9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9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9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9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9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9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9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YEAR(S:S)</f>
        <v>2014</v>
      </c>
    </row>
    <row r="1860" spans="1:21" ht="49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3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9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9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9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9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9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9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9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9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9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9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9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9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9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9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9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3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9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3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9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9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3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9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9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9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9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9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9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9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9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9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9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5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3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9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9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9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9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9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9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9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9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9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9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9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9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9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9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9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9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9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9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9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3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9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9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3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3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9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9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9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3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YEAR(S:S)</f>
        <v>2012</v>
      </c>
    </row>
    <row r="1924" spans="1:21" ht="49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9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9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3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5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3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9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3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3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9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9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9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9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9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9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9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9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9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9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9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9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9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9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9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9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3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9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9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9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9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9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3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9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9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3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9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9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9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9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9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9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9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9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9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9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3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9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9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9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9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9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9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3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3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9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9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3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3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9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9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9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5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9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YEAR(S:S)</f>
        <v>2016</v>
      </c>
    </row>
    <row r="1988" spans="1:21" ht="49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3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9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9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3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3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9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9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9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9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9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9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9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9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3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9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5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9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9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9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9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9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9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3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9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9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9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9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9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3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9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9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9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9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9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9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9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9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9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3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9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3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3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9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3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9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9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9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9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9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9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9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3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3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9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9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9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9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9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9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9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9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YEAR(S:S)</f>
        <v>2013</v>
      </c>
    </row>
    <row r="2052" spans="1:21" ht="49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9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9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9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9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9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9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9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3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9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9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9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9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3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9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9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9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9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9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9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9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9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9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9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3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9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3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9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9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9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9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9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9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9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9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9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9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9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9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3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9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9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9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9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9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9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9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9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9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9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9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9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3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9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3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9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9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9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3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3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9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9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3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YEAR(S:S)</f>
        <v>2014</v>
      </c>
    </row>
    <row r="2116" spans="1:21" ht="49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9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9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9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3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9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9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3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3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5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9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9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9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9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9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3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9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9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9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9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9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9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9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3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9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9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9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9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9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3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9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9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9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9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9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9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9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3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9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3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3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9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9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3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9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9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3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9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9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3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3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9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9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9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9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9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9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9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9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YEAR(S:S)</f>
        <v>2016</v>
      </c>
    </row>
    <row r="2180" spans="1:21" ht="49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3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3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9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3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9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9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9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3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9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9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9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9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9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9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9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9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3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3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9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9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3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9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9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3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9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9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9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9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9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9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3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9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9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9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9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9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3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9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9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9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9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9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9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9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9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9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9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9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9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9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9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9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9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9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9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9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3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3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9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3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3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9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9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YEAR(S:S)</f>
        <v>2017</v>
      </c>
    </row>
    <row r="2244" spans="1:21" ht="33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9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9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9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9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3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9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9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9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9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9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9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3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3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9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9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3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9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9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9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3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9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9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9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9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9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9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9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9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9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9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9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9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9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9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9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3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9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9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9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3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9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3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9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9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9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9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9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9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9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9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3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9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9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9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3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9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9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9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3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9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9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9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9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YEAR(S:S)</f>
        <v>2014</v>
      </c>
    </row>
    <row r="2308" spans="1:21" ht="49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9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9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9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9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9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9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3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9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3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9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9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5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9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9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9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9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9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3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9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9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3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5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9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9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9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9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9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9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9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9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3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9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9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9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9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9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9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9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9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9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9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9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9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3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3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9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9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9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9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3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3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9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9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9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9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3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9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3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9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9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9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9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9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YEAR(S:S)</f>
        <v>2016</v>
      </c>
    </row>
    <row r="2372" spans="1:21" ht="49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9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9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3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9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9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9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9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3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3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9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9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5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9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9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9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9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9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9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9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9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3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9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9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9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9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9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9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9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9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9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9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2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9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9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3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9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5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3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3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5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9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9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9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9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9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9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9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9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9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3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3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9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3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9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9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3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3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9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9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3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9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9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YEAR(S:S)</f>
        <v>2016</v>
      </c>
    </row>
    <row r="2436" spans="1:21" ht="49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9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9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9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9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9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3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3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3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9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9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5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9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9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9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9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9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9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9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9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9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9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9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9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9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9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9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9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9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2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9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3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9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9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3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9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9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9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9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9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9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3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9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3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9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3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9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9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9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3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9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9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9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9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9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9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9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9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3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9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9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9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3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9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YEAR(S:S)</f>
        <v>2011</v>
      </c>
    </row>
    <row r="2500" spans="1:21" ht="49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9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9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9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9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9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3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5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9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9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9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9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9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9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9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9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9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9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9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9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3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9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9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9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9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3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9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9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9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9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3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9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9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9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9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9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9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3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9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9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9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9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9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9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9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9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9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9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9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9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9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9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9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9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9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9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3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3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9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9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9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YEAR(S:S)</f>
        <v>2015</v>
      </c>
    </row>
    <row r="2564" spans="1:21" ht="49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3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9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9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9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9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9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9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9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9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9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9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9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9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3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9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9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9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9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9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3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3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3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9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3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9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9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9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9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9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9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9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9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3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9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9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3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3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3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9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9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3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9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9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9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9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9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3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9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9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9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9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9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9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9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3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9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9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9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9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9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9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9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YEAR(S:S)</f>
        <v>2016</v>
      </c>
    </row>
    <row r="2628" spans="1:21" ht="49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9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3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3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9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9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9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9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9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9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9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3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9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9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3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5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9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9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9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9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9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9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9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9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9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9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9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3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9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9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9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9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9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9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9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9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9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9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3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9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9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9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9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9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5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9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9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9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9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9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9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9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9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9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9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9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9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3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9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YEAR(S:S)</f>
        <v>2016</v>
      </c>
    </row>
    <row r="2692" spans="1:21" ht="49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3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9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9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9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3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9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9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9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9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9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9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9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3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9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3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9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9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9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9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3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9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9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9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3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9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9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9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9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9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9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9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9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9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3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9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3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3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3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9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9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9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9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9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9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9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9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3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3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9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5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9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9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9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9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3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3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9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9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9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9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YEAR(S:S)</f>
        <v>2012</v>
      </c>
    </row>
    <row r="2756" spans="1:21" ht="49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3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9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3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9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9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9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3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9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3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9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9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9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9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9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9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9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9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9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9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9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9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9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9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5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9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3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3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3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9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9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9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3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9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3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3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9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9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9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5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9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9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9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9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9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9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9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9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9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9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9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5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9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2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9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9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9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9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9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9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9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9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9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9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YEAR(S:S)</f>
        <v>2015</v>
      </c>
    </row>
    <row r="2820" spans="1:21" ht="49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9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9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9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9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9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3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9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9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9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9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9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3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3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9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9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9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9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5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9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9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9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9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9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9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9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9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9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9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9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9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9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9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9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9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9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9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9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5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9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3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9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9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9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9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9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9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9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9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9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9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9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3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9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9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9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9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9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9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9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9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9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YEAR(S:S)</f>
        <v>2014</v>
      </c>
    </row>
    <row r="2884" spans="1:21" ht="49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9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3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3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9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9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9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9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9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9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9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2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3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9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9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9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9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9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9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9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3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9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9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9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9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9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5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9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9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9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9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9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3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9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3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9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9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9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9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3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9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9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9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9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9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9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3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9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9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9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9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9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9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9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9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3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9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9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9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9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9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9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3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9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YEAR(S:S)</f>
        <v>2015</v>
      </c>
    </row>
    <row r="2948" spans="1:21" ht="49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9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9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9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9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5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9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9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9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3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9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9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9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9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9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9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9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5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9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9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9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9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3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9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9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9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3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9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9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9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9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5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9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9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9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9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3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9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9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9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9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9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9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9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9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9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9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9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3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9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9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9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9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9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3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9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9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9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3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3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9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9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YEAR(S:S)</f>
        <v>2014</v>
      </c>
    </row>
    <row r="3012" spans="1:21" ht="49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9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9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9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9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9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9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9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9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9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9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9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9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9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9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9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9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3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3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9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9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9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9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3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9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5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9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9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9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3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9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9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9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9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9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9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9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9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3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9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3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9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9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9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9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9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9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9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3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9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3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3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9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9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9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9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9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9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9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9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9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YEAR(S:S)</f>
        <v>2015</v>
      </c>
    </row>
    <row r="3076" spans="1:21" ht="6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9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3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9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9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9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9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9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9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9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9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9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9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3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3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9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9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9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9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3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9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9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9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9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9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9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9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9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3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9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9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9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9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2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9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9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3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9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9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9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9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9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9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3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9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9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3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9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3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9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9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9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3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3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3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9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9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9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9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3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YEAR(S:S)</f>
        <v>2017</v>
      </c>
    </row>
    <row r="3140" spans="1:21" ht="65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9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9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5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9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5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5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3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3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9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3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9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5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3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9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9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9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9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9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3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3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3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9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9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9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9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9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9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9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3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9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3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3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9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9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9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9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9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9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9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9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3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9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9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5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9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9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9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9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9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9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9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9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9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9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9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9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9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9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3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9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9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9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9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YEAR(S:S)</f>
        <v>2014</v>
      </c>
    </row>
    <row r="3204" spans="1:21" ht="49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3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9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9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9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9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9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9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9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9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3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9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9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5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9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3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9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3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3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9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3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3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9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9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9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9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2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9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9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9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9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9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9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9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9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3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9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9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9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5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3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9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9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9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9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9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3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9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9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9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3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9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9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9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9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9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3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9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9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9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3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3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3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9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YEAR(S:S)</f>
        <v>2015</v>
      </c>
    </row>
    <row r="3268" spans="1:21" ht="49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9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9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9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9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2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9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9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9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9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9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9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9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9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9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3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9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9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9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9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3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9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9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9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9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9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9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9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9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9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9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9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9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9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9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9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9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9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9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9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3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3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9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9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9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9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9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9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3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9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9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9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9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9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3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9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9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9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9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9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YEAR(S:S)</f>
        <v>2014</v>
      </c>
    </row>
    <row r="3332" spans="1:21" ht="49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9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9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9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3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9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9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9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3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3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9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9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3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9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9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9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9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9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9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9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9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9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9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9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3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9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9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9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9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3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3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9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9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9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9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9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9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9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9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9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3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3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9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9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9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9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9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9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9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9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9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9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9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9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9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9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9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9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9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9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9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9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9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9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YEAR(S:S)</f>
        <v>2014</v>
      </c>
    </row>
    <row r="3396" spans="1:21" ht="49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3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9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3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9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9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9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9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9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9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9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9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3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5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9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9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9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9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9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9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9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3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9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9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9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5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9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9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9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9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9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9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9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9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9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9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9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9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9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9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9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9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9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9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9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3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9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9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9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9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9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9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9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3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9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9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9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9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9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9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9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9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9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3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YEAR(S:S)</f>
        <v>2015</v>
      </c>
    </row>
    <row r="3460" spans="1:21" ht="49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9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9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9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9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9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9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9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3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9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9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3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9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9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9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9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9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9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9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9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9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9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9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9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9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9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9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9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9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9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9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9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9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9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9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9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9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9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9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9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9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9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9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9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9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9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7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9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3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9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9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9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9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9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9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9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9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9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9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9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9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3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9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YEAR(S:S)</f>
        <v>2014</v>
      </c>
    </row>
    <row r="3524" spans="1:21" ht="49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9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9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9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9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9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9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9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9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9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9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3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9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9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9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9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9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9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9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9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9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3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9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9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9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9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9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9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9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9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9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9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9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9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9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9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9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9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3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9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9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3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9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9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9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9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9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9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9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3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3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9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9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9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9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9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9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9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9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9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9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7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9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YEAR(S:S)</f>
        <v>2014</v>
      </c>
    </row>
    <row r="3588" spans="1:21" ht="2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9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9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9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9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9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9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9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9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3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9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3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9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9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3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9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9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9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9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9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9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3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9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9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9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9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9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3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9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9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9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9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9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9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9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9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3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3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9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9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9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9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9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9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9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9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9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9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3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9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5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3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9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9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5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9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9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9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9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9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3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9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YEAR(S:S)</f>
        <v>2014</v>
      </c>
    </row>
    <row r="3652" spans="1:21" ht="49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3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9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9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9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9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9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9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3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9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9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9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9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9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9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9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2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9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9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9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9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9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9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9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9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9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9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3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3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9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3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5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9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9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9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9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9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9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9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9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9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3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3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9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9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5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9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9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3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9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3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9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9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9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9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9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9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3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9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9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3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3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9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9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YEAR(S:S)</f>
        <v>2016</v>
      </c>
    </row>
    <row r="3716" spans="1:21" ht="49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9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9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9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9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3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3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9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5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3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9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9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9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9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3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9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9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9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3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9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9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3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9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3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3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9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9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9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9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3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9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9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2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3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9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9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7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9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5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9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9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9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9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9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3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3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9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9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9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3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9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9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3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9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9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9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9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3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9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3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9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9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5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9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YEAR(S:S)</f>
        <v>2014</v>
      </c>
    </row>
    <row r="3780" spans="1:21" ht="33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3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9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9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9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9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9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9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9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9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9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9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3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3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9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9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9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9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9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9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3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9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9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9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3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9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9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9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9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9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9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9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9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9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9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9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3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5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9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9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3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9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9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9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9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9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9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3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5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9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9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9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9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9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9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9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9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9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3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9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9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9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9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YEAR(S:S)</f>
        <v>2014</v>
      </c>
    </row>
    <row r="3844" spans="1:21" ht="49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9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9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5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9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9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9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9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3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9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9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3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3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9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9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9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9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9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9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3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9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9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9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3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9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2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3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9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3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9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9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9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9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9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9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9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9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9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3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9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9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9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9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9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9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9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9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3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9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9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9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9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9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9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5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9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3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9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9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9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2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9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YEAR(S:S)</f>
        <v>2015</v>
      </c>
    </row>
    <row r="3908" spans="1:21" ht="49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3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9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9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9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9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9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9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9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9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9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9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9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9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9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9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9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9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9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9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3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9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9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9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9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9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9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9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9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5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9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9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9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9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9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9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9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9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9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9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3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9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9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9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9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9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9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9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9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9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9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9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9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9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9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9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9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9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9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9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9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9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9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9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YEAR(S:S)</f>
        <v>2016</v>
      </c>
    </row>
    <row r="3972" spans="1:21" ht="65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9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3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9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9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9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9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9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9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9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9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3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5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9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9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9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9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9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3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9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9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3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9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9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3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9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9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9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9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9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2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9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9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9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9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9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9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9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9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9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9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9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9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9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9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9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9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3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9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9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9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3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9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9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9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9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9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9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9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9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9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9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9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YEAR(S:S)</f>
        <v>2016</v>
      </c>
    </row>
    <row r="4036" spans="1:21" ht="49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3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9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9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9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3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9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3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9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9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9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9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9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9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9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9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9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9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5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9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9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9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9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9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9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9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9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3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9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9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9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3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9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9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3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9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3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9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9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9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9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9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9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9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9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9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9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9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9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9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9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9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9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9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9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9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9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9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9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9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3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9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9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YEAR(S:S)</f>
        <v>2015</v>
      </c>
    </row>
    <row r="4100" spans="1:21" ht="49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9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3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9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9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9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9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9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9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9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9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9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9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9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9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9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T4115" xr:uid="{1C34528C-A8B3-D44B-AFC1-A30C66B5EF49}"/>
  <sortState xmlns:xlrd2="http://schemas.microsoft.com/office/spreadsheetml/2017/richdata2" ref="A2:P4116">
    <sortCondition descending="1" ref="E1"/>
  </sortState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552B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F8338-C80B-1345-85DD-861D6AAFD76A}">
  <dimension ref="A1:T413"/>
  <sheetViews>
    <sheetView workbookViewId="0">
      <selection activeCell="B10" sqref="B10"/>
    </sheetView>
  </sheetViews>
  <sheetFormatPr baseColWidth="10" defaultRowHeight="15" x14ac:dyDescent="0.2"/>
  <cols>
    <col min="2" max="2" width="33.33203125" style="3" customWidth="1"/>
    <col min="3" max="3" width="39.83203125" style="3" customWidth="1"/>
  </cols>
  <sheetData>
    <row r="1" spans="1:20" ht="16" x14ac:dyDescent="0.2">
      <c r="A1" s="18" t="s">
        <v>0</v>
      </c>
      <c r="B1" s="20" t="s">
        <v>1</v>
      </c>
      <c r="C1" s="20" t="s">
        <v>4110</v>
      </c>
      <c r="D1" s="21" t="s">
        <v>8216</v>
      </c>
      <c r="E1" s="28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29" t="s">
        <v>8358</v>
      </c>
      <c r="R1" s="18" t="s">
        <v>8359</v>
      </c>
      <c r="S1" s="30" t="s">
        <v>8365</v>
      </c>
      <c r="T1" s="30" t="s">
        <v>8366</v>
      </c>
    </row>
    <row r="2" spans="1:20" ht="48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6">
        <v>42646.092812499999</v>
      </c>
      <c r="T2" s="16">
        <v>42675.207638888889</v>
      </c>
    </row>
    <row r="3" spans="1:20" ht="48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6">
        <v>42430.040798611109</v>
      </c>
      <c r="T3" s="16">
        <v>42449.999131944445</v>
      </c>
    </row>
    <row r="4" spans="1:20" ht="48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6">
        <v>42238.13282407407</v>
      </c>
      <c r="T4" s="16">
        <v>42268.13282407407</v>
      </c>
    </row>
    <row r="5" spans="1:20" ht="48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6">
        <v>41850.400937500002</v>
      </c>
      <c r="T5" s="16">
        <v>41895.400937500002</v>
      </c>
    </row>
    <row r="6" spans="1:20" ht="4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6">
        <v>42753.205625000002</v>
      </c>
      <c r="T6" s="16">
        <v>42783.670138888891</v>
      </c>
    </row>
    <row r="7" spans="1:20" ht="16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6">
        <v>42155.920219907406</v>
      </c>
      <c r="T7" s="16">
        <v>42176.888888888891</v>
      </c>
    </row>
    <row r="8" spans="1:20" ht="48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6">
        <v>42157.591064814813</v>
      </c>
      <c r="T8" s="16">
        <v>42179.083333333328</v>
      </c>
    </row>
    <row r="9" spans="1:20" ht="48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6">
        <v>42676.065150462964</v>
      </c>
      <c r="T9" s="16">
        <v>42721.290972222225</v>
      </c>
    </row>
    <row r="10" spans="1:20" ht="4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6">
        <v>42473.007037037038</v>
      </c>
      <c r="T10" s="16">
        <v>42503.007037037038</v>
      </c>
    </row>
    <row r="11" spans="1:20" ht="48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6">
        <v>42282.768414351856</v>
      </c>
      <c r="T11" s="16">
        <v>42312.810081018513</v>
      </c>
    </row>
    <row r="12" spans="1:20" ht="48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8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6">
        <v>42712.23474537037</v>
      </c>
      <c r="T13" s="16">
        <v>42735.707638888889</v>
      </c>
    </row>
    <row r="14" spans="1:20" ht="4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8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6">
        <v>42709.134780092587</v>
      </c>
      <c r="T15" s="16">
        <v>42739.134780092587</v>
      </c>
    </row>
    <row r="16" spans="1:20" ht="32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6">
        <v>42086.614942129629</v>
      </c>
      <c r="T16" s="16">
        <v>42117.290972222225</v>
      </c>
    </row>
    <row r="17" spans="1:20" ht="4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6">
        <v>42064.652673611112</v>
      </c>
      <c r="T17" s="16">
        <v>42101.291666666672</v>
      </c>
    </row>
    <row r="18" spans="1:20" ht="4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6">
        <v>42292.701053240744</v>
      </c>
      <c r="T18" s="16">
        <v>42322.742719907401</v>
      </c>
    </row>
    <row r="19" spans="1:20" ht="48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8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6">
        <v>42169.814340277779</v>
      </c>
      <c r="T20" s="16">
        <v>42199.814340277779</v>
      </c>
    </row>
    <row r="21" spans="1:20" ht="48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6">
        <v>42483.675208333334</v>
      </c>
      <c r="T21" s="16">
        <v>42522.789583333331</v>
      </c>
    </row>
    <row r="22" spans="1:20" ht="48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6">
        <v>42195.749745370369</v>
      </c>
      <c r="T22" s="16">
        <v>42206.125</v>
      </c>
    </row>
    <row r="23" spans="1:20" ht="48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6">
        <v>42675.057997685188</v>
      </c>
      <c r="T23" s="16">
        <v>42705.099664351852</v>
      </c>
    </row>
    <row r="24" spans="1:20" ht="32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6">
        <v>42018.94159722222</v>
      </c>
      <c r="T24" s="16">
        <v>42047.291666666672</v>
      </c>
    </row>
    <row r="25" spans="1:20" ht="32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8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8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6">
        <v>42558.189432870371</v>
      </c>
      <c r="T27" s="16">
        <v>42587.875</v>
      </c>
    </row>
    <row r="28" spans="1:20" ht="48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6">
        <v>41808.198518518519</v>
      </c>
      <c r="T28" s="16">
        <v>41838.198518518519</v>
      </c>
    </row>
    <row r="29" spans="1:20" ht="32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6">
        <v>42550.701886574068</v>
      </c>
      <c r="T29" s="16">
        <v>42580.701886574068</v>
      </c>
    </row>
    <row r="30" spans="1:20" ht="32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6">
        <v>42056.013124999998</v>
      </c>
      <c r="T30" s="16">
        <v>42075.166666666672</v>
      </c>
    </row>
    <row r="31" spans="1:20" ht="48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6">
        <v>42016.938692129625</v>
      </c>
      <c r="T31" s="16">
        <v>42046.938692129625</v>
      </c>
    </row>
    <row r="32" spans="1:20" ht="4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8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8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6">
        <v>41780.525937500002</v>
      </c>
      <c r="T34" s="16">
        <v>41796.958333333336</v>
      </c>
    </row>
    <row r="35" spans="1:20" ht="4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6">
        <v>42158.065694444449</v>
      </c>
      <c r="T35" s="16">
        <v>42201</v>
      </c>
    </row>
    <row r="36" spans="1:20" ht="16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6">
        <v>42154.873124999998</v>
      </c>
      <c r="T36" s="16">
        <v>42184.873124999998</v>
      </c>
    </row>
    <row r="37" spans="1:20" ht="4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6">
        <v>42208.84646990741</v>
      </c>
      <c r="T37" s="16">
        <v>42238.84646990741</v>
      </c>
    </row>
    <row r="38" spans="1:20" ht="48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6">
        <v>41759.13962962963</v>
      </c>
      <c r="T39" s="16">
        <v>41791.165972222225</v>
      </c>
    </row>
    <row r="40" spans="1:20" ht="48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8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6">
        <v>42250.598217592589</v>
      </c>
      <c r="T41" s="16">
        <v>42270.598217592589</v>
      </c>
    </row>
    <row r="42" spans="1:20" ht="48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6">
        <v>42060.683935185181</v>
      </c>
      <c r="T42" s="16">
        <v>42090.642268518524</v>
      </c>
    </row>
    <row r="43" spans="1:20" ht="32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6">
        <v>42136.270787037036</v>
      </c>
      <c r="T43" s="16">
        <v>42168.071527777778</v>
      </c>
    </row>
    <row r="44" spans="1:20" ht="48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6">
        <v>42171.034861111111</v>
      </c>
      <c r="T44" s="16">
        <v>42195.291666666672</v>
      </c>
    </row>
    <row r="45" spans="1:20" ht="48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6">
        <v>42494.683634259258</v>
      </c>
      <c r="T45" s="16">
        <v>42524.6875</v>
      </c>
    </row>
    <row r="46" spans="1:20" ht="32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6">
        <v>41758.839675925927</v>
      </c>
      <c r="T46" s="16">
        <v>41771.165972222225</v>
      </c>
    </row>
    <row r="47" spans="1:20" ht="32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6">
        <v>42171.824884259258</v>
      </c>
      <c r="T47" s="16">
        <v>42201.824884259258</v>
      </c>
    </row>
    <row r="48" spans="1:20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6">
        <v>42268.127696759257</v>
      </c>
      <c r="T48" s="16">
        <v>42288.083333333328</v>
      </c>
    </row>
    <row r="49" spans="1:20" ht="48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8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6">
        <v>41842.607592592591</v>
      </c>
      <c r="T50" s="16">
        <v>41864.916666666664</v>
      </c>
    </row>
    <row r="51" spans="1:20" ht="4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6">
        <v>41853.240208333329</v>
      </c>
      <c r="T51" s="16">
        <v>41876.207638888889</v>
      </c>
    </row>
    <row r="52" spans="1:20" ht="4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6">
        <v>42061.212488425925</v>
      </c>
      <c r="T52" s="16">
        <v>42089.166666666672</v>
      </c>
    </row>
    <row r="53" spans="1:20" ht="4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6">
        <v>42036.24428240741</v>
      </c>
      <c r="T53" s="16">
        <v>42064.290972222225</v>
      </c>
    </row>
    <row r="54" spans="1:20" ht="64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6">
        <v>42157.470185185186</v>
      </c>
      <c r="T54" s="16">
        <v>42187.470185185186</v>
      </c>
    </row>
    <row r="55" spans="1:20" ht="48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6">
        <v>41827.909942129627</v>
      </c>
      <c r="T55" s="16">
        <v>41857.897222222222</v>
      </c>
    </row>
    <row r="56" spans="1:20" ht="4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6">
        <v>42162.729548611111</v>
      </c>
      <c r="T56" s="16">
        <v>42192.729548611111</v>
      </c>
    </row>
    <row r="57" spans="1:20" ht="4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8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6">
        <v>42042.197824074072</v>
      </c>
      <c r="T58" s="16">
        <v>42072.156157407408</v>
      </c>
    </row>
    <row r="59" spans="1:20" ht="32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8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6">
        <v>41808.669571759259</v>
      </c>
      <c r="T60" s="16">
        <v>41838.669571759259</v>
      </c>
    </row>
    <row r="61" spans="1:20" ht="4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6">
        <v>41852.658310185187</v>
      </c>
      <c r="T61" s="16">
        <v>41882.658310185187</v>
      </c>
    </row>
    <row r="62" spans="1:20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6">
        <v>42694.110185185185</v>
      </c>
      <c r="T62" s="16">
        <v>42709.041666666672</v>
      </c>
    </row>
    <row r="63" spans="1:20" ht="48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6">
        <v>42341.818379629629</v>
      </c>
      <c r="T63" s="16">
        <v>42370.166666666672</v>
      </c>
    </row>
    <row r="64" spans="1:20" ht="4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6">
        <v>41880.061006944445</v>
      </c>
      <c r="T64" s="16">
        <v>41908.065972222219</v>
      </c>
    </row>
    <row r="65" spans="1:20" ht="48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6">
        <v>41941.683865740742</v>
      </c>
      <c r="T65" s="16">
        <v>41970.125</v>
      </c>
    </row>
    <row r="66" spans="1:20" ht="64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6">
        <v>42026.88118055556</v>
      </c>
      <c r="T66" s="16">
        <v>42086.093055555553</v>
      </c>
    </row>
    <row r="67" spans="1:20" ht="4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6">
        <v>41922.640590277777</v>
      </c>
      <c r="T67" s="16">
        <v>41932.249305555553</v>
      </c>
    </row>
    <row r="68" spans="1:20" ht="4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6">
        <v>41993.824340277773</v>
      </c>
      <c r="T68" s="16">
        <v>42010.25</v>
      </c>
    </row>
    <row r="69" spans="1:20" ht="48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6">
        <v>42219.915856481486</v>
      </c>
      <c r="T69" s="16">
        <v>42240.083333333328</v>
      </c>
    </row>
    <row r="70" spans="1:20" ht="4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6">
        <v>41909.969386574077</v>
      </c>
      <c r="T70" s="16">
        <v>41950.011053240742</v>
      </c>
    </row>
    <row r="71" spans="1:20" ht="32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6">
        <v>41891.665324074071</v>
      </c>
      <c r="T71" s="16">
        <v>41913.166666666664</v>
      </c>
    </row>
    <row r="72" spans="1:20" ht="4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6">
        <v>41226.017361111109</v>
      </c>
      <c r="T72" s="16">
        <v>41250.083333333336</v>
      </c>
    </row>
    <row r="73" spans="1:20" ht="64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8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6">
        <v>41862.83997685185</v>
      </c>
      <c r="T74" s="16">
        <v>41892.83997685185</v>
      </c>
    </row>
    <row r="75" spans="1:20" ht="48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6">
        <v>40633.154363425929</v>
      </c>
      <c r="T75" s="16">
        <v>40664.207638888889</v>
      </c>
    </row>
    <row r="76" spans="1:20" ht="4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6">
        <v>40970.875671296293</v>
      </c>
      <c r="T76" s="16">
        <v>41000.834004629629</v>
      </c>
    </row>
    <row r="77" spans="1:20" ht="48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6">
        <v>41026.953055555554</v>
      </c>
      <c r="T77" s="16">
        <v>41061.953055555554</v>
      </c>
    </row>
    <row r="78" spans="1:20" ht="32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6">
        <v>41829.788252314815</v>
      </c>
      <c r="T78" s="16">
        <v>41839.208333333336</v>
      </c>
    </row>
    <row r="79" spans="1:20" ht="32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6">
        <v>41447.839722222219</v>
      </c>
      <c r="T79" s="16">
        <v>41477.839722222219</v>
      </c>
    </row>
    <row r="80" spans="1:20" ht="32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6">
        <v>41841.26489583333</v>
      </c>
      <c r="T81" s="16">
        <v>41864.207638888889</v>
      </c>
    </row>
    <row r="82" spans="1:20" ht="48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8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6">
        <v>41775.753761574073</v>
      </c>
      <c r="T83" s="16">
        <v>41805.753761574073</v>
      </c>
    </row>
    <row r="84" spans="1:20" ht="48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6">
        <v>41766.80572916667</v>
      </c>
      <c r="T84" s="16">
        <v>41799.80572916667</v>
      </c>
    </row>
    <row r="85" spans="1:20" ht="48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6">
        <v>40644.159259259257</v>
      </c>
      <c r="T85" s="16">
        <v>40666.165972222225</v>
      </c>
    </row>
    <row r="86" spans="1:20" ht="4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6">
        <v>41940.69158564815</v>
      </c>
      <c r="T86" s="16">
        <v>41969.332638888889</v>
      </c>
    </row>
    <row r="87" spans="1:20" ht="32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8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6">
        <v>41772.105937500004</v>
      </c>
      <c r="T88" s="16">
        <v>41803.916666666664</v>
      </c>
    </row>
    <row r="89" spans="1:20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6">
        <v>41591.737974537034</v>
      </c>
      <c r="T89" s="16">
        <v>41621.207638888889</v>
      </c>
    </row>
    <row r="90" spans="1:20" ht="32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6">
        <v>40923.729953703703</v>
      </c>
      <c r="T91" s="16">
        <v>40953.729953703703</v>
      </c>
    </row>
    <row r="92" spans="1:20" ht="48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6">
        <v>41878.878379629627</v>
      </c>
      <c r="T92" s="16">
        <v>41908.878379629627</v>
      </c>
    </row>
    <row r="93" spans="1:20" ht="4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6">
        <v>41862.864675925928</v>
      </c>
      <c r="T93" s="16">
        <v>41876.864675925928</v>
      </c>
    </row>
    <row r="94" spans="1:20" ht="48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6">
        <v>40531.886886574073</v>
      </c>
      <c r="T94" s="16">
        <v>40591.886886574073</v>
      </c>
    </row>
    <row r="95" spans="1:20" ht="4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6">
        <v>41477.930914351848</v>
      </c>
      <c r="T95" s="16">
        <v>41504.625</v>
      </c>
    </row>
    <row r="96" spans="1:20" ht="4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6">
        <v>41781.666770833333</v>
      </c>
      <c r="T96" s="16">
        <v>41811.666770833333</v>
      </c>
    </row>
    <row r="97" spans="1:20" ht="32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6">
        <v>41375.702210648145</v>
      </c>
      <c r="T97" s="16">
        <v>41400.702210648145</v>
      </c>
    </row>
    <row r="98" spans="1:20" ht="64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8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6">
        <v>41491.79478009259</v>
      </c>
      <c r="T99" s="16">
        <v>41509.79478009259</v>
      </c>
    </row>
    <row r="100" spans="1:20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4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8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48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48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32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32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6">
        <v>42772.833379629628</v>
      </c>
      <c r="T110" s="16">
        <v>42806.875</v>
      </c>
    </row>
    <row r="111" spans="1:20" ht="32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32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4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8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6">
        <v>42503.559467592597</v>
      </c>
      <c r="T114" s="16">
        <v>42524.875</v>
      </c>
    </row>
    <row r="115" spans="1:20" ht="32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8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4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8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8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4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48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3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6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3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6">
        <v>42262.096782407403</v>
      </c>
      <c r="T126" s="16">
        <v>42286</v>
      </c>
    </row>
    <row r="127" spans="1:20" ht="48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8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3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48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4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48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6">
        <v>42602.576712962968</v>
      </c>
      <c r="T133" s="16">
        <v>42621.15625</v>
      </c>
    </row>
    <row r="134" spans="1:20" ht="48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32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48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8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32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32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6">
        <v>42284.516064814816</v>
      </c>
      <c r="T140" s="16">
        <v>42307.875</v>
      </c>
    </row>
    <row r="141" spans="1:20" ht="32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8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6">
        <v>42136.536134259266</v>
      </c>
      <c r="T142" s="16">
        <v>42167.875</v>
      </c>
    </row>
    <row r="143" spans="1:20" ht="4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8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4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8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6">
        <v>42400.704537037032</v>
      </c>
      <c r="T147" s="16">
        <v>42444.875</v>
      </c>
    </row>
    <row r="148" spans="1:20" ht="4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6">
        <v>42017.88045138889</v>
      </c>
      <c r="T148" s="16">
        <v>42044.1875</v>
      </c>
    </row>
    <row r="149" spans="1:20" ht="48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48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32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48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8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4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48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48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6">
        <v>42239.957962962959</v>
      </c>
      <c r="T157" s="16">
        <v>42260</v>
      </c>
    </row>
    <row r="158" spans="1:20" ht="48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8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4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48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8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48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48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6">
        <v>42493.219236111108</v>
      </c>
      <c r="T164" s="16">
        <v>42531.125</v>
      </c>
    </row>
    <row r="165" spans="1:20" ht="48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8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32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8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48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8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8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8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48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48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4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8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48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8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4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32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3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32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4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32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48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4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48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48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48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32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8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32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4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48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48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8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3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32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8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48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48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4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48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4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6">
        <v>42292.087592592594</v>
      </c>
      <c r="T207" s="16">
        <v>42329.125</v>
      </c>
    </row>
    <row r="208" spans="1:20" ht="48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6">
        <v>41953.8675</v>
      </c>
      <c r="T208" s="16">
        <v>41983.8675</v>
      </c>
    </row>
    <row r="209" spans="1:20" ht="48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48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8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4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4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8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8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48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48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8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48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32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8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48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4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4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32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8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6">
        <v>41894.91375</v>
      </c>
      <c r="T227" s="16">
        <v>41938.029861111114</v>
      </c>
    </row>
    <row r="228" spans="1:20" ht="48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8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4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48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8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8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8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6">
        <v>41776.063136574077</v>
      </c>
      <c r="T236" s="16">
        <v>41807.125</v>
      </c>
    </row>
    <row r="237" spans="1:20" ht="48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4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6">
        <v>42572.61681712963</v>
      </c>
      <c r="T238" s="16">
        <v>42589.125</v>
      </c>
    </row>
    <row r="239" spans="1:20" ht="4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48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32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4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8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48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48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3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8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8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4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48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48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6">
        <v>42626.7503125</v>
      </c>
      <c r="T251" s="16">
        <v>42656.7503125</v>
      </c>
    </row>
    <row r="252" spans="1:20" ht="48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4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48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6">
        <v>42643.632858796293</v>
      </c>
      <c r="T255" s="16">
        <v>42672.125</v>
      </c>
    </row>
    <row r="256" spans="1:20" ht="48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6">
        <v>42179.898472222223</v>
      </c>
      <c r="T256" s="16">
        <v>42195.75</v>
      </c>
    </row>
    <row r="257" spans="1:20" ht="48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32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8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6">
        <v>42605.765381944439</v>
      </c>
      <c r="T260" s="16">
        <v>42634.125</v>
      </c>
    </row>
    <row r="261" spans="1:20" ht="48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32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48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4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48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6">
        <v>41921.279976851853</v>
      </c>
      <c r="T265" s="16">
        <v>41939.125</v>
      </c>
    </row>
    <row r="266" spans="1:20" ht="4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6">
        <v>42128.736608796295</v>
      </c>
      <c r="T266" s="16">
        <v>42141.125</v>
      </c>
    </row>
    <row r="267" spans="1:20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6">
        <v>42053.916921296302</v>
      </c>
      <c r="T267" s="16">
        <v>42079.875</v>
      </c>
    </row>
    <row r="268" spans="1:20" ht="48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6">
        <v>42171.317442129628</v>
      </c>
      <c r="T268" s="16">
        <v>42195.875</v>
      </c>
    </row>
    <row r="269" spans="1:20" ht="48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48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48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8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4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4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48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8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4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48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6">
        <v>42689.214988425927</v>
      </c>
      <c r="T278" s="16">
        <v>42700.25</v>
      </c>
    </row>
    <row r="279" spans="1:20" ht="48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4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4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48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48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48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4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32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4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48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4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8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8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4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6">
        <v>41856.010069444441</v>
      </c>
      <c r="T293" s="16">
        <v>41890.125</v>
      </c>
    </row>
    <row r="294" spans="1:20" ht="48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48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48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8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8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48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48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6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48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4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32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6">
        <v>42243.6252662037</v>
      </c>
      <c r="T304" s="16">
        <v>42278.6252662037</v>
      </c>
    </row>
    <row r="305" spans="1:20" ht="4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32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48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48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8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8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48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48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6">
        <v>42196.028703703705</v>
      </c>
      <c r="T313" s="16">
        <v>42228</v>
      </c>
    </row>
    <row r="314" spans="1:20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48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48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8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4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4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8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8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8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8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48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8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32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8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48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8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8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48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32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8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6">
        <v>42220.79487268519</v>
      </c>
      <c r="T338" s="16">
        <v>42246</v>
      </c>
    </row>
    <row r="339" spans="1:20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4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8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4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32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8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48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4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48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6">
        <v>42619.935694444444</v>
      </c>
      <c r="T347" s="16">
        <v>42643.875</v>
      </c>
    </row>
    <row r="348" spans="1:20" ht="32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48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32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48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8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4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4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32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4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4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48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8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48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48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64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8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8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48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8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6">
        <v>41753.593275462961</v>
      </c>
      <c r="T370" s="16">
        <v>41778.875</v>
      </c>
    </row>
    <row r="371" spans="1:20" ht="48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4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4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48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32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6">
        <v>41891.96503472222</v>
      </c>
      <c r="T376" s="16">
        <v>41901</v>
      </c>
    </row>
    <row r="377" spans="1:20" ht="48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64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32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48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32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4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48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6">
        <v>41792.542986111112</v>
      </c>
      <c r="T383" s="16">
        <v>41813.75</v>
      </c>
    </row>
    <row r="384" spans="1:20" ht="48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32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48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3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3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48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8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48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8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3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48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8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6">
        <v>42462.140868055561</v>
      </c>
      <c r="T395" s="16">
        <v>42489.875</v>
      </c>
    </row>
    <row r="396" spans="1:20" ht="48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8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4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4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64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48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32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48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48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4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48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8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48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48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8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4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6">
        <v>42155.142638888887</v>
      </c>
      <c r="T413" s="16">
        <v>42215.142638888887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6501D-0B84-3342-B06B-52787D1C7773}">
  <dimension ref="A1:T251"/>
  <sheetViews>
    <sheetView workbookViewId="0">
      <selection activeCell="D3" sqref="D3"/>
    </sheetView>
  </sheetViews>
  <sheetFormatPr baseColWidth="10" defaultRowHeight="15" x14ac:dyDescent="0.2"/>
  <cols>
    <col min="2" max="2" width="36.83203125" style="3" customWidth="1"/>
    <col min="3" max="3" width="44" style="3" customWidth="1"/>
  </cols>
  <sheetData>
    <row r="1" spans="1:20" ht="16" x14ac:dyDescent="0.2">
      <c r="A1" t="s">
        <v>0</v>
      </c>
      <c r="B1" s="3" t="s">
        <v>1</v>
      </c>
      <c r="C1" s="3" t="s">
        <v>4110</v>
      </c>
      <c r="D1" s="6" t="s">
        <v>8216</v>
      </c>
      <c r="E1" s="8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s="10" t="s">
        <v>8358</v>
      </c>
      <c r="R1" t="s">
        <v>8359</v>
      </c>
      <c r="S1" s="16" t="s">
        <v>8365</v>
      </c>
      <c r="T1" s="16" t="s">
        <v>8366</v>
      </c>
    </row>
    <row r="2" spans="1:20" ht="48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6">
        <v>42492.737847222219</v>
      </c>
      <c r="T2" s="16">
        <v>42534.166666666672</v>
      </c>
    </row>
    <row r="3" spans="1:20" ht="3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6">
        <v>42103.016585648147</v>
      </c>
      <c r="T3" s="16">
        <v>42163.016585648147</v>
      </c>
    </row>
    <row r="4" spans="1:20" ht="48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6">
        <v>42108.692060185189</v>
      </c>
      <c r="T4" s="16">
        <v>42153.692060185189</v>
      </c>
    </row>
    <row r="5" spans="1:20" ht="48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6">
        <v>42453.806307870371</v>
      </c>
      <c r="T5" s="16">
        <v>42513.806307870371</v>
      </c>
    </row>
    <row r="6" spans="1:20" ht="48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6">
        <v>42123.648831018523</v>
      </c>
      <c r="T6" s="16">
        <v>42153.648831018523</v>
      </c>
    </row>
    <row r="7" spans="1:20" ht="48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6">
        <v>41858.007071759261</v>
      </c>
      <c r="T7" s="16">
        <v>41888.007071759261</v>
      </c>
    </row>
    <row r="8" spans="1:20" ht="48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6">
        <v>41781.045173611114</v>
      </c>
      <c r="T8" s="16">
        <v>41811.045173611114</v>
      </c>
    </row>
    <row r="9" spans="1:20" ht="48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6">
        <v>42370.007766203707</v>
      </c>
      <c r="T9" s="16">
        <v>42398.981944444444</v>
      </c>
    </row>
    <row r="10" spans="1:20" ht="4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6">
        <v>42165.037581018521</v>
      </c>
      <c r="T10" s="16">
        <v>42224.898611111115</v>
      </c>
    </row>
    <row r="11" spans="1:20" ht="4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8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6">
        <v>41784.789687500001</v>
      </c>
      <c r="T12" s="16">
        <v>41814.789687500001</v>
      </c>
    </row>
    <row r="13" spans="1:20" ht="4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6">
        <v>41831.675034722226</v>
      </c>
      <c r="T13" s="16">
        <v>41891.675034722226</v>
      </c>
    </row>
    <row r="14" spans="1:20" ht="48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8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6">
        <v>42627.955104166671</v>
      </c>
      <c r="T15" s="16">
        <v>42657.916666666672</v>
      </c>
    </row>
    <row r="16" spans="1:20" ht="48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6">
        <v>42531.195277777777</v>
      </c>
      <c r="T16" s="16">
        <v>42555.166666666672</v>
      </c>
    </row>
    <row r="17" spans="1:20" ht="48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6">
        <v>42618.827013888891</v>
      </c>
      <c r="T17" s="16">
        <v>42648.827013888891</v>
      </c>
    </row>
    <row r="18" spans="1:20" ht="48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6">
        <v>42540.593530092592</v>
      </c>
      <c r="T18" s="16">
        <v>42570.593530092592</v>
      </c>
    </row>
    <row r="19" spans="1:20" ht="48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8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6">
        <v>41974.738576388889</v>
      </c>
      <c r="T20" s="16">
        <v>41994.738576388889</v>
      </c>
    </row>
    <row r="21" spans="1:20" ht="32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6">
        <v>42115.11618055556</v>
      </c>
      <c r="T21" s="16">
        <v>42175.11618055556</v>
      </c>
    </row>
    <row r="22" spans="1:20" ht="48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6">
        <v>42002.817488425921</v>
      </c>
      <c r="T22" s="16">
        <v>42032.817488425921</v>
      </c>
    </row>
    <row r="23" spans="1:20" ht="48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6">
        <v>42722.84474537037</v>
      </c>
      <c r="T23" s="16">
        <v>42752.84474537037</v>
      </c>
    </row>
    <row r="24" spans="1:20" ht="48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6">
        <v>42465.128391203703</v>
      </c>
      <c r="T24" s="16">
        <v>42495.128391203703</v>
      </c>
    </row>
    <row r="25" spans="1:20" ht="48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8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6">
        <v>42672.955138888887</v>
      </c>
      <c r="T26" s="16">
        <v>42704.708333333328</v>
      </c>
    </row>
    <row r="27" spans="1:20" ht="32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6">
        <v>42359.725243055553</v>
      </c>
      <c r="T27" s="16">
        <v>42389.725243055553</v>
      </c>
    </row>
    <row r="28" spans="1:20" ht="4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6">
        <v>42192.905694444446</v>
      </c>
      <c r="T28" s="16">
        <v>42236.711805555555</v>
      </c>
    </row>
    <row r="29" spans="1:20" ht="48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6">
        <v>41916.597638888888</v>
      </c>
      <c r="T29" s="16">
        <v>41976.639305555553</v>
      </c>
    </row>
    <row r="30" spans="1:20" ht="4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6">
        <v>42461.596273148149</v>
      </c>
      <c r="T30" s="16">
        <v>42491.596273148149</v>
      </c>
    </row>
    <row r="31" spans="1:20" ht="48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6">
        <v>42370.90320601852</v>
      </c>
      <c r="T31" s="16">
        <v>42406.207638888889</v>
      </c>
    </row>
    <row r="32" spans="1:20" ht="32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6">
        <v>41948.727256944447</v>
      </c>
      <c r="T32" s="16">
        <v>41978.727256944447</v>
      </c>
    </row>
    <row r="33" spans="1:20" ht="32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6">
        <v>42047.07640046296</v>
      </c>
      <c r="T33" s="16">
        <v>42077.034733796296</v>
      </c>
    </row>
    <row r="34" spans="1:20" ht="48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6">
        <v>42261.632916666669</v>
      </c>
      <c r="T34" s="16">
        <v>42266.165972222225</v>
      </c>
    </row>
    <row r="35" spans="1:20" ht="48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6">
        <v>41985.427361111113</v>
      </c>
      <c r="T35" s="16">
        <v>42015.427361111113</v>
      </c>
    </row>
    <row r="36" spans="1:20" ht="4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6">
        <v>41850.863252314812</v>
      </c>
      <c r="T37" s="16">
        <v>41880.863252314812</v>
      </c>
    </row>
    <row r="38" spans="1:20" ht="48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6">
        <v>41831.742962962962</v>
      </c>
      <c r="T38" s="16">
        <v>41860.125</v>
      </c>
    </row>
    <row r="39" spans="1:20" ht="48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6">
        <v>42415.883425925931</v>
      </c>
      <c r="T39" s="16">
        <v>42475.84175925926</v>
      </c>
    </row>
    <row r="40" spans="1:20" ht="48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6">
        <v>41869.714166666665</v>
      </c>
      <c r="T40" s="16">
        <v>41876.875</v>
      </c>
    </row>
    <row r="41" spans="1:20" ht="16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6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6">
        <v>42037.986284722225</v>
      </c>
      <c r="T42" s="16">
        <v>42097.944618055553</v>
      </c>
    </row>
    <row r="43" spans="1:20" ht="4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6">
        <v>41811.555462962962</v>
      </c>
      <c r="T43" s="16">
        <v>41812.875</v>
      </c>
    </row>
    <row r="44" spans="1:20" ht="4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6">
        <v>42701.908807870372</v>
      </c>
      <c r="T44" s="16">
        <v>42716.25</v>
      </c>
    </row>
    <row r="45" spans="1:20" ht="48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6">
        <v>42258.646504629629</v>
      </c>
      <c r="T45" s="16">
        <v>42288.645196759258</v>
      </c>
    </row>
    <row r="46" spans="1:20" ht="48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6">
        <v>42278.664965277778</v>
      </c>
      <c r="T46" s="16">
        <v>42308.664965277778</v>
      </c>
    </row>
    <row r="47" spans="1:20" ht="48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6">
        <v>42515.078217592592</v>
      </c>
      <c r="T47" s="16">
        <v>42575.078217592592</v>
      </c>
    </row>
    <row r="48" spans="1:20" ht="48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6">
        <v>41830.234166666669</v>
      </c>
      <c r="T48" s="16">
        <v>41860.234166666669</v>
      </c>
    </row>
    <row r="49" spans="1:20" ht="48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6">
        <v>41982.904386574075</v>
      </c>
      <c r="T49" s="16">
        <v>42042.904386574075</v>
      </c>
    </row>
    <row r="50" spans="1:20" ht="32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6">
        <v>42210.439768518518</v>
      </c>
      <c r="T50" s="16">
        <v>42240.439768518518</v>
      </c>
    </row>
    <row r="51" spans="1:20" ht="4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8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6">
        <v>42606.056863425925</v>
      </c>
      <c r="T52" s="16">
        <v>42620.056863425925</v>
      </c>
    </row>
    <row r="53" spans="1:20" ht="48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6">
        <v>42199.648912037039</v>
      </c>
      <c r="T53" s="16">
        <v>42217.041666666672</v>
      </c>
    </row>
    <row r="54" spans="1:20" ht="48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6">
        <v>42444.877743055549</v>
      </c>
      <c r="T54" s="16">
        <v>42504.877743055549</v>
      </c>
    </row>
    <row r="55" spans="1:20" ht="6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6">
        <v>42499.731701388882</v>
      </c>
      <c r="T55" s="16">
        <v>42529.731701388882</v>
      </c>
    </row>
    <row r="56" spans="1:20" ht="4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6">
        <v>41929.266215277778</v>
      </c>
      <c r="T56" s="16">
        <v>41968.823611111111</v>
      </c>
    </row>
    <row r="57" spans="1:20" ht="4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6">
        <v>42142.768819444449</v>
      </c>
      <c r="T57" s="16">
        <v>42182.768819444449</v>
      </c>
    </row>
    <row r="58" spans="1:20" ht="48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6">
        <v>42354.131643518514</v>
      </c>
      <c r="T58" s="16">
        <v>42384.131643518514</v>
      </c>
    </row>
    <row r="59" spans="1:20" ht="4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8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8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6">
        <v>41826.61954861111</v>
      </c>
      <c r="T62" s="16">
        <v>41856.61954861111</v>
      </c>
    </row>
    <row r="63" spans="1:20" ht="32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6">
        <v>42205.171018518522</v>
      </c>
      <c r="T63" s="16">
        <v>42235.171018518522</v>
      </c>
    </row>
    <row r="64" spans="1:20" ht="4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6">
        <v>42041.205000000002</v>
      </c>
      <c r="T64" s="16">
        <v>42086.16333333333</v>
      </c>
    </row>
    <row r="65" spans="1:20" ht="4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6">
        <v>42203.677766203706</v>
      </c>
      <c r="T65" s="16">
        <v>42233.677766203706</v>
      </c>
    </row>
    <row r="66" spans="1:20" ht="48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6">
        <v>41983.752847222218</v>
      </c>
      <c r="T66" s="16">
        <v>42014.140972222223</v>
      </c>
    </row>
    <row r="67" spans="1:20" ht="32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6">
        <v>42103.024398148147</v>
      </c>
      <c r="T67" s="16">
        <v>42112.9375</v>
      </c>
    </row>
    <row r="68" spans="1:20" ht="48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6">
        <v>42089.901574074072</v>
      </c>
      <c r="T68" s="16">
        <v>42149.901574074072</v>
      </c>
    </row>
    <row r="69" spans="1:20" ht="32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6">
        <v>42297.691006944442</v>
      </c>
      <c r="T69" s="16">
        <v>42320.290972222225</v>
      </c>
    </row>
    <row r="70" spans="1:20" ht="48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8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6">
        <v>42325.920717592591</v>
      </c>
      <c r="T71" s="16">
        <v>42355.920717592591</v>
      </c>
    </row>
    <row r="72" spans="1:20" ht="48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6">
        <v>41858.214629629627</v>
      </c>
      <c r="T72" s="16">
        <v>41888.214629629627</v>
      </c>
    </row>
    <row r="73" spans="1:20" ht="32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6">
        <v>41793.710231481484</v>
      </c>
      <c r="T73" s="16">
        <v>41823.710231481484</v>
      </c>
    </row>
    <row r="74" spans="1:20" ht="48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6">
        <v>41793.814259259263</v>
      </c>
      <c r="T74" s="16">
        <v>41825.165972222225</v>
      </c>
    </row>
    <row r="75" spans="1:20" ht="32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6">
        <v>41831.697939814818</v>
      </c>
      <c r="T75" s="16">
        <v>41861.697939814818</v>
      </c>
    </row>
    <row r="76" spans="1:20" ht="16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8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6">
        <v>41766.072500000002</v>
      </c>
      <c r="T78" s="16">
        <v>41791.072500000002</v>
      </c>
    </row>
    <row r="79" spans="1:20" ht="48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6">
        <v>41766.617291666669</v>
      </c>
      <c r="T79" s="16">
        <v>41793.290972222225</v>
      </c>
    </row>
    <row r="80" spans="1:20" ht="64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8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8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6">
        <v>42159.224432870367</v>
      </c>
      <c r="T82" s="16">
        <v>42204.224432870367</v>
      </c>
    </row>
    <row r="83" spans="1:20" ht="4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6">
        <v>42265.817002314812</v>
      </c>
      <c r="T83" s="16">
        <v>42295.817002314812</v>
      </c>
    </row>
    <row r="84" spans="1:20" ht="32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8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6">
        <v>42065.190694444449</v>
      </c>
      <c r="T85" s="16">
        <v>42090.149027777778</v>
      </c>
    </row>
    <row r="86" spans="1:20" ht="32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6">
        <v>41848.84002314815</v>
      </c>
      <c r="T86" s="16">
        <v>41883.84002314815</v>
      </c>
    </row>
    <row r="87" spans="1:20" ht="3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6">
        <v>42103.884930555556</v>
      </c>
      <c r="T87" s="16">
        <v>42133.884930555556</v>
      </c>
    </row>
    <row r="88" spans="1:20" ht="48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6">
        <v>42059.970729166671</v>
      </c>
      <c r="T88" s="16">
        <v>42089.929062499999</v>
      </c>
    </row>
    <row r="89" spans="1:20" ht="48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6">
        <v>41829.73715277778</v>
      </c>
      <c r="T90" s="16">
        <v>41852.716666666667</v>
      </c>
    </row>
    <row r="91" spans="1:20" ht="48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6">
        <v>41789.893599537041</v>
      </c>
      <c r="T91" s="16">
        <v>41815.875</v>
      </c>
    </row>
    <row r="92" spans="1:20" ht="48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6">
        <v>41833.660995370366</v>
      </c>
      <c r="T92" s="16">
        <v>41863.660995370366</v>
      </c>
    </row>
    <row r="93" spans="1:20" ht="16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6">
        <v>41914.590011574073</v>
      </c>
      <c r="T93" s="16">
        <v>41955.907638888893</v>
      </c>
    </row>
    <row r="94" spans="1:20" ht="32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6">
        <v>42611.261064814811</v>
      </c>
      <c r="T94" s="16">
        <v>42625.707638888889</v>
      </c>
    </row>
    <row r="95" spans="1:20" ht="4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6">
        <v>42253.633159722223</v>
      </c>
      <c r="T95" s="16">
        <v>42313.674826388888</v>
      </c>
    </row>
    <row r="96" spans="1:20" ht="4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6">
        <v>42295.891828703709</v>
      </c>
      <c r="T96" s="16">
        <v>42325.933495370366</v>
      </c>
    </row>
    <row r="97" spans="1:20" ht="3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8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8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4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3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48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48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6">
        <v>41779.657870370371</v>
      </c>
      <c r="T103" s="16">
        <v>41821.25</v>
      </c>
    </row>
    <row r="104" spans="1:20" ht="4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48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4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32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32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4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48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6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32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48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8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8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8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8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4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8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8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48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48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4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8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48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4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8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48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48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32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48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48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32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48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48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4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8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48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32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4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8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4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8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48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4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48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32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4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48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48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32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4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48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6">
        <v>42534.866875</v>
      </c>
      <c r="T158" s="16">
        <v>42564.866875</v>
      </c>
    </row>
    <row r="159" spans="1:20" ht="48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48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4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48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32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48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4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6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48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3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32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32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32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8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32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8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6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48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8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6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8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4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8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8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4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48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48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48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4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8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32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3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32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4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8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4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8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48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4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4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4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3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8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6">
        <v>41804.937083333331</v>
      </c>
      <c r="T202" s="16">
        <v>41821.9375</v>
      </c>
    </row>
    <row r="203" spans="1:20" ht="48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8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32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8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6">
        <v>42144.231527777782</v>
      </c>
      <c r="T206" s="16">
        <v>42203.125</v>
      </c>
    </row>
    <row r="207" spans="1:20" ht="48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4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4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8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48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4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8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6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8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8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32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4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32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48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4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32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32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6">
        <v>42031.666898148149</v>
      </c>
      <c r="T224" s="16">
        <v>42064.125</v>
      </c>
    </row>
    <row r="225" spans="1:20" ht="4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32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48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6">
        <v>42695.7105787037</v>
      </c>
      <c r="T227" s="16">
        <v>42725.7105787037</v>
      </c>
    </row>
    <row r="228" spans="1:20" ht="48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8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8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4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4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4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48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16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4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3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6">
        <v>42209.67288194444</v>
      </c>
      <c r="T237" s="16">
        <v>42223.625</v>
      </c>
    </row>
    <row r="238" spans="1:20" ht="48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8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32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48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32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4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32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8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4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4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8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48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6">
        <v>42358.573182870372</v>
      </c>
      <c r="T251" s="16">
        <v>42377.273611111115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AFE6D-4E86-684C-A0D1-C355C9F70F62}">
  <dimension ref="A1:E18"/>
  <sheetViews>
    <sheetView workbookViewId="0">
      <selection activeCell="F10" sqref="F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8379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7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7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7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7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7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7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7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7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7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7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7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7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7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4DE9E-C843-2A49-ADC3-091FF25B1065}">
  <dimension ref="A1:H13"/>
  <sheetViews>
    <sheetView zoomScaleNormal="95" workbookViewId="0">
      <selection activeCell="K8" sqref="K8"/>
    </sheetView>
  </sheetViews>
  <sheetFormatPr baseColWidth="10" defaultRowHeight="15" x14ac:dyDescent="0.2"/>
  <cols>
    <col min="1" max="1" width="17.33203125" customWidth="1"/>
    <col min="2" max="2" width="15.66406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27" bestFit="1" customWidth="1"/>
    <col min="7" max="7" width="14.33203125" bestFit="1" customWidth="1"/>
    <col min="8" max="8" width="16.83203125" bestFit="1" customWidth="1"/>
  </cols>
  <sheetData>
    <row r="1" spans="1:8" s="18" customFormat="1" x14ac:dyDescent="0.2">
      <c r="A1" s="18" t="s">
        <v>8400</v>
      </c>
      <c r="B1" s="18" t="s">
        <v>8401</v>
      </c>
      <c r="C1" s="18" t="s">
        <v>8402</v>
      </c>
      <c r="D1" s="18" t="s">
        <v>8403</v>
      </c>
      <c r="E1" s="18" t="s">
        <v>8404</v>
      </c>
      <c r="F1" s="26" t="s">
        <v>8405</v>
      </c>
      <c r="G1" s="18" t="s">
        <v>8406</v>
      </c>
      <c r="H1" s="18" t="s">
        <v>8407</v>
      </c>
    </row>
    <row r="2" spans="1:8" x14ac:dyDescent="0.2">
      <c r="A2" t="s">
        <v>8408</v>
      </c>
      <c r="B2">
        <f>COUNTIFS(Kickstarter_Challenge!$D:$D,"&lt;1000",Kickstarter_Challenge!F:F,"successful",Kickstarter_Challenge!R:R,"plays")</f>
        <v>141</v>
      </c>
      <c r="C2">
        <f>COUNTIFS(Kickstarter_Challenge!$D:$D,"&lt;1000",Kickstarter_Challenge!$F:$F,"failed",Kickstarter_Challenge!$R:$R,"plays")</f>
        <v>45</v>
      </c>
      <c r="D2">
        <f>COUNTIFS(Kickstarter_Challenge!$D:$D,"&lt;1000",Kickstarter_Challenge!$F:$F,"canceled",Kickstarter_Challenge!$R:$R,"plays")</f>
        <v>0</v>
      </c>
      <c r="E2">
        <f>SUM(B2:C2)</f>
        <v>186</v>
      </c>
      <c r="F2" s="27">
        <f>((B2/(E2)))</f>
        <v>0.75806451612903225</v>
      </c>
      <c r="G2" s="27">
        <f>C2/E2</f>
        <v>0.24193548387096775</v>
      </c>
      <c r="H2">
        <f>D2/E2</f>
        <v>0</v>
      </c>
    </row>
    <row r="3" spans="1:8" x14ac:dyDescent="0.2">
      <c r="A3" t="s">
        <v>8409</v>
      </c>
      <c r="B3">
        <f>COUNTIFS(Kickstarter_Challenge!$D:$D,"&gt;=1000",Kickstarter_Challenge!$D:$D,"&lt;4999",Kickstarter_Challenge!$F:$F,"successful",Kickstarter_Challenge!$R:$R,"plays")</f>
        <v>387</v>
      </c>
      <c r="C3">
        <f>COUNTIFS(Kickstarter_Challenge!$D:$D,"&gt;=1000",Kickstarter_Challenge!$D:$D,"&lt;4999",Kickstarter_Challenge!$F:$F,"failed",Kickstarter_Challenge!$R:$R,"plays")</f>
        <v>146</v>
      </c>
      <c r="D3">
        <f>COUNTIFS(Kickstarter_Challenge!$D:$D,"&gt;=1000",Kickstarter_Challenge!$D:$D,"&lt;4999",Kickstarter_Challenge!$F:$F,"canceled",Kickstarter_Challenge!$R:$R,"plays")</f>
        <v>0</v>
      </c>
      <c r="E3">
        <f t="shared" ref="E3:E13" si="0">SUM(B3:C3)</f>
        <v>533</v>
      </c>
      <c r="F3" s="27">
        <f t="shared" ref="F3:F13" si="1">((B3/(E3)))</f>
        <v>0.726078799249531</v>
      </c>
      <c r="G3" s="27">
        <f t="shared" ref="G3:G13" si="2">C3/E3</f>
        <v>0.27392120075046905</v>
      </c>
      <c r="H3">
        <f t="shared" ref="H3:H13" si="3">D3/E3</f>
        <v>0</v>
      </c>
    </row>
    <row r="4" spans="1:8" x14ac:dyDescent="0.2">
      <c r="A4" t="s">
        <v>8410</v>
      </c>
      <c r="B4">
        <f>COUNTIFS(Kickstarter_Challenge!$D:$D,"&gt;=5000",Kickstarter_Challenge!$D:$D,"&lt;9999",Kickstarter_Challenge!$F:$F,"successful",Kickstarter_Challenge!$R:$R,"plays")</f>
        <v>93</v>
      </c>
      <c r="C4">
        <f>COUNTIFS(Kickstarter_Challenge!$D:$D,"&gt;=5000",Kickstarter_Challenge!$D:$D,"&lt;9999",Kickstarter_Challenge!$F:$F,"failed",Kickstarter_Challenge!$R:$R,"plays")</f>
        <v>76</v>
      </c>
      <c r="D4">
        <f>COUNTIFS(Kickstarter_Challenge!$D:$D,"&gt;=5000",Kickstarter_Challenge!$D:$D,"&lt;9999",Kickstarter_Challenge!$F:$F,"canceled",Kickstarter_Challenge!$R:$R,"plays")</f>
        <v>0</v>
      </c>
      <c r="E4">
        <f t="shared" si="0"/>
        <v>169</v>
      </c>
      <c r="F4" s="27">
        <f t="shared" si="1"/>
        <v>0.55029585798816572</v>
      </c>
      <c r="G4" s="27">
        <f t="shared" si="2"/>
        <v>0.44970414201183434</v>
      </c>
      <c r="H4">
        <f t="shared" si="3"/>
        <v>0</v>
      </c>
    </row>
    <row r="5" spans="1:8" x14ac:dyDescent="0.2">
      <c r="A5" t="s">
        <v>8411</v>
      </c>
      <c r="B5">
        <f>COUNTIFS(Kickstarter_Challenge!$D:$D,"&gt;=10000",Kickstarter_Challenge!$D:$D,"&lt;14999",Kickstarter_Challenge!$F:$F,"successful",Kickstarter_Challenge!$R:$R,"plays")</f>
        <v>39</v>
      </c>
      <c r="C5">
        <f>COUNTIFS(Kickstarter_Challenge!$D:$D,"&gt;=10000",Kickstarter_Challenge!$D:$D,"&lt;14999",Kickstarter_Challenge!$F:$F,"failed",Kickstarter_Challenge!$R:$R,"plays")</f>
        <v>33</v>
      </c>
      <c r="D5">
        <f>COUNTIFS(Kickstarter_Challenge!$D:$D,"&gt;=10000",Kickstarter_Challenge!$D:$D,"&lt;14999",Kickstarter_Challenge!$F:$F,"canceled",Kickstarter_Challenge!$R:$R,"plays")</f>
        <v>0</v>
      </c>
      <c r="E5">
        <f t="shared" si="0"/>
        <v>72</v>
      </c>
      <c r="F5" s="27">
        <f t="shared" si="1"/>
        <v>0.54166666666666663</v>
      </c>
      <c r="G5" s="27">
        <f t="shared" si="2"/>
        <v>0.45833333333333331</v>
      </c>
      <c r="H5">
        <f t="shared" si="3"/>
        <v>0</v>
      </c>
    </row>
    <row r="6" spans="1:8" x14ac:dyDescent="0.2">
      <c r="A6" t="s">
        <v>8412</v>
      </c>
      <c r="B6">
        <f>COUNTIFS(Kickstarter_Challenge!$D:$D,"&gt;=15000",Kickstarter_Challenge!$D:$D,"&lt;19999",Kickstarter_Challenge!$F:$F,"successful",Kickstarter_Challenge!$R:$R,"plays")</f>
        <v>12</v>
      </c>
      <c r="C6">
        <f>COUNTIFS(Kickstarter_Challenge!$D:$D,"&gt;=15000",Kickstarter_Challenge!$D:$D,"&lt;19999",Kickstarter_Challenge!$F:$F,"failed",Kickstarter_Challenge!$R:$R,"plays")</f>
        <v>12</v>
      </c>
      <c r="D6">
        <f>COUNTIFS(Kickstarter_Challenge!$D:$D,"&gt;=15000",Kickstarter_Challenge!$D:$D,"&lt;19999",Kickstarter_Challenge!$F:$F,"canceled",Kickstarter_Challenge!$R:$R,"plays")</f>
        <v>0</v>
      </c>
      <c r="E6">
        <f t="shared" si="0"/>
        <v>24</v>
      </c>
      <c r="F6" s="27">
        <f>((B6/(E6)))</f>
        <v>0.5</v>
      </c>
      <c r="G6" s="27">
        <f t="shared" si="2"/>
        <v>0.5</v>
      </c>
      <c r="H6">
        <f t="shared" si="3"/>
        <v>0</v>
      </c>
    </row>
    <row r="7" spans="1:8" x14ac:dyDescent="0.2">
      <c r="A7" t="s">
        <v>8413</v>
      </c>
      <c r="B7">
        <f>COUNTIFS(Kickstarter_Challenge!$D:$D,"&gt;=20000",Kickstarter_Challenge!$D:$D,"&lt;24999",Kickstarter_Challenge!$F:$F,"successful",Kickstarter_Challenge!$R:$R,"plays")</f>
        <v>9</v>
      </c>
      <c r="C7">
        <f>COUNTIFS(Kickstarter_Challenge!$D:$D,"&gt;=20000",Kickstarter_Challenge!$D:$D,"&lt;24999",Kickstarter_Challenge!$F:$F,"failed",Kickstarter_Challenge!$R:$R,"plays")</f>
        <v>11</v>
      </c>
      <c r="D7">
        <f>COUNTIFS(Kickstarter_Challenge!$D:$D,"&gt;=20000",Kickstarter_Challenge!$D:$D,"&lt;24999",Kickstarter_Challenge!$F:$F,"canceled",Kickstarter_Challenge!$R:$R,"plays")</f>
        <v>0</v>
      </c>
      <c r="E7">
        <f t="shared" si="0"/>
        <v>20</v>
      </c>
      <c r="F7" s="27">
        <f t="shared" si="1"/>
        <v>0.45</v>
      </c>
      <c r="G7" s="27">
        <f t="shared" si="2"/>
        <v>0.55000000000000004</v>
      </c>
      <c r="H7">
        <f t="shared" si="3"/>
        <v>0</v>
      </c>
    </row>
    <row r="8" spans="1:8" x14ac:dyDescent="0.2">
      <c r="A8" t="s">
        <v>8419</v>
      </c>
      <c r="B8">
        <f>COUNTIFS(Kickstarter_Challenge!$D:$D,"&gt;=25000",Kickstarter_Challenge!$D:$D,"&lt;29999",Kickstarter_Challenge!$F:$F,"successful",Kickstarter_Challenge!$R:$R,"plays")</f>
        <v>1</v>
      </c>
      <c r="C8">
        <f>COUNTIFS(Kickstarter_Challenge!$D:$D,"&gt;=25000",Kickstarter_Challenge!$D:$D,"&lt;29999",Kickstarter_Challenge!$F:$F,"failed",Kickstarter_Challenge!$R:$R,"plays")</f>
        <v>4</v>
      </c>
      <c r="D8">
        <f>COUNTIFS(Kickstarter_Challenge!$D:$D,"&gt;=25000",Kickstarter_Challenge!$D:$D,"&lt;29999",Kickstarter_Challenge!$F:$F,"canceled",Kickstarter_Challenge!$R:$R,"plays")</f>
        <v>0</v>
      </c>
      <c r="E8">
        <f t="shared" si="0"/>
        <v>5</v>
      </c>
      <c r="F8" s="27">
        <f t="shared" si="1"/>
        <v>0.2</v>
      </c>
      <c r="G8" s="27">
        <f t="shared" si="2"/>
        <v>0.8</v>
      </c>
      <c r="H8">
        <f t="shared" si="3"/>
        <v>0</v>
      </c>
    </row>
    <row r="9" spans="1:8" x14ac:dyDescent="0.2">
      <c r="A9" t="s">
        <v>8414</v>
      </c>
      <c r="B9">
        <f>COUNTIFS(Kickstarter_Challenge!$D:$D,"&gt;=30000",Kickstarter_Challenge!$D:$D,"&lt;34999",Kickstarter_Challenge!$F:$F,"successful",Kickstarter_Challenge!$R:$R,"plays")</f>
        <v>3</v>
      </c>
      <c r="C9">
        <f>COUNTIFS(Kickstarter_Challenge!$D:$D,"&gt;=30000",Kickstarter_Challenge!$D:$D,"&lt;34999",Kickstarter_Challenge!$F:$F,"failed",Kickstarter_Challenge!$R:$R,"plays")</f>
        <v>8</v>
      </c>
      <c r="D9">
        <f>COUNTIFS(Kickstarter_Challenge!$D:$D,"&gt;=30000",Kickstarter_Challenge!$D:$D,"&lt;34999",Kickstarter_Challenge!$F:$F,"canceled",Kickstarter_Challenge!$R:$R,"plays")</f>
        <v>0</v>
      </c>
      <c r="E9">
        <f t="shared" si="0"/>
        <v>11</v>
      </c>
      <c r="F9" s="27">
        <f t="shared" si="1"/>
        <v>0.27272727272727271</v>
      </c>
      <c r="G9" s="27">
        <f t="shared" si="2"/>
        <v>0.72727272727272729</v>
      </c>
      <c r="H9">
        <f t="shared" si="3"/>
        <v>0</v>
      </c>
    </row>
    <row r="10" spans="1:8" x14ac:dyDescent="0.2">
      <c r="A10" t="s">
        <v>8415</v>
      </c>
      <c r="B10">
        <f>COUNTIFS(Kickstarter_Challenge!$D:$D,"&gt;=35000",Kickstarter_Challenge!$D:$D,"&lt;39999",Kickstarter_Challenge!$F:$F,"successful",Kickstarter_Challenge!$R:$R,"plays")</f>
        <v>4</v>
      </c>
      <c r="C10">
        <f>COUNTIFS(Kickstarter_Challenge!$D:$D,"&gt;=35000",Kickstarter_Challenge!$D:$D,"&lt;39999",Kickstarter_Challenge!$F:$F,"failed",Kickstarter_Challenge!$R:$R,"plays")</f>
        <v>2</v>
      </c>
      <c r="D10">
        <f>COUNTIFS(Kickstarter_Challenge!$D:$D,"&gt;=35000",Kickstarter_Challenge!$D:$D,"&lt;39999",Kickstarter_Challenge!$F:$F,"canceled",Kickstarter_Challenge!$R:$R,"plays")</f>
        <v>0</v>
      </c>
      <c r="E10">
        <f t="shared" si="0"/>
        <v>6</v>
      </c>
      <c r="F10" s="27">
        <f t="shared" si="1"/>
        <v>0.66666666666666663</v>
      </c>
      <c r="G10" s="27">
        <f t="shared" si="2"/>
        <v>0.33333333333333331</v>
      </c>
      <c r="H10">
        <f t="shared" si="3"/>
        <v>0</v>
      </c>
    </row>
    <row r="11" spans="1:8" x14ac:dyDescent="0.2">
      <c r="A11" t="s">
        <v>8416</v>
      </c>
      <c r="B11">
        <f>COUNTIFS(Kickstarter_Challenge!$D:$D,"&gt;=40000",Kickstarter_Challenge!$D:$D,"&lt;44999",Kickstarter_Challenge!$F:$F,"successful",Kickstarter_Challenge!$R:$R,"plays")</f>
        <v>2</v>
      </c>
      <c r="C11">
        <f>COUNTIFS(Kickstarter_Challenge!$D:$D,"&gt;=40000",Kickstarter_Challenge!$D:$D,"&lt;44999",Kickstarter_Challenge!$F:$F,"failed",Kickstarter_Challenge!$R:$R,"plays")</f>
        <v>1</v>
      </c>
      <c r="D11">
        <f>COUNTIFS(Kickstarter_Challenge!$D:$D,"&gt;=40000",Kickstarter_Challenge!$D:$D,"&lt;44999",Kickstarter_Challenge!$F:$F,"canceled",Kickstarter_Challenge!$R:$R,"plays")</f>
        <v>0</v>
      </c>
      <c r="E11">
        <f t="shared" si="0"/>
        <v>3</v>
      </c>
      <c r="F11" s="27">
        <f t="shared" si="1"/>
        <v>0.66666666666666663</v>
      </c>
      <c r="G11" s="27">
        <f t="shared" si="2"/>
        <v>0.33333333333333331</v>
      </c>
      <c r="H11">
        <f t="shared" si="3"/>
        <v>0</v>
      </c>
    </row>
    <row r="12" spans="1:8" x14ac:dyDescent="0.2">
      <c r="A12" t="s">
        <v>8417</v>
      </c>
      <c r="B12">
        <f>COUNTIFS(Kickstarter_Challenge!$D:$D,"&gt;=45000",Kickstarter_Challenge!$D:$D,"&lt;49999",Kickstarter_Challenge!$F:$F,"successful",Kickstarter_Challenge!$R:$R,"plays")</f>
        <v>0</v>
      </c>
      <c r="C12">
        <f>COUNTIFS(Kickstarter_Challenge!$D:$D,"&gt;=45000",Kickstarter_Challenge!$D:$D,"&lt;49999",Kickstarter_Challenge!$F:$F,"failed",Kickstarter_Challenge!$R:$R,"plays")</f>
        <v>1</v>
      </c>
      <c r="D12">
        <f>COUNTIFS(Kickstarter_Challenge!$D:$D,"&gt;=45000",Kickstarter_Challenge!$D:$D,"&lt;49999",Kickstarter_Challenge!$F:$F,"canceled",Kickstarter_Challenge!$R:$R,"plays")</f>
        <v>0</v>
      </c>
      <c r="E12">
        <f t="shared" si="0"/>
        <v>1</v>
      </c>
      <c r="F12" s="27">
        <f t="shared" si="1"/>
        <v>0</v>
      </c>
      <c r="G12" s="27">
        <f t="shared" si="2"/>
        <v>1</v>
      </c>
      <c r="H12">
        <f t="shared" si="3"/>
        <v>0</v>
      </c>
    </row>
    <row r="13" spans="1:8" x14ac:dyDescent="0.2">
      <c r="A13" t="s">
        <v>8418</v>
      </c>
      <c r="B13">
        <f>COUNTIFS(Kickstarter_Challenge!$D:$D,"&gt;50000",Kickstarter_Challenge!$F:$F,"successful",Kickstarter_Challenge!$R:$R,"plays")</f>
        <v>2</v>
      </c>
      <c r="C13">
        <f>COUNTIFS(Kickstarter_Challenge!$D:$D,"&gt;50000",Kickstarter_Challenge!$F:$F,"failed",Kickstarter_Challenge!$R:$R,"plays")</f>
        <v>10</v>
      </c>
      <c r="D13">
        <f>COUNTIFS(Kickstarter_Challenge!$D:$D,"&gt;50000",Kickstarter_Challenge!$F:$F,"canceled",Kickstarter_Challenge!$R:$R,"plays")</f>
        <v>0</v>
      </c>
      <c r="E13">
        <f t="shared" si="0"/>
        <v>12</v>
      </c>
      <c r="F13" s="27">
        <f t="shared" si="1"/>
        <v>0.16666666666666666</v>
      </c>
      <c r="G13" s="27">
        <f t="shared" si="2"/>
        <v>0.83333333333333337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CE9D9-3396-D34F-B9E8-41B57A2A8FAD}">
  <dimension ref="A1:F6"/>
  <sheetViews>
    <sheetView zoomScale="110" workbookViewId="0">
      <selection activeCell="C15" sqref="C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8D282-7605-1B4C-84AB-0C392FDD6141}">
  <dimension ref="A1:E7"/>
  <sheetViews>
    <sheetView workbookViewId="0">
      <selection activeCell="G26" sqref="G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841F7-CED5-224E-BA37-34AECBB7ECA5}">
  <dimension ref="A1:F18"/>
  <sheetViews>
    <sheetView workbookViewId="0">
      <selection activeCell="G20" sqref="G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7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7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7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7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7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7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7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7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7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7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7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7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8318F-64B6-554E-BF62-B2D5F241E3C2}">
  <dimension ref="A1:H15"/>
  <sheetViews>
    <sheetView tabSelected="1" workbookViewId="0">
      <selection activeCell="D17" sqref="D17"/>
    </sheetView>
  </sheetViews>
  <sheetFormatPr baseColWidth="10" defaultRowHeight="15" x14ac:dyDescent="0.2"/>
  <cols>
    <col min="1" max="1" width="24.6640625" bestFit="1" customWidth="1"/>
    <col min="2" max="2" width="10.83203125" style="22"/>
    <col min="3" max="3" width="11.1640625" style="22" bestFit="1" customWidth="1"/>
  </cols>
  <sheetData>
    <row r="1" spans="1:8" x14ac:dyDescent="0.2">
      <c r="A1" t="s">
        <v>8399</v>
      </c>
      <c r="G1" s="22"/>
      <c r="H1" s="22"/>
    </row>
    <row r="2" spans="1:8" x14ac:dyDescent="0.2">
      <c r="B2" s="25" t="s">
        <v>8386</v>
      </c>
      <c r="C2" s="25" t="s">
        <v>8387</v>
      </c>
      <c r="G2" s="22"/>
      <c r="H2" s="22"/>
    </row>
    <row r="3" spans="1:8" x14ac:dyDescent="0.2">
      <c r="A3" s="24" t="s">
        <v>8385</v>
      </c>
      <c r="B3" s="22">
        <f>AVERAGE('Successful US Kickstarters'!D:D)</f>
        <v>5048.8786407766993</v>
      </c>
      <c r="C3" s="22">
        <f>AVERAGE('Failed US Kickstarters'!D:D)</f>
        <v>10554.212</v>
      </c>
      <c r="G3" s="22"/>
      <c r="H3" s="22"/>
    </row>
    <row r="4" spans="1:8" x14ac:dyDescent="0.2">
      <c r="A4" s="24" t="s">
        <v>8388</v>
      </c>
      <c r="B4" s="22">
        <f>MEDIAN('Successful US Kickstarters'!D:D)</f>
        <v>3000</v>
      </c>
      <c r="C4" s="22">
        <f>MEDIAN('Failed US Kickstarters'!D:D)</f>
        <v>5000</v>
      </c>
      <c r="G4" s="22"/>
      <c r="H4" s="22"/>
    </row>
    <row r="5" spans="1:8" x14ac:dyDescent="0.2">
      <c r="A5" s="24" t="s">
        <v>8389</v>
      </c>
      <c r="B5" s="22">
        <f>_xlfn.STDEV.P('Successful US Kickstarters'!D:D)</f>
        <v>7748.7537726373303</v>
      </c>
      <c r="C5" s="22">
        <f>_xlfn.STDEV.P('Failed US Kickstarters'!D:D)</f>
        <v>21967.731061515115</v>
      </c>
      <c r="G5" s="22"/>
      <c r="H5" s="22"/>
    </row>
    <row r="6" spans="1:8" x14ac:dyDescent="0.2">
      <c r="A6" s="24" t="s">
        <v>8390</v>
      </c>
      <c r="B6" s="22">
        <f>_xlfn.QUARTILE.EXC('Successful US Kickstarters'!D:D,3)</f>
        <v>5000</v>
      </c>
      <c r="C6" s="22">
        <f>_xlfn.QUARTILE.EXC('Failed US Kickstarters'!D:D,3)</f>
        <v>10000</v>
      </c>
      <c r="G6" s="22"/>
      <c r="H6" s="22"/>
    </row>
    <row r="7" spans="1:8" x14ac:dyDescent="0.2">
      <c r="A7" s="24" t="s">
        <v>8391</v>
      </c>
      <c r="B7" s="22">
        <f>_xlfn.QUARTILE.EXC('Successful US Kickstarters'!D:D,1)</f>
        <v>1500</v>
      </c>
      <c r="C7" s="22">
        <f>_xlfn.QUARTILE.EXC('Failed US Kickstarters'!D:D,1)</f>
        <v>2000</v>
      </c>
      <c r="G7" s="22"/>
      <c r="H7" s="22"/>
    </row>
    <row r="8" spans="1:8" x14ac:dyDescent="0.2">
      <c r="A8" s="24" t="s">
        <v>8392</v>
      </c>
      <c r="B8" s="22">
        <f>B6-B7</f>
        <v>3500</v>
      </c>
      <c r="C8" s="22">
        <f>C6-C7</f>
        <v>8000</v>
      </c>
      <c r="G8" s="22"/>
      <c r="H8" s="22"/>
    </row>
    <row r="9" spans="1:8" x14ac:dyDescent="0.2">
      <c r="A9" s="24"/>
      <c r="G9" s="22"/>
      <c r="H9" s="22"/>
    </row>
    <row r="10" spans="1:8" x14ac:dyDescent="0.2">
      <c r="A10" s="24" t="s">
        <v>8394</v>
      </c>
      <c r="B10" s="23">
        <f>AVERAGE('Successful US Kickstarters'!E:E)</f>
        <v>5601.5458009708727</v>
      </c>
      <c r="C10" s="22">
        <f>AVERAGE('Failed US Kickstarters'!E:E)</f>
        <v>558.65484000000004</v>
      </c>
      <c r="G10" s="22"/>
      <c r="H10" s="22"/>
    </row>
    <row r="11" spans="1:8" x14ac:dyDescent="0.2">
      <c r="A11" s="24" t="s">
        <v>8395</v>
      </c>
      <c r="B11" s="22">
        <f>MEDIAN('Successful US Kickstarters'!E:E)</f>
        <v>3167.5</v>
      </c>
      <c r="C11" s="23">
        <f>MEDIAN('Failed US Kickstarters'!E:E)</f>
        <v>103</v>
      </c>
      <c r="G11" s="22"/>
      <c r="H11" s="22"/>
    </row>
    <row r="12" spans="1:8" x14ac:dyDescent="0.2">
      <c r="A12" s="24" t="s">
        <v>8396</v>
      </c>
      <c r="B12" s="22">
        <f>_xlfn.STDEV.P('Successful US Kickstarters'!E:E)</f>
        <v>8334.5731699164608</v>
      </c>
      <c r="C12" s="22">
        <f>_xlfn.STDEV.P('Failed US Kickstarters'!E:E)</f>
        <v>1330.5230280400915</v>
      </c>
      <c r="G12" s="22"/>
      <c r="H12" s="22"/>
    </row>
    <row r="13" spans="1:8" x14ac:dyDescent="0.2">
      <c r="A13" s="24" t="s">
        <v>8393</v>
      </c>
      <c r="B13" s="22">
        <f>_xlfn.QUARTILE.EXC('Successful US Kickstarters'!E:E,3)</f>
        <v>5699</v>
      </c>
      <c r="C13" s="22">
        <f>_xlfn.QUARTILE.EXC('Failed US Kickstarters'!E:E,3)</f>
        <v>501</v>
      </c>
      <c r="G13" s="22"/>
      <c r="H13" s="22"/>
    </row>
    <row r="14" spans="1:8" x14ac:dyDescent="0.2">
      <c r="A14" s="24" t="s">
        <v>8397</v>
      </c>
      <c r="B14" s="22">
        <f>_xlfn.QUARTILE.EXC('Successful US Kickstarters'!E:E,1)</f>
        <v>1716.5074999999999</v>
      </c>
      <c r="C14" s="22">
        <f>_xlfn.QUARTILE.EXC('Failed US Kickstarters'!E:E,1)</f>
        <v>9.25</v>
      </c>
      <c r="G14" s="22"/>
      <c r="H14" s="22"/>
    </row>
    <row r="15" spans="1:8" x14ac:dyDescent="0.2">
      <c r="A15" s="24" t="s">
        <v>8398</v>
      </c>
      <c r="B15" s="22">
        <f>B13-B14</f>
        <v>3982.4925000000003</v>
      </c>
      <c r="C15" s="22">
        <f>C13-C14</f>
        <v>491.75</v>
      </c>
      <c r="G15" s="22"/>
      <c r="H15" s="2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D73E2-EE03-F744-BAE8-D6840466CDDD}">
  <dimension ref="A1:F6"/>
  <sheetViews>
    <sheetView workbookViewId="0">
      <selection activeCell="B13" sqref="B13"/>
    </sheetView>
  </sheetViews>
  <sheetFormatPr baseColWidth="10" defaultRowHeight="15" x14ac:dyDescent="0.2"/>
  <cols>
    <col min="1" max="1" width="28.6640625" bestFit="1" customWidth="1"/>
    <col min="2" max="2" width="60.1640625" style="3" customWidth="1"/>
    <col min="3" max="4" width="10.1640625" style="6" bestFit="1" customWidth="1"/>
    <col min="5" max="5" width="15" bestFit="1" customWidth="1"/>
    <col min="6" max="6" width="15.5" bestFit="1" customWidth="1"/>
  </cols>
  <sheetData>
    <row r="1" spans="1:6" ht="16" x14ac:dyDescent="0.2">
      <c r="A1" s="18" t="s">
        <v>8380</v>
      </c>
      <c r="B1" s="20" t="s">
        <v>8381</v>
      </c>
      <c r="C1" s="21" t="s">
        <v>8382</v>
      </c>
      <c r="D1" s="21" t="s">
        <v>8383</v>
      </c>
      <c r="E1" s="18" t="s">
        <v>8307</v>
      </c>
      <c r="F1" s="18" t="s">
        <v>8384</v>
      </c>
    </row>
    <row r="2" spans="1:6" ht="32" x14ac:dyDescent="0.2">
      <c r="A2" s="19" t="s">
        <v>3473</v>
      </c>
      <c r="B2" s="3" t="str">
        <f>VLOOKUP(A2,Kickstarter_Challenge!B:C,2,FALSE)</f>
        <v>Help us get actor-writer Ian Bonar's debut play - a hilarious, heartbreaking story of grief and loss - to the 2016 Edinburgh Fringe.</v>
      </c>
      <c r="C2" s="6">
        <f>VLOOKUP(A2,Kickstarter_Challenge!B:E,3,FALSE)</f>
        <v>2000</v>
      </c>
      <c r="D2" s="6">
        <f>VLOOKUP(A2,Kickstarter_Challenge!B:E,4,FALSE)</f>
        <v>2020</v>
      </c>
      <c r="E2">
        <f>VLOOKUP(A2,Kickstarter_Challenge!B:P,15,FALSE)</f>
        <v>51.79</v>
      </c>
      <c r="F2">
        <f>VLOOKUP(A2,Kickstarter_Challenge!B:L,11,FALSE)</f>
        <v>39</v>
      </c>
    </row>
    <row r="3" spans="1:6" ht="32" x14ac:dyDescent="0.2">
      <c r="A3" s="19" t="s">
        <v>3616</v>
      </c>
      <c r="B3" s="3" t="str">
        <f>VLOOKUP(A3,Kickstarter_Challenge!B:C,2,FALSE)</f>
        <v>The play yet to be described as "A surefire Edinburgh Fringe Festival Cult Hit". Coming to the Underbelly, Edinburgh, 5th-30th August.</v>
      </c>
      <c r="C3" s="6">
        <f>VLOOKUP(A3,Kickstarter_Challenge!B:E,3,FALSE)</f>
        <v>2000</v>
      </c>
      <c r="D3" s="6">
        <f>VLOOKUP(A3,Kickstarter_Challenge!B:E,4,FALSE)</f>
        <v>2020</v>
      </c>
      <c r="E3">
        <f>VLOOKUP(A3,Kickstarter_Challenge!B:P,15,FALSE)</f>
        <v>36.07</v>
      </c>
      <c r="F3">
        <f>VLOOKUP(A3,Kickstarter_Challenge!B:L,11,FALSE)</f>
        <v>56</v>
      </c>
    </row>
    <row r="4" spans="1:6" ht="32" x14ac:dyDescent="0.2">
      <c r="A4" s="19" t="s">
        <v>3178</v>
      </c>
      <c r="B4" s="3" t="str">
        <f>VLOOKUP(A4,Kickstarter_Challenge!B:C,2,FALSE)</f>
        <v>Cutting Off Kate Bush is a one-woman show written &amp; performed by Lucy Benson-Brown, premiering at the Edinburgh Fringe Festival 2014</v>
      </c>
      <c r="C4" s="6">
        <f>VLOOKUP(A4,Kickstarter_Challenge!B:E,3,FALSE)</f>
        <v>1500</v>
      </c>
      <c r="D4" s="6">
        <f>VLOOKUP(A4,Kickstarter_Challenge!B:E,4,FALSE)</f>
        <v>2576</v>
      </c>
      <c r="E4">
        <f>VLOOKUP(A4,Kickstarter_Challenge!B:P,15,FALSE)</f>
        <v>33.03</v>
      </c>
      <c r="F4">
        <f>VLOOKUP(A4,Kickstarter_Challenge!B:L,11,FALSE)</f>
        <v>78</v>
      </c>
    </row>
    <row r="5" spans="1:6" ht="32" x14ac:dyDescent="0.2">
      <c r="A5" s="19" t="s">
        <v>3329</v>
      </c>
      <c r="B5" s="3" t="str">
        <f>VLOOKUP(A5,Kickstarter_Challenge!B:C,2,FALSE)</f>
        <v>Jestia and Raedon is a brand new romantic comedy play going to the Edinburgh Fringe Festival this summer.</v>
      </c>
      <c r="C5" s="6">
        <f>VLOOKUP(A5,Kickstarter_Challenge!B:E,3,FALSE)</f>
        <v>1000</v>
      </c>
      <c r="D5" s="6">
        <f>VLOOKUP(A5,Kickstarter_Challenge!B:E,4,FALSE)</f>
        <v>1168</v>
      </c>
      <c r="E5">
        <f>VLOOKUP(A5,Kickstarter_Challenge!B:P,15,FALSE)</f>
        <v>44.92</v>
      </c>
      <c r="F5">
        <f>VLOOKUP(A5,Kickstarter_Challenge!B:L,11,FALSE)</f>
        <v>26</v>
      </c>
    </row>
    <row r="6" spans="1:6" ht="32" x14ac:dyDescent="0.2">
      <c r="A6" s="19" t="s">
        <v>3221</v>
      </c>
      <c r="B6" s="3" t="str">
        <f>VLOOKUP(A6,Kickstarter_Challenge!B:C,2,FALSE)</f>
        <v>A one-man show about love, loss, and motorways, written &amp; performed by Ben Norris. Help us get to the 2015 Edinburgh Fringe and beyond!</v>
      </c>
      <c r="C6" s="6">
        <f>VLOOKUP(A6,Kickstarter_Challenge!B:E,3,FALSE)</f>
        <v>4000</v>
      </c>
      <c r="D6" s="6">
        <f>VLOOKUP(A6,Kickstarter_Challenge!B:E,4,FALSE)</f>
        <v>4137</v>
      </c>
      <c r="E6">
        <f>VLOOKUP(A6,Kickstarter_Challenge!B:P,15,FALSE)</f>
        <v>36.61</v>
      </c>
      <c r="F6">
        <f>VLOOKUP(A6,Kickstarter_Challenge!B:L,11,FALSE)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Kickstarter_Challenge</vt:lpstr>
      <vt:lpstr>Successful US Kickstarters</vt:lpstr>
      <vt:lpstr>Failed US Kickstarters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gln.thmpsn@gmail.com</cp:lastModifiedBy>
  <dcterms:created xsi:type="dcterms:W3CDTF">2017-04-20T15:17:24Z</dcterms:created>
  <dcterms:modified xsi:type="dcterms:W3CDTF">2021-06-19T01:05:24Z</dcterms:modified>
</cp:coreProperties>
</file>